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hidePivotFieldList="1" defaultThemeVersion="124226"/>
  <bookViews>
    <workbookView xWindow="4956" yWindow="708" windowWidth="15300" windowHeight="8544" tabRatio="930"/>
  </bookViews>
  <sheets>
    <sheet name="Obsah" sheetId="383" r:id="rId1"/>
    <sheet name="Motivace" sheetId="414" r:id="rId2"/>
    <sheet name="HI" sheetId="339" r:id="rId3"/>
    <sheet name="HI Graf" sheetId="340" r:id="rId4"/>
    <sheet name="Man Tab" sheetId="366" r:id="rId5"/>
    <sheet name="HV" sheetId="367" r:id="rId6"/>
    <sheet name="Léky Žádanky" sheetId="219" r:id="rId7"/>
    <sheet name="LŽ Detail" sheetId="220" r:id="rId8"/>
    <sheet name="LŽ PL" sheetId="380" r:id="rId9"/>
    <sheet name="LŽ PL Detail" sheetId="387" r:id="rId10"/>
    <sheet name="Léky Recepty" sheetId="346" r:id="rId11"/>
    <sheet name="LRp Lékaři" sheetId="415" r:id="rId12"/>
    <sheet name="LRp Detail" sheetId="347" r:id="rId13"/>
    <sheet name="LRp PL" sheetId="388" r:id="rId14"/>
    <sheet name="LRp PL Detail" sheetId="390" r:id="rId15"/>
    <sheet name="Materiál Žádanky" sheetId="420" r:id="rId16"/>
    <sheet name="MŽ Detail" sheetId="403" r:id="rId17"/>
    <sheet name="Osobní náklady" sheetId="419" r:id="rId18"/>
    <sheet name="ON Data" sheetId="418" state="hidden" r:id="rId19"/>
    <sheet name="ZV Vykáz.-A" sheetId="344" r:id="rId20"/>
    <sheet name="ZV Vykáz.-A Detail" sheetId="345" r:id="rId21"/>
    <sheet name="ZV Vykáz.-H" sheetId="410" r:id="rId22"/>
    <sheet name="ZV Vykáz.-H Detail" sheetId="377" r:id="rId23"/>
    <sheet name="CaseMix" sheetId="370" r:id="rId24"/>
    <sheet name="ALOS" sheetId="374" r:id="rId25"/>
    <sheet name="Total" sheetId="371" r:id="rId26"/>
    <sheet name="ZV Vyžád." sheetId="342" r:id="rId27"/>
    <sheet name="ZV Vyžád. Detail" sheetId="343" r:id="rId28"/>
    <sheet name="OD TISS" sheetId="372" r:id="rId29"/>
  </sheets>
  <definedNames>
    <definedName name="_xlnm._FilterDatabase" localSheetId="5" hidden="1">HV!$A$5:$A$5</definedName>
    <definedName name="_xlnm._FilterDatabase" localSheetId="10" hidden="1">'Léky Recepty'!$A$4:$M$4</definedName>
    <definedName name="_xlnm._FilterDatabase" localSheetId="6" hidden="1">'Léky Žádanky'!$A$4:$I$4</definedName>
    <definedName name="_xlnm._FilterDatabase" localSheetId="12" hidden="1">'LRp Detail'!$A$6:$U$6</definedName>
    <definedName name="_xlnm._FilterDatabase" localSheetId="11" hidden="1">'LRp Lékaři'!$A$4:$N$4</definedName>
    <definedName name="_xlnm._FilterDatabase" localSheetId="13" hidden="1">'LRp PL'!$A$3:$F$50</definedName>
    <definedName name="_xlnm._FilterDatabase" localSheetId="14" hidden="1">'LRp PL Detail'!$A$5:$M$1005</definedName>
    <definedName name="_xlnm._FilterDatabase" localSheetId="7" hidden="1">'LŽ Detail'!$A$4:$N$4</definedName>
    <definedName name="_xlnm._FilterDatabase" localSheetId="8" hidden="1">'LŽ PL'!$A$4:$F$15</definedName>
    <definedName name="_xlnm._FilterDatabase" localSheetId="9" hidden="1">'LŽ PL Detail'!$A$5:$M$374</definedName>
    <definedName name="_xlnm._FilterDatabase" localSheetId="4" hidden="1">'Man Tab'!$A$5:$A$31</definedName>
    <definedName name="_xlnm._FilterDatabase" localSheetId="15" hidden="1">'Materiál Žádanky'!$A$4:$I$4</definedName>
    <definedName name="_xlnm._FilterDatabase" localSheetId="16" hidden="1">'MŽ Detail'!$A$4:$K$4</definedName>
    <definedName name="_xlnm._FilterDatabase" localSheetId="28" hidden="1">'OD TISS'!$A$5:$N$5</definedName>
    <definedName name="_xlnm._FilterDatabase" localSheetId="25" hidden="1">Total!$A$4:$W$4</definedName>
    <definedName name="_xlnm._FilterDatabase" localSheetId="20" hidden="1">'ZV Vykáz.-A Detail'!$A$5:$P$5</definedName>
    <definedName name="_xlnm._FilterDatabase" localSheetId="22" hidden="1">'ZV Vykáz.-H Detail'!$A$5:$Q$5</definedName>
    <definedName name="_xlnm._FilterDatabase" localSheetId="26" hidden="1">'ZV Vyžád.'!$A$5:$M$5</definedName>
    <definedName name="_xlnm._FilterDatabase" localSheetId="27" hidden="1">'ZV Vyžád. Detail'!$A$5:$Q$5</definedName>
    <definedName name="doměsíce">'HI Graf'!$C$11</definedName>
    <definedName name="_xlnm.Print_Area" localSheetId="24">ALOS!$A$1:$M$45</definedName>
    <definedName name="_xlnm.Print_Area" localSheetId="23">CaseMix!$A$1:$M$39</definedName>
  </definedNames>
  <calcPr calcId="145621"/>
</workbook>
</file>

<file path=xl/calcChain.xml><?xml version="1.0" encoding="utf-8"?>
<calcChain xmlns="http://schemas.openxmlformats.org/spreadsheetml/2006/main">
  <c r="V71" i="371" l="1"/>
  <c r="U71" i="371"/>
  <c r="T71" i="371"/>
  <c r="S71" i="371"/>
  <c r="R71" i="371"/>
  <c r="Q71" i="371"/>
  <c r="T70" i="371"/>
  <c r="V70" i="371" s="1"/>
  <c r="S70" i="371"/>
  <c r="R70" i="371"/>
  <c r="Q70" i="371"/>
  <c r="V69" i="371"/>
  <c r="U69" i="371"/>
  <c r="T69" i="371"/>
  <c r="S69" i="371"/>
  <c r="R69" i="371"/>
  <c r="Q69" i="371"/>
  <c r="T68" i="371"/>
  <c r="V68" i="371" s="1"/>
  <c r="S68" i="371"/>
  <c r="R68" i="371"/>
  <c r="Q68" i="371"/>
  <c r="V67" i="371"/>
  <c r="U67" i="371"/>
  <c r="T67" i="371"/>
  <c r="S67" i="371"/>
  <c r="R67" i="371"/>
  <c r="Q67" i="371"/>
  <c r="V66" i="371"/>
  <c r="U66" i="371"/>
  <c r="T66" i="371"/>
  <c r="S66" i="371"/>
  <c r="R66" i="371"/>
  <c r="Q66" i="371"/>
  <c r="V65" i="371"/>
  <c r="U65" i="371"/>
  <c r="T65" i="371"/>
  <c r="S65" i="371"/>
  <c r="R65" i="371"/>
  <c r="Q65" i="371"/>
  <c r="V64" i="371"/>
  <c r="U64" i="371"/>
  <c r="T64" i="371"/>
  <c r="S64" i="371"/>
  <c r="R64" i="371"/>
  <c r="Q64" i="371"/>
  <c r="V63" i="371"/>
  <c r="U63" i="371"/>
  <c r="T63" i="371"/>
  <c r="S63" i="371"/>
  <c r="R63" i="371"/>
  <c r="Q63" i="371"/>
  <c r="T62" i="371"/>
  <c r="V62" i="371" s="1"/>
  <c r="S62" i="371"/>
  <c r="R62" i="371"/>
  <c r="Q62" i="371"/>
  <c r="V61" i="371"/>
  <c r="U61" i="371"/>
  <c r="T61" i="371"/>
  <c r="S61" i="371"/>
  <c r="R61" i="371"/>
  <c r="Q61" i="371"/>
  <c r="T60" i="371"/>
  <c r="V60" i="371" s="1"/>
  <c r="S60" i="371"/>
  <c r="R60" i="371"/>
  <c r="Q60" i="371"/>
  <c r="V59" i="371"/>
  <c r="U59" i="371"/>
  <c r="T59" i="371"/>
  <c r="S59" i="371"/>
  <c r="R59" i="371"/>
  <c r="Q59" i="371"/>
  <c r="V58" i="371"/>
  <c r="U58" i="371"/>
  <c r="T58" i="371"/>
  <c r="S58" i="371"/>
  <c r="R58" i="371"/>
  <c r="Q58" i="371"/>
  <c r="V57" i="371"/>
  <c r="U57" i="371"/>
  <c r="T57" i="371"/>
  <c r="S57" i="371"/>
  <c r="R57" i="371"/>
  <c r="Q57" i="371"/>
  <c r="T56" i="371"/>
  <c r="V56" i="371" s="1"/>
  <c r="S56" i="371"/>
  <c r="R56" i="371"/>
  <c r="Q56" i="371"/>
  <c r="V55" i="371"/>
  <c r="U55" i="371"/>
  <c r="T55" i="371"/>
  <c r="S55" i="371"/>
  <c r="R55" i="371"/>
  <c r="Q55" i="371"/>
  <c r="T54" i="371"/>
  <c r="V54" i="371" s="1"/>
  <c r="S54" i="371"/>
  <c r="R54" i="371"/>
  <c r="Q54" i="371"/>
  <c r="V53" i="371"/>
  <c r="U53" i="371"/>
  <c r="T53" i="371"/>
  <c r="S53" i="371"/>
  <c r="R53" i="371"/>
  <c r="Q53" i="371"/>
  <c r="V52" i="371"/>
  <c r="U52" i="371"/>
  <c r="T52" i="371"/>
  <c r="S52" i="371"/>
  <c r="R52" i="371"/>
  <c r="Q52" i="371"/>
  <c r="V51" i="371"/>
  <c r="U51" i="371"/>
  <c r="T51" i="371"/>
  <c r="S51" i="371"/>
  <c r="R51" i="371"/>
  <c r="Q51" i="371"/>
  <c r="V50" i="371"/>
  <c r="U50" i="371"/>
  <c r="T50" i="371"/>
  <c r="S50" i="371"/>
  <c r="R50" i="371"/>
  <c r="Q50" i="371"/>
  <c r="V49" i="371"/>
  <c r="U49" i="371"/>
  <c r="T49" i="371"/>
  <c r="S49" i="371"/>
  <c r="R49" i="371"/>
  <c r="Q49" i="371"/>
  <c r="V48" i="371"/>
  <c r="U48" i="371"/>
  <c r="T48" i="371"/>
  <c r="S48" i="371"/>
  <c r="R48" i="371"/>
  <c r="Q48" i="371"/>
  <c r="V47" i="371"/>
  <c r="U47" i="371"/>
  <c r="T47" i="371"/>
  <c r="S47" i="371"/>
  <c r="R47" i="371"/>
  <c r="Q47" i="371"/>
  <c r="T46" i="371"/>
  <c r="V46" i="371" s="1"/>
  <c r="S46" i="371"/>
  <c r="R46" i="371"/>
  <c r="Q46" i="371"/>
  <c r="V45" i="371"/>
  <c r="U45" i="371"/>
  <c r="T45" i="371"/>
  <c r="S45" i="371"/>
  <c r="R45" i="371"/>
  <c r="Q45" i="371"/>
  <c r="V44" i="371"/>
  <c r="U44" i="371"/>
  <c r="T44" i="371"/>
  <c r="S44" i="371"/>
  <c r="R44" i="371"/>
  <c r="Q44" i="371"/>
  <c r="V43" i="371"/>
  <c r="U43" i="371"/>
  <c r="T43" i="371"/>
  <c r="S43" i="371"/>
  <c r="R43" i="371"/>
  <c r="Q43" i="371"/>
  <c r="V42" i="371"/>
  <c r="U42" i="371"/>
  <c r="T42" i="371"/>
  <c r="S42" i="371"/>
  <c r="R42" i="371"/>
  <c r="Q42" i="371"/>
  <c r="V41" i="371"/>
  <c r="U41" i="371"/>
  <c r="T41" i="371"/>
  <c r="S41" i="371"/>
  <c r="R41" i="371"/>
  <c r="Q41" i="371"/>
  <c r="V40" i="371"/>
  <c r="U40" i="371"/>
  <c r="T40" i="371"/>
  <c r="S40" i="371"/>
  <c r="R40" i="371"/>
  <c r="Q40" i="371"/>
  <c r="V39" i="371"/>
  <c r="U39" i="371"/>
  <c r="T39" i="371"/>
  <c r="S39" i="371"/>
  <c r="R39" i="371"/>
  <c r="Q39" i="371"/>
  <c r="V38" i="371"/>
  <c r="U38" i="371"/>
  <c r="T38" i="371"/>
  <c r="S38" i="371"/>
  <c r="R38" i="371"/>
  <c r="Q38" i="371"/>
  <c r="V37" i="371"/>
  <c r="U37" i="371"/>
  <c r="T37" i="371"/>
  <c r="S37" i="371"/>
  <c r="R37" i="371"/>
  <c r="Q37" i="371"/>
  <c r="V36" i="371"/>
  <c r="U36" i="371"/>
  <c r="T36" i="371"/>
  <c r="S36" i="371"/>
  <c r="R36" i="371"/>
  <c r="Q36" i="371"/>
  <c r="V35" i="371"/>
  <c r="U35" i="371"/>
  <c r="T35" i="371"/>
  <c r="S35" i="371"/>
  <c r="R35" i="371"/>
  <c r="Q35" i="371"/>
  <c r="V34" i="371"/>
  <c r="U34" i="371"/>
  <c r="T34" i="371"/>
  <c r="S34" i="371"/>
  <c r="R34" i="371"/>
  <c r="Q34" i="371"/>
  <c r="V33" i="371"/>
  <c r="U33" i="371"/>
  <c r="T33" i="371"/>
  <c r="S33" i="371"/>
  <c r="R33" i="371"/>
  <c r="Q33" i="371"/>
  <c r="T32" i="371"/>
  <c r="V32" i="371" s="1"/>
  <c r="S32" i="371"/>
  <c r="R32" i="371"/>
  <c r="Q32" i="371"/>
  <c r="V31" i="371"/>
  <c r="U31" i="371"/>
  <c r="T31" i="371"/>
  <c r="S31" i="371"/>
  <c r="R31" i="371"/>
  <c r="Q31" i="371"/>
  <c r="V30" i="371"/>
  <c r="U30" i="371"/>
  <c r="T30" i="371"/>
  <c r="S30" i="371"/>
  <c r="R30" i="371"/>
  <c r="Q30" i="371"/>
  <c r="V29" i="371"/>
  <c r="U29" i="371"/>
  <c r="T29" i="371"/>
  <c r="S29" i="371"/>
  <c r="R29" i="371"/>
  <c r="Q29" i="371"/>
  <c r="V28" i="371"/>
  <c r="U28" i="371"/>
  <c r="T28" i="371"/>
  <c r="S28" i="371"/>
  <c r="R28" i="371"/>
  <c r="Q28" i="371"/>
  <c r="V27" i="371"/>
  <c r="U27" i="371"/>
  <c r="T27" i="371"/>
  <c r="S27" i="371"/>
  <c r="R27" i="371"/>
  <c r="Q27" i="371"/>
  <c r="V26" i="371"/>
  <c r="U26" i="371"/>
  <c r="T26" i="371"/>
  <c r="S26" i="371"/>
  <c r="R26" i="371"/>
  <c r="Q26" i="371"/>
  <c r="V25" i="371"/>
  <c r="U25" i="371"/>
  <c r="T25" i="371"/>
  <c r="S25" i="371"/>
  <c r="R25" i="371"/>
  <c r="Q25" i="371"/>
  <c r="T24" i="371"/>
  <c r="V24" i="371" s="1"/>
  <c r="S24" i="371"/>
  <c r="R24" i="371"/>
  <c r="Q24" i="371"/>
  <c r="V23" i="371"/>
  <c r="U23" i="371"/>
  <c r="T23" i="371"/>
  <c r="S23" i="371"/>
  <c r="R23" i="371"/>
  <c r="Q23" i="371"/>
  <c r="T22" i="371"/>
  <c r="V22" i="371" s="1"/>
  <c r="S22" i="371"/>
  <c r="R22" i="371"/>
  <c r="Q22" i="371"/>
  <c r="V21" i="371"/>
  <c r="U21" i="371"/>
  <c r="T21" i="371"/>
  <c r="S21" i="371"/>
  <c r="R21" i="371"/>
  <c r="Q21" i="371"/>
  <c r="V20" i="371"/>
  <c r="U20" i="371"/>
  <c r="T20" i="371"/>
  <c r="S20" i="371"/>
  <c r="R20" i="371"/>
  <c r="Q20" i="371"/>
  <c r="V19" i="371"/>
  <c r="U19" i="371"/>
  <c r="T19" i="371"/>
  <c r="S19" i="371"/>
  <c r="R19" i="371"/>
  <c r="Q19" i="371"/>
  <c r="V18" i="371"/>
  <c r="U18" i="371"/>
  <c r="T18" i="371"/>
  <c r="S18" i="371"/>
  <c r="R18" i="371"/>
  <c r="Q18" i="371"/>
  <c r="V17" i="371"/>
  <c r="U17" i="371"/>
  <c r="T17" i="371"/>
  <c r="S17" i="371"/>
  <c r="R17" i="371"/>
  <c r="Q17" i="371"/>
  <c r="T16" i="371"/>
  <c r="V16" i="371" s="1"/>
  <c r="S16" i="371"/>
  <c r="R16" i="371"/>
  <c r="Q16" i="371"/>
  <c r="V15" i="371"/>
  <c r="U15" i="371"/>
  <c r="T15" i="371"/>
  <c r="S15" i="371"/>
  <c r="R15" i="371"/>
  <c r="Q15" i="371"/>
  <c r="V14" i="371"/>
  <c r="U14" i="371"/>
  <c r="T14" i="371"/>
  <c r="S14" i="371"/>
  <c r="R14" i="371"/>
  <c r="Q14" i="371"/>
  <c r="V13" i="371"/>
  <c r="U13" i="371"/>
  <c r="T13" i="371"/>
  <c r="S13" i="371"/>
  <c r="R13" i="371"/>
  <c r="Q13" i="371"/>
  <c r="T12" i="371"/>
  <c r="V12" i="371" s="1"/>
  <c r="S12" i="371"/>
  <c r="R12" i="371"/>
  <c r="Q12" i="371"/>
  <c r="V11" i="371"/>
  <c r="U11" i="371"/>
  <c r="T11" i="371"/>
  <c r="S11" i="371"/>
  <c r="R11" i="371"/>
  <c r="Q11" i="371"/>
  <c r="T10" i="371"/>
  <c r="V10" i="371" s="1"/>
  <c r="S10" i="371"/>
  <c r="R10" i="371"/>
  <c r="Q10" i="371"/>
  <c r="V9" i="371"/>
  <c r="U9" i="371"/>
  <c r="T9" i="371"/>
  <c r="S9" i="371"/>
  <c r="R9" i="371"/>
  <c r="Q9" i="371"/>
  <c r="V8" i="371"/>
  <c r="U8" i="371"/>
  <c r="T8" i="371"/>
  <c r="S8" i="371"/>
  <c r="R8" i="371"/>
  <c r="Q8" i="371"/>
  <c r="V7" i="371"/>
  <c r="U7" i="371"/>
  <c r="T7" i="371"/>
  <c r="S7" i="371"/>
  <c r="R7" i="371"/>
  <c r="Q7" i="371"/>
  <c r="T6" i="371"/>
  <c r="V6" i="371" s="1"/>
  <c r="S6" i="371"/>
  <c r="R6" i="371"/>
  <c r="Q6" i="371"/>
  <c r="V5" i="371"/>
  <c r="U5" i="371"/>
  <c r="T5" i="371"/>
  <c r="S5" i="371"/>
  <c r="R5" i="371"/>
  <c r="Q5" i="371"/>
  <c r="U6" i="371" l="1"/>
  <c r="U10" i="371"/>
  <c r="U22" i="371"/>
  <c r="U24" i="371"/>
  <c r="U32" i="371"/>
  <c r="U46" i="371"/>
  <c r="U54" i="371"/>
  <c r="U56" i="371"/>
  <c r="U60" i="371"/>
  <c r="U62" i="371"/>
  <c r="U68" i="371"/>
  <c r="U70" i="371"/>
  <c r="U12" i="371"/>
  <c r="U16" i="371"/>
  <c r="AG26" i="419" l="1"/>
  <c r="AG25" i="419"/>
  <c r="C11" i="340" l="1"/>
  <c r="A20" i="383" l="1"/>
  <c r="A11" i="383"/>
  <c r="C15" i="414"/>
  <c r="D15" i="414"/>
  <c r="AG20" i="419" l="1"/>
  <c r="AF20" i="419"/>
  <c r="AE20" i="419"/>
  <c r="AD20" i="419"/>
  <c r="AC20" i="419"/>
  <c r="AB20" i="419"/>
  <c r="AA20" i="419"/>
  <c r="Z20" i="419"/>
  <c r="Y20" i="419"/>
  <c r="X20" i="419"/>
  <c r="W20" i="419"/>
  <c r="V20" i="419"/>
  <c r="U20" i="419"/>
  <c r="T20" i="419"/>
  <c r="S20" i="419"/>
  <c r="R20" i="419"/>
  <c r="Q20" i="419"/>
  <c r="P20" i="419"/>
  <c r="O20" i="419"/>
  <c r="N20" i="419"/>
  <c r="M20" i="419"/>
  <c r="L20" i="419"/>
  <c r="K20" i="419"/>
  <c r="J20" i="419"/>
  <c r="I20" i="419"/>
  <c r="H20" i="419"/>
  <c r="G20" i="419"/>
  <c r="F20" i="419"/>
  <c r="E20" i="419"/>
  <c r="D20" i="419"/>
  <c r="AG19" i="419"/>
  <c r="AF19" i="419"/>
  <c r="AE19" i="419"/>
  <c r="AD19" i="419"/>
  <c r="AC19" i="419"/>
  <c r="AB19" i="419"/>
  <c r="AA19" i="419"/>
  <c r="Z19" i="419"/>
  <c r="Y19" i="419"/>
  <c r="X19" i="419"/>
  <c r="W19" i="419"/>
  <c r="V19" i="419"/>
  <c r="U19" i="419"/>
  <c r="T19" i="419"/>
  <c r="S19" i="419"/>
  <c r="R19" i="419"/>
  <c r="Q19" i="419"/>
  <c r="P19" i="419"/>
  <c r="O19" i="419"/>
  <c r="N19" i="419"/>
  <c r="M19" i="419"/>
  <c r="L19" i="419"/>
  <c r="K19" i="419"/>
  <c r="J19" i="419"/>
  <c r="I19" i="419"/>
  <c r="H19" i="419"/>
  <c r="G19" i="419"/>
  <c r="F19" i="419"/>
  <c r="E19" i="419"/>
  <c r="D19" i="419"/>
  <c r="AG17" i="419"/>
  <c r="AF17" i="419"/>
  <c r="AE17" i="419"/>
  <c r="AD17" i="419"/>
  <c r="AC17" i="419"/>
  <c r="AB17" i="419"/>
  <c r="AA17" i="419"/>
  <c r="Z17" i="419"/>
  <c r="Y17" i="419"/>
  <c r="X17" i="419"/>
  <c r="W17" i="419"/>
  <c r="V17" i="419"/>
  <c r="U17" i="419"/>
  <c r="T17" i="419"/>
  <c r="S17" i="419"/>
  <c r="R17" i="419"/>
  <c r="Q17" i="419"/>
  <c r="P17" i="419"/>
  <c r="O17" i="419"/>
  <c r="N17" i="419"/>
  <c r="M17" i="419"/>
  <c r="L17" i="419"/>
  <c r="K17" i="419"/>
  <c r="J17" i="419"/>
  <c r="I17" i="419"/>
  <c r="H17" i="419"/>
  <c r="G17" i="419"/>
  <c r="F17" i="419"/>
  <c r="E17" i="419"/>
  <c r="D17" i="419"/>
  <c r="AG16" i="419"/>
  <c r="AF16" i="419"/>
  <c r="AE16" i="419"/>
  <c r="AD16" i="419"/>
  <c r="AC16" i="419"/>
  <c r="AB16" i="419"/>
  <c r="AA16" i="419"/>
  <c r="Z16" i="419"/>
  <c r="Y16" i="419"/>
  <c r="X16" i="419"/>
  <c r="W16" i="419"/>
  <c r="V16" i="419"/>
  <c r="U16" i="419"/>
  <c r="T16" i="419"/>
  <c r="S16" i="419"/>
  <c r="R16" i="419"/>
  <c r="Q16" i="419"/>
  <c r="P16" i="419"/>
  <c r="O16" i="419"/>
  <c r="N16" i="419"/>
  <c r="M16" i="419"/>
  <c r="L16" i="419"/>
  <c r="K16" i="419"/>
  <c r="J16" i="419"/>
  <c r="I16" i="419"/>
  <c r="H16" i="419"/>
  <c r="G16" i="419"/>
  <c r="F16" i="419"/>
  <c r="E16" i="419"/>
  <c r="D16" i="419"/>
  <c r="AG14" i="419"/>
  <c r="AF14" i="419"/>
  <c r="AE14" i="419"/>
  <c r="AD14" i="419"/>
  <c r="AC14" i="419"/>
  <c r="AB14" i="419"/>
  <c r="AA14" i="419"/>
  <c r="Z14" i="419"/>
  <c r="Y14" i="419"/>
  <c r="X14" i="419"/>
  <c r="W14" i="419"/>
  <c r="V14" i="419"/>
  <c r="U14" i="419"/>
  <c r="T14" i="419"/>
  <c r="S14" i="419"/>
  <c r="R14" i="419"/>
  <c r="Q14" i="419"/>
  <c r="P14" i="419"/>
  <c r="O14" i="419"/>
  <c r="N14" i="419"/>
  <c r="M14" i="419"/>
  <c r="L14" i="419"/>
  <c r="K14" i="419"/>
  <c r="J14" i="419"/>
  <c r="I14" i="419"/>
  <c r="H14" i="419"/>
  <c r="G14" i="419"/>
  <c r="F14" i="419"/>
  <c r="E14" i="419"/>
  <c r="D14" i="419"/>
  <c r="AG13" i="419"/>
  <c r="AF13" i="419"/>
  <c r="AE13" i="419"/>
  <c r="AD13" i="419"/>
  <c r="AC13" i="419"/>
  <c r="AB13" i="419"/>
  <c r="AA13" i="419"/>
  <c r="Z13" i="419"/>
  <c r="Y13" i="419"/>
  <c r="X13" i="419"/>
  <c r="W13" i="419"/>
  <c r="V13" i="419"/>
  <c r="U13" i="419"/>
  <c r="T13" i="419"/>
  <c r="S13" i="419"/>
  <c r="R13" i="419"/>
  <c r="Q13" i="419"/>
  <c r="P13" i="419"/>
  <c r="O13" i="419"/>
  <c r="N13" i="419"/>
  <c r="M13" i="419"/>
  <c r="L13" i="419"/>
  <c r="K13" i="419"/>
  <c r="J13" i="419"/>
  <c r="I13" i="419"/>
  <c r="H13" i="419"/>
  <c r="G13" i="419"/>
  <c r="F13" i="419"/>
  <c r="E13" i="419"/>
  <c r="D13" i="419"/>
  <c r="AG12" i="419"/>
  <c r="AF12" i="419"/>
  <c r="AE12" i="419"/>
  <c r="AD12" i="419"/>
  <c r="AC12" i="419"/>
  <c r="AB12" i="419"/>
  <c r="AA12" i="419"/>
  <c r="Z12" i="419"/>
  <c r="Y12" i="419"/>
  <c r="X12" i="419"/>
  <c r="W12" i="419"/>
  <c r="V12" i="419"/>
  <c r="U12" i="419"/>
  <c r="T12" i="419"/>
  <c r="S12" i="419"/>
  <c r="R12" i="419"/>
  <c r="Q12" i="419"/>
  <c r="P12" i="419"/>
  <c r="O12" i="419"/>
  <c r="N12" i="419"/>
  <c r="M12" i="419"/>
  <c r="L12" i="419"/>
  <c r="K12" i="419"/>
  <c r="J12" i="419"/>
  <c r="I12" i="419"/>
  <c r="H12" i="419"/>
  <c r="G12" i="419"/>
  <c r="F12" i="419"/>
  <c r="E12" i="419"/>
  <c r="D12" i="419"/>
  <c r="AG11" i="419"/>
  <c r="AF11" i="419"/>
  <c r="AE11" i="419"/>
  <c r="AD11" i="419"/>
  <c r="AC11" i="419"/>
  <c r="AB11" i="419"/>
  <c r="AA11" i="419"/>
  <c r="Z11" i="419"/>
  <c r="Y11" i="419"/>
  <c r="X11" i="419"/>
  <c r="W11" i="419"/>
  <c r="V11" i="419"/>
  <c r="U11" i="419"/>
  <c r="T11" i="419"/>
  <c r="S11" i="419"/>
  <c r="R11" i="419"/>
  <c r="Q11" i="419"/>
  <c r="P11" i="419"/>
  <c r="O11" i="419"/>
  <c r="N11" i="419"/>
  <c r="M11" i="419"/>
  <c r="L11" i="419"/>
  <c r="K11" i="419"/>
  <c r="J11" i="419"/>
  <c r="I11" i="419"/>
  <c r="H11" i="419"/>
  <c r="G11" i="419"/>
  <c r="F11" i="419"/>
  <c r="E11" i="419"/>
  <c r="D11" i="419"/>
  <c r="AN3" i="418"/>
  <c r="AM3" i="418"/>
  <c r="AL3" i="418"/>
  <c r="AK3" i="418"/>
  <c r="AJ3" i="418"/>
  <c r="AI3" i="418"/>
  <c r="AH3" i="418"/>
  <c r="AG3" i="418"/>
  <c r="AF3" i="418"/>
  <c r="AE3" i="418"/>
  <c r="AD3" i="418"/>
  <c r="AC3" i="418"/>
  <c r="AB3" i="418"/>
  <c r="AA3" i="418"/>
  <c r="Z3" i="418"/>
  <c r="Y3" i="418"/>
  <c r="X3" i="418"/>
  <c r="W3" i="418"/>
  <c r="V3" i="418"/>
  <c r="U3" i="418"/>
  <c r="T3" i="418"/>
  <c r="S3" i="418"/>
  <c r="R3" i="418"/>
  <c r="D18" i="419" l="1"/>
  <c r="G18" i="419"/>
  <c r="S18" i="419"/>
  <c r="W18" i="419"/>
  <c r="AA18" i="419"/>
  <c r="I18" i="419"/>
  <c r="M18" i="419"/>
  <c r="Q18" i="419"/>
  <c r="U18" i="419"/>
  <c r="Y18" i="419"/>
  <c r="AC18" i="419"/>
  <c r="E18" i="419"/>
  <c r="H18" i="419"/>
  <c r="L18" i="419"/>
  <c r="P18" i="419"/>
  <c r="T18" i="419"/>
  <c r="X18" i="419"/>
  <c r="AB18" i="419"/>
  <c r="AF18" i="419"/>
  <c r="K18" i="419"/>
  <c r="O18" i="419"/>
  <c r="AE18" i="419"/>
  <c r="F18" i="419"/>
  <c r="J18" i="419"/>
  <c r="N18" i="419"/>
  <c r="R18" i="419"/>
  <c r="V18" i="419"/>
  <c r="Z18" i="419"/>
  <c r="AD18" i="419"/>
  <c r="AG18" i="419"/>
  <c r="C25" i="419"/>
  <c r="AG27" i="419" l="1"/>
  <c r="F26" i="419"/>
  <c r="C26" i="419"/>
  <c r="B26" i="419" l="1"/>
  <c r="C28" i="419"/>
  <c r="C27" i="419"/>
  <c r="Q3" i="418"/>
  <c r="P3" i="418"/>
  <c r="O3" i="418"/>
  <c r="N3" i="418"/>
  <c r="M3" i="418"/>
  <c r="L3" i="418"/>
  <c r="K3" i="418"/>
  <c r="J3" i="418"/>
  <c r="I3" i="418"/>
  <c r="H3" i="418"/>
  <c r="G3" i="418"/>
  <c r="F3" i="418"/>
  <c r="AG28" i="419" l="1"/>
  <c r="F25" i="419"/>
  <c r="F27" i="419" s="1"/>
  <c r="B25" i="419" l="1"/>
  <c r="B27" i="419" s="1"/>
  <c r="F28" i="419"/>
  <c r="B28" i="419" s="1"/>
  <c r="A7" i="339"/>
  <c r="D3" i="418" l="1"/>
  <c r="AF6" i="419" l="1"/>
  <c r="AB6" i="419"/>
  <c r="X6" i="419"/>
  <c r="T6" i="419"/>
  <c r="P6" i="419"/>
  <c r="L6" i="419"/>
  <c r="H6" i="419"/>
  <c r="E6" i="419"/>
  <c r="AE6" i="419"/>
  <c r="AA6" i="419"/>
  <c r="W6" i="419"/>
  <c r="S6" i="419"/>
  <c r="O6" i="419"/>
  <c r="K6" i="419"/>
  <c r="G6" i="419"/>
  <c r="D6" i="419"/>
  <c r="AG6" i="419"/>
  <c r="AD6" i="419"/>
  <c r="Z6" i="419"/>
  <c r="V6" i="419"/>
  <c r="R6" i="419"/>
  <c r="N6" i="419"/>
  <c r="J6" i="419"/>
  <c r="F6" i="419"/>
  <c r="AC6" i="419"/>
  <c r="Y6" i="419"/>
  <c r="U6" i="419"/>
  <c r="Q6" i="419"/>
  <c r="M6" i="419"/>
  <c r="I6" i="419"/>
  <c r="C6" i="419"/>
  <c r="B6" i="419"/>
  <c r="C20" i="419"/>
  <c r="B20" i="419"/>
  <c r="C19" i="419"/>
  <c r="B19" i="419"/>
  <c r="C17" i="419"/>
  <c r="B17" i="419"/>
  <c r="C16" i="419"/>
  <c r="B16" i="419"/>
  <c r="C14" i="419"/>
  <c r="B14" i="419"/>
  <c r="C13" i="419"/>
  <c r="B13" i="419"/>
  <c r="C12" i="419"/>
  <c r="B12" i="419"/>
  <c r="C11" i="419"/>
  <c r="B11" i="419"/>
  <c r="C18" i="419" l="1"/>
  <c r="B18" i="419" l="1"/>
  <c r="B39" i="370" l="1"/>
  <c r="H39" i="370"/>
  <c r="G39" i="370"/>
  <c r="F39" i="370"/>
  <c r="D39" i="370"/>
  <c r="C39" i="370"/>
  <c r="H26" i="370"/>
  <c r="G26" i="370"/>
  <c r="F26" i="370"/>
  <c r="D26" i="370"/>
  <c r="C26" i="370"/>
  <c r="B26" i="370"/>
  <c r="H13" i="370"/>
  <c r="G13" i="370"/>
  <c r="F13" i="370"/>
  <c r="D13" i="370"/>
  <c r="C13" i="370"/>
  <c r="B13" i="370"/>
  <c r="M38" i="370" l="1"/>
  <c r="L38" i="370"/>
  <c r="M25" i="370"/>
  <c r="L25" i="370"/>
  <c r="M12" i="370"/>
  <c r="L12" i="370"/>
  <c r="M8" i="340" l="1"/>
  <c r="L8" i="340"/>
  <c r="K8" i="340"/>
  <c r="J8" i="340"/>
  <c r="I8" i="340"/>
  <c r="H8" i="340"/>
  <c r="G8" i="340"/>
  <c r="F8" i="340"/>
  <c r="E8" i="340"/>
  <c r="D8" i="340"/>
  <c r="C8" i="340"/>
  <c r="B8" i="340"/>
  <c r="D14" i="414" l="1"/>
  <c r="D7" i="414"/>
  <c r="J24" i="370" l="1"/>
  <c r="J23" i="370"/>
  <c r="J22" i="370"/>
  <c r="J21" i="370"/>
  <c r="J20" i="370"/>
  <c r="J19" i="370"/>
  <c r="J18" i="370"/>
  <c r="A27" i="414" l="1"/>
  <c r="A17" i="414"/>
  <c r="H9" i="339" l="1"/>
  <c r="G9" i="339"/>
  <c r="H8" i="339"/>
  <c r="G8" i="339"/>
  <c r="H7" i="339"/>
  <c r="G7" i="339"/>
  <c r="H6" i="339"/>
  <c r="G6" i="339"/>
  <c r="H5" i="339"/>
  <c r="G5" i="339"/>
  <c r="A15" i="339" l="1"/>
  <c r="A12" i="339"/>
  <c r="A11" i="339"/>
  <c r="A25" i="414" l="1"/>
  <c r="A24" i="414"/>
  <c r="A23" i="414"/>
  <c r="A22" i="414" l="1"/>
  <c r="A21" i="414"/>
  <c r="A18" i="414"/>
  <c r="L3" i="342" l="1"/>
  <c r="K3" i="342"/>
  <c r="J3" i="342"/>
  <c r="I3" i="342"/>
  <c r="H3" i="342"/>
  <c r="M3" i="342" s="1"/>
  <c r="F3" i="342"/>
  <c r="E3" i="342"/>
  <c r="D3" i="342"/>
  <c r="C3" i="342"/>
  <c r="B3" i="342"/>
  <c r="G3" i="342" s="1"/>
  <c r="D27" i="414" s="1"/>
  <c r="R3" i="410"/>
  <c r="Q3" i="410"/>
  <c r="P3" i="410"/>
  <c r="O3" i="410"/>
  <c r="N3" i="410"/>
  <c r="S3" i="410" s="1"/>
  <c r="L3" i="410"/>
  <c r="K3" i="410"/>
  <c r="J3" i="410"/>
  <c r="I3" i="410"/>
  <c r="H3" i="410"/>
  <c r="M3" i="410" s="1"/>
  <c r="F3" i="410"/>
  <c r="E3" i="410"/>
  <c r="D3" i="410"/>
  <c r="C3" i="410"/>
  <c r="B3" i="410"/>
  <c r="G3" i="410" s="1"/>
  <c r="D20" i="414" s="1"/>
  <c r="R3" i="344" l="1"/>
  <c r="Q3" i="344"/>
  <c r="P3" i="344"/>
  <c r="O3" i="344"/>
  <c r="N3" i="344"/>
  <c r="S3" i="344" s="1"/>
  <c r="L3" i="344"/>
  <c r="K3" i="344"/>
  <c r="J3" i="344"/>
  <c r="I3" i="344"/>
  <c r="H3" i="344"/>
  <c r="M3" i="344" s="1"/>
  <c r="F3" i="344"/>
  <c r="E11" i="339" s="1"/>
  <c r="E3" i="344"/>
  <c r="D3" i="344"/>
  <c r="C3" i="344"/>
  <c r="B3" i="344"/>
  <c r="B11" i="339" s="1"/>
  <c r="F11" i="339" l="1"/>
  <c r="G3" i="344"/>
  <c r="D19" i="414" s="1"/>
  <c r="C11" i="339"/>
  <c r="H11" i="339" l="1"/>
  <c r="G11" i="339"/>
  <c r="A26" i="414"/>
  <c r="A20" i="414"/>
  <c r="A19" i="414"/>
  <c r="A14" i="414"/>
  <c r="A11" i="414"/>
  <c r="A10" i="414"/>
  <c r="A8" i="414"/>
  <c r="A7" i="414"/>
  <c r="A15" i="414"/>
  <c r="A4" i="414"/>
  <c r="A6" i="339" l="1"/>
  <c r="A5" i="339"/>
  <c r="D18" i="414"/>
  <c r="D4" i="414"/>
  <c r="C18" i="414"/>
  <c r="D11" i="414" l="1"/>
  <c r="D8" i="414"/>
  <c r="C14" i="414" l="1"/>
  <c r="C7" i="414"/>
  <c r="D10" i="414" l="1"/>
  <c r="E10" i="414" s="1"/>
  <c r="E20" i="414"/>
  <c r="E19" i="414"/>
  <c r="E14" i="414"/>
  <c r="E7" i="414"/>
  <c r="E11" i="414"/>
  <c r="E8" i="414"/>
  <c r="A16" i="383" l="1"/>
  <c r="A19" i="383" l="1"/>
  <c r="A14" i="383" l="1"/>
  <c r="B10" i="340" l="1"/>
  <c r="B5" i="340"/>
  <c r="B6" i="340" s="1"/>
  <c r="M5" i="340"/>
  <c r="L5" i="340"/>
  <c r="K5" i="340"/>
  <c r="J5" i="340"/>
  <c r="I5" i="340"/>
  <c r="H5" i="340"/>
  <c r="G5" i="340"/>
  <c r="F5" i="340"/>
  <c r="E5" i="340"/>
  <c r="D5" i="340"/>
  <c r="C5" i="340"/>
  <c r="K3" i="403" l="1"/>
  <c r="J3" i="403"/>
  <c r="I3" i="403" s="1"/>
  <c r="M3" i="220" l="1"/>
  <c r="M37" i="370" l="1"/>
  <c r="L37" i="370"/>
  <c r="M36" i="370"/>
  <c r="L36" i="370"/>
  <c r="M35" i="370"/>
  <c r="L35" i="370"/>
  <c r="M34" i="370"/>
  <c r="L34" i="370"/>
  <c r="M33" i="370"/>
  <c r="L33" i="370"/>
  <c r="M32" i="370"/>
  <c r="L32" i="370"/>
  <c r="M31" i="370"/>
  <c r="L31" i="370"/>
  <c r="E39" i="370" l="1"/>
  <c r="D24" i="414" s="1"/>
  <c r="E24" i="414" s="1"/>
  <c r="I39" i="370"/>
  <c r="I26" i="370"/>
  <c r="E12" i="339"/>
  <c r="M39" i="370"/>
  <c r="E26" i="370"/>
  <c r="D23" i="414" s="1"/>
  <c r="E23" i="414" s="1"/>
  <c r="L39" i="370"/>
  <c r="C12" i="339"/>
  <c r="E13" i="370"/>
  <c r="D22" i="414" s="1"/>
  <c r="E22" i="414" s="1"/>
  <c r="L13" i="370"/>
  <c r="B12" i="339"/>
  <c r="F12" i="339" s="1"/>
  <c r="I13" i="370"/>
  <c r="D25" i="414" s="1"/>
  <c r="E25" i="414" s="1"/>
  <c r="M3" i="372"/>
  <c r="L3" i="372"/>
  <c r="K3" i="372"/>
  <c r="I3" i="372"/>
  <c r="H3" i="372"/>
  <c r="G3" i="372"/>
  <c r="E3" i="372"/>
  <c r="D3" i="372"/>
  <c r="C3" i="372"/>
  <c r="O3" i="343"/>
  <c r="N3" i="343"/>
  <c r="K3" i="343"/>
  <c r="J3" i="343"/>
  <c r="G3" i="343"/>
  <c r="F3" i="343"/>
  <c r="O3" i="377"/>
  <c r="N3" i="377"/>
  <c r="Q3" i="377" s="1"/>
  <c r="K3" i="377"/>
  <c r="J3" i="377"/>
  <c r="G3" i="377"/>
  <c r="P3" i="377" s="1"/>
  <c r="F3" i="377"/>
  <c r="N3" i="345"/>
  <c r="M3" i="345"/>
  <c r="P3" i="345" s="1"/>
  <c r="J3" i="345"/>
  <c r="I3" i="345"/>
  <c r="F3" i="345"/>
  <c r="O3" i="345" s="1"/>
  <c r="E3" i="345"/>
  <c r="M3" i="390"/>
  <c r="L3" i="390"/>
  <c r="J3" i="390"/>
  <c r="I3" i="390"/>
  <c r="G3" i="390"/>
  <c r="F3" i="390"/>
  <c r="T3" i="347"/>
  <c r="R3" i="347"/>
  <c r="P3" i="347"/>
  <c r="O3" i="347"/>
  <c r="U3" i="347" s="1"/>
  <c r="N3" i="347"/>
  <c r="S3" i="347" s="1"/>
  <c r="M3" i="347"/>
  <c r="M3" i="387"/>
  <c r="K3" i="387" s="1"/>
  <c r="L3" i="387"/>
  <c r="J3" i="387"/>
  <c r="I3" i="387"/>
  <c r="G3" i="387"/>
  <c r="F3" i="387"/>
  <c r="N3" i="220"/>
  <c r="L3" i="220" s="1"/>
  <c r="C21" i="414"/>
  <c r="D21" i="414"/>
  <c r="H3" i="390" l="1"/>
  <c r="Q3" i="347"/>
  <c r="H3" i="387"/>
  <c r="F3" i="372"/>
  <c r="N3" i="372"/>
  <c r="C27" i="414"/>
  <c r="E27" i="414" s="1"/>
  <c r="F13" i="339"/>
  <c r="E13" i="339"/>
  <c r="E15" i="339" s="1"/>
  <c r="J3" i="372"/>
  <c r="H12" i="339"/>
  <c r="G12" i="339"/>
  <c r="K3" i="390"/>
  <c r="A4" i="383"/>
  <c r="A34" i="383"/>
  <c r="A33" i="383"/>
  <c r="A32" i="383"/>
  <c r="A31" i="383"/>
  <c r="A30" i="383"/>
  <c r="A29" i="383"/>
  <c r="A28" i="383"/>
  <c r="A27" i="383"/>
  <c r="A26" i="383"/>
  <c r="A25" i="383"/>
  <c r="A22" i="383"/>
  <c r="A21" i="383"/>
  <c r="A18" i="383"/>
  <c r="A17" i="383"/>
  <c r="A15" i="383"/>
  <c r="A13" i="383"/>
  <c r="A12" i="383"/>
  <c r="A8" i="383"/>
  <c r="A7" i="383"/>
  <c r="A6" i="383"/>
  <c r="A5" i="383"/>
  <c r="C10" i="340"/>
  <c r="D10" i="340" s="1"/>
  <c r="E10" i="340" s="1"/>
  <c r="F10" i="340" s="1"/>
  <c r="G10" i="340" s="1"/>
  <c r="H10" i="340" s="1"/>
  <c r="I10" i="340" s="1"/>
  <c r="J10" i="340" s="1"/>
  <c r="K10" i="340" s="1"/>
  <c r="L10" i="340" s="1"/>
  <c r="M10" i="340" s="1"/>
  <c r="E45" i="374"/>
  <c r="D45" i="374"/>
  <c r="E44" i="374"/>
  <c r="D44" i="374"/>
  <c r="E43" i="374"/>
  <c r="D43" i="374"/>
  <c r="E42" i="374"/>
  <c r="D42" i="374"/>
  <c r="E41" i="374"/>
  <c r="D41" i="374"/>
  <c r="E40" i="374"/>
  <c r="D40" i="374"/>
  <c r="E39" i="374"/>
  <c r="D39" i="374"/>
  <c r="E38" i="374"/>
  <c r="D38" i="374"/>
  <c r="E37" i="374"/>
  <c r="D37" i="374"/>
  <c r="E36" i="374"/>
  <c r="D36" i="374"/>
  <c r="E35" i="374"/>
  <c r="D35" i="374"/>
  <c r="E34" i="374"/>
  <c r="D34" i="374"/>
  <c r="E33" i="374"/>
  <c r="D33" i="374"/>
  <c r="M24" i="370"/>
  <c r="L24" i="370"/>
  <c r="M23" i="370"/>
  <c r="L23" i="370"/>
  <c r="M22" i="370"/>
  <c r="L22" i="370"/>
  <c r="M21" i="370"/>
  <c r="L21" i="370"/>
  <c r="M20" i="370"/>
  <c r="L20" i="370"/>
  <c r="M19" i="370"/>
  <c r="L19" i="370"/>
  <c r="M18" i="370"/>
  <c r="L18" i="370"/>
  <c r="M13" i="370"/>
  <c r="M11" i="370"/>
  <c r="L11" i="370"/>
  <c r="M10" i="370"/>
  <c r="L10" i="370"/>
  <c r="M9" i="370"/>
  <c r="L9" i="370"/>
  <c r="M8" i="370"/>
  <c r="L8" i="370"/>
  <c r="M7" i="370"/>
  <c r="L7" i="370"/>
  <c r="M6" i="370"/>
  <c r="L6" i="370"/>
  <c r="M5" i="370"/>
  <c r="L5" i="370"/>
  <c r="Q3" i="343"/>
  <c r="P3" i="343"/>
  <c r="C13" i="339"/>
  <c r="C15" i="339" s="1"/>
  <c r="B13" i="339"/>
  <c r="B15" i="339" s="1"/>
  <c r="L26" i="370"/>
  <c r="M26" i="370"/>
  <c r="C4" i="414"/>
  <c r="D17" i="414"/>
  <c r="H13" i="339" l="1"/>
  <c r="F15" i="339"/>
  <c r="D26" i="414"/>
  <c r="E26" i="414" s="1"/>
  <c r="E15" i="414"/>
  <c r="E4" i="414"/>
  <c r="C6" i="340"/>
  <c r="D6" i="340" s="1"/>
  <c r="B4" i="340"/>
  <c r="G13" i="339"/>
  <c r="B13" i="340" l="1"/>
  <c r="B12" i="340"/>
  <c r="G15" i="339"/>
  <c r="H15" i="339"/>
  <c r="C4" i="340"/>
  <c r="E18" i="414"/>
  <c r="E21" i="414"/>
  <c r="D4" i="340"/>
  <c r="E6" i="340"/>
  <c r="C17" i="414"/>
  <c r="E17" i="414" l="1"/>
  <c r="E4" i="340"/>
  <c r="F6" i="340"/>
  <c r="G6" i="340" l="1"/>
  <c r="F4" i="340"/>
  <c r="H6" i="340" l="1"/>
  <c r="G4" i="340"/>
  <c r="H4" i="340" l="1"/>
  <c r="I6" i="340"/>
  <c r="I4" i="340" l="1"/>
  <c r="J6" i="340"/>
  <c r="K6" i="340" l="1"/>
  <c r="J4" i="340"/>
  <c r="K4" i="340" l="1"/>
  <c r="L6" i="340"/>
  <c r="L4" i="340" l="1"/>
  <c r="M6" i="340"/>
  <c r="M4" i="340" s="1"/>
</calcChain>
</file>

<file path=xl/comments1.xml><?xml version="1.0" encoding="utf-8"?>
<comments xmlns="http://schemas.openxmlformats.org/spreadsheetml/2006/main">
  <authors>
    <author>62361</author>
  </authors>
  <commentList>
    <comment ref="A4" authorId="0">
      <text>
        <r>
          <rPr>
            <b/>
            <sz val="9"/>
            <color indexed="81"/>
            <rFont val="Tahoma"/>
            <family val="2"/>
            <charset val="238"/>
          </rPr>
          <t>Zadejte číslo měsíce nebo rok, případně klikněte myší na tuto buňku a pomocí tlačítka s šipkou, které se objeví vpravo, vyberte požadovanou hodnotu.</t>
        </r>
      </text>
    </comment>
  </commentList>
</comments>
</file>

<file path=xl/sharedStrings.xml><?xml version="1.0" encoding="utf-8"?>
<sst xmlns="http://schemas.openxmlformats.org/spreadsheetml/2006/main" count="30201" uniqueCount="5696">
  <si>
    <t>NS</t>
  </si>
  <si>
    <t>Účet</t>
  </si>
  <si>
    <t>%</t>
  </si>
  <si>
    <t>Celkem</t>
  </si>
  <si>
    <t>Č.kl.</t>
  </si>
  <si>
    <t>Klinika</t>
  </si>
  <si>
    <t>Oddělení</t>
  </si>
  <si>
    <t>Č.účtu</t>
  </si>
  <si>
    <t>PL</t>
  </si>
  <si>
    <t>Kód lékárna</t>
  </si>
  <si>
    <t>Kód ZP</t>
  </si>
  <si>
    <t>Název</t>
  </si>
  <si>
    <t>Popis</t>
  </si>
  <si>
    <t>Mn.</t>
  </si>
  <si>
    <t>Kč</t>
  </si>
  <si>
    <t>Předepsáno</t>
  </si>
  <si>
    <t>Zachyceno v lékárně</t>
  </si>
  <si>
    <t>Č.</t>
  </si>
  <si>
    <t>Druh</t>
  </si>
  <si>
    <t>Úhrada Kč</t>
  </si>
  <si>
    <t>Dokl.</t>
  </si>
  <si>
    <t>Zachyceno v lékárně FNOL</t>
  </si>
  <si>
    <t>Úhr.</t>
  </si>
  <si>
    <t>Č.kliniky</t>
  </si>
  <si>
    <t>IČP</t>
  </si>
  <si>
    <t>Typ</t>
  </si>
  <si>
    <t>Náz.skup.</t>
  </si>
  <si>
    <t>Úhr</t>
  </si>
  <si>
    <t>ks</t>
  </si>
  <si>
    <t>Poměrové plnění rozpočtu  v tis. Kč.</t>
  </si>
  <si>
    <t>Rozp. měs. 1/12</t>
  </si>
  <si>
    <t>Rozp.rok tis. Kč</t>
  </si>
  <si>
    <t>Sk. tis Kč</t>
  </si>
  <si>
    <t>% podil</t>
  </si>
  <si>
    <t>501 10     Biologické implantáty</t>
  </si>
  <si>
    <t>501 13 Léky</t>
  </si>
  <si>
    <t>501 14     Krev</t>
  </si>
  <si>
    <t>501 15 SZM</t>
  </si>
  <si>
    <t>501 16     Potraviny</t>
  </si>
  <si>
    <t>501 17     Všeobecný materiál</t>
  </si>
  <si>
    <t>501 18     Náhradní díly</t>
  </si>
  <si>
    <t>501 19     Textil</t>
  </si>
  <si>
    <t>502     Spotřeba energie</t>
  </si>
  <si>
    <t>504     Prodané zboží</t>
  </si>
  <si>
    <t>507 Aktivace</t>
  </si>
  <si>
    <t>511     Opravy a udržování</t>
  </si>
  <si>
    <t>512     Cestovné</t>
  </si>
  <si>
    <t>518     Ostatní služby</t>
  </si>
  <si>
    <t>52     Osobní náklady</t>
  </si>
  <si>
    <t>551, 552, 553 Odpisy, ZC</t>
  </si>
  <si>
    <t>558 DDHM</t>
  </si>
  <si>
    <t>544, 554 - 556 Prodaný materiál a zák.rezervy,opr.p</t>
  </si>
  <si>
    <t>5xx  OStatní náklady</t>
  </si>
  <si>
    <t>501 - 598 Přímé náklady</t>
  </si>
  <si>
    <t>799     Vnitropodnikové náklady</t>
  </si>
  <si>
    <t>501-598, 799 Náklady celkem</t>
  </si>
  <si>
    <t>602 10-15 Přímé platby za zdrav.péči ostatní</t>
  </si>
  <si>
    <t>602 27  ředění cytostatik</t>
  </si>
  <si>
    <t>604, 644 Prodané zboží</t>
  </si>
  <si>
    <t>Čerpání darů, FKSP</t>
  </si>
  <si>
    <t>UKAZATEL ( % Plnění) = vypovídá, zda  čerpání skutečnosti odpovídá plánovanému rozpočtu. Překročení =   &gt; než 100%, úspora = &lt; než 100%, 100% čerpání  = rovnoměrné čerpání rozpočtu</t>
  </si>
  <si>
    <t>Sestava hospodaření za kliniky</t>
  </si>
  <si>
    <t xml:space="preserve">Minulé období </t>
  </si>
  <si>
    <t xml:space="preserve">Aktuální období  </t>
  </si>
  <si>
    <t>1/12 * Měs.do data</t>
  </si>
  <si>
    <t>Sk.do data</t>
  </si>
  <si>
    <t>HV</t>
  </si>
  <si>
    <t>měsíc</t>
  </si>
  <si>
    <t>Měsíc</t>
  </si>
  <si>
    <t>Rozdíl</t>
  </si>
  <si>
    <t>DRG total</t>
  </si>
  <si>
    <t>Casemix</t>
  </si>
  <si>
    <t>CM</t>
  </si>
  <si>
    <t>Hosp.</t>
  </si>
  <si>
    <t>KL</t>
  </si>
  <si>
    <t>DRG</t>
  </si>
  <si>
    <t>Váha DRG</t>
  </si>
  <si>
    <t>LTP</t>
  </si>
  <si>
    <t>HTP</t>
  </si>
  <si>
    <t>Alos</t>
  </si>
  <si>
    <t>Alfa</t>
  </si>
  <si>
    <t>Nazev</t>
  </si>
  <si>
    <t>Rozdíly</t>
  </si>
  <si>
    <t>Ošetřovací dny</t>
  </si>
  <si>
    <t>poč.</t>
  </si>
  <si>
    <t>ø dnů</t>
  </si>
  <si>
    <t>ALOS</t>
  </si>
  <si>
    <t>FNOL</t>
  </si>
  <si>
    <t>rozdíl</t>
  </si>
  <si>
    <t>případy nad ALOS</t>
  </si>
  <si>
    <t>Kód</t>
  </si>
  <si>
    <t>Počet</t>
  </si>
  <si>
    <t>Lékový paušál</t>
  </si>
  <si>
    <t>Kč / j.</t>
  </si>
  <si>
    <t>Skutečnost</t>
  </si>
  <si>
    <t>Rozpočet</t>
  </si>
  <si>
    <t>Plnění</t>
  </si>
  <si>
    <t>Ostatní (Kč)</t>
  </si>
  <si>
    <t>Náklady celkem</t>
  </si>
  <si>
    <t>Hospitalizace (casemix * 29500)</t>
  </si>
  <si>
    <t>Ambulance (body)</t>
  </si>
  <si>
    <t>Výnosy celkem</t>
  </si>
  <si>
    <t>Hospodářský index (Výnosy / Náklady)</t>
  </si>
  <si>
    <t>1-1</t>
  </si>
  <si>
    <t>1-2</t>
  </si>
  <si>
    <t>1-3</t>
  </si>
  <si>
    <t>1-4</t>
  </si>
  <si>
    <t>1-5</t>
  </si>
  <si>
    <t>1-6</t>
  </si>
  <si>
    <t>1-7</t>
  </si>
  <si>
    <t>1-8</t>
  </si>
  <si>
    <t>1-9</t>
  </si>
  <si>
    <t>1-10</t>
  </si>
  <si>
    <t>1-11</t>
  </si>
  <si>
    <t>1-12</t>
  </si>
  <si>
    <t>Přehled délky hospitalizace ve FNOL oproti ALOS (průměru v České republice)</t>
  </si>
  <si>
    <t>b</t>
  </si>
  <si>
    <t>1-13</t>
  </si>
  <si>
    <t>Zdravotnické pracoviště poskytující zdravotní výkon</t>
  </si>
  <si>
    <t>Odb. sml.</t>
  </si>
  <si>
    <t>S</t>
  </si>
  <si>
    <t>Kod</t>
  </si>
  <si>
    <t>Cena/j.</t>
  </si>
  <si>
    <t>Sml.odb.</t>
  </si>
  <si>
    <t>Body (tisíce)</t>
  </si>
  <si>
    <t>ZUM + ZULP (tisíce Kč)</t>
  </si>
  <si>
    <t>ZULP Centra (tisíce Kč)</t>
  </si>
  <si>
    <t>casemix 2012</t>
  </si>
  <si>
    <t>Ambulance</t>
  </si>
  <si>
    <t>Hospodářský index (Výnosy / Náklady) - vývoj</t>
  </si>
  <si>
    <t>Zdravotnické pracoviště vyžadující zdravotní výkon</t>
  </si>
  <si>
    <t>Osobní náklady zdravotnického pracoviště</t>
  </si>
  <si>
    <t>Plán</t>
  </si>
  <si>
    <t>Obsah sešitu</t>
  </si>
  <si>
    <t>Náklady a související sestavy</t>
  </si>
  <si>
    <t>Výnosy a související sestavy</t>
  </si>
  <si>
    <t>Plnění casemixu dle FNOL</t>
  </si>
  <si>
    <t>HI</t>
  </si>
  <si>
    <t>HI Graf</t>
  </si>
  <si>
    <t>Man Tab</t>
  </si>
  <si>
    <t>Léky Žádanky</t>
  </si>
  <si>
    <t>LŽ Detail</t>
  </si>
  <si>
    <t>Léky Recepty</t>
  </si>
  <si>
    <t>LRp Detail</t>
  </si>
  <si>
    <t>Materiál Žádanky</t>
  </si>
  <si>
    <t>MŽ Detail</t>
  </si>
  <si>
    <t>Osobní náklady</t>
  </si>
  <si>
    <t>CaseMix</t>
  </si>
  <si>
    <t>Total</t>
  </si>
  <si>
    <t>OD TISS</t>
  </si>
  <si>
    <t>ZV Vyžád. Detail</t>
  </si>
  <si>
    <t>ZV Vyžád.</t>
  </si>
  <si>
    <t>Motivační kritéria</t>
  </si>
  <si>
    <t>Motivace</t>
  </si>
  <si>
    <t>ZV Vykáz.-A</t>
  </si>
  <si>
    <t>ZV Vykáz.-A Detail</t>
  </si>
  <si>
    <t>ZV Vykáz.-H</t>
  </si>
  <si>
    <t>ZV Vykáz.-H Detail</t>
  </si>
  <si>
    <t>Zdravotní výkony vykázané na pracovišti pro pacienty hospitalizované ve FNOL</t>
  </si>
  <si>
    <t>Zdravotní výkony (vybraných odborností) vyžádané pro pacienty hospitalizované na vlastním pracovišti</t>
  </si>
  <si>
    <t>Celkem:</t>
  </si>
  <si>
    <t>V rámci PL</t>
  </si>
  <si>
    <t>Mimo PL</t>
  </si>
  <si>
    <t xml:space="preserve">NS </t>
  </si>
  <si>
    <t xml:space="preserve">ATC </t>
  </si>
  <si>
    <t>Název Léku</t>
  </si>
  <si>
    <t>Popis Léku</t>
  </si>
  <si>
    <t>% Kč</t>
  </si>
  <si>
    <t>Lékař</t>
  </si>
  <si>
    <t>111 - VZP</t>
  </si>
  <si>
    <t>201 - VoZP</t>
  </si>
  <si>
    <t>205 - ČPZP</t>
  </si>
  <si>
    <t>207 - OZP</t>
  </si>
  <si>
    <t>209 - ZP ŠKODA</t>
  </si>
  <si>
    <t>211 - ZP MV</t>
  </si>
  <si>
    <t>213 - RBP</t>
  </si>
  <si>
    <t>Hospodaření zdravotnického pracoviště (v tisících)</t>
  </si>
  <si>
    <t>Spotřeba léčivých přípravků</t>
  </si>
  <si>
    <t>Preskripce a záchyt receptů a poukazů</t>
  </si>
  <si>
    <t>Spotřeba zdravotnického materiálu</t>
  </si>
  <si>
    <t>Optimum CM pro</t>
  </si>
  <si>
    <t>olomoucký kraj</t>
  </si>
  <si>
    <t>Ošetřovací dny a TISS (v tisících Kč)</t>
  </si>
  <si>
    <t>Přehledové sestavy</t>
  </si>
  <si>
    <t>Akt. měsíc</t>
  </si>
  <si>
    <t>Kč/ks</t>
  </si>
  <si>
    <t>NS / ATC</t>
  </si>
  <si>
    <t>LŽ PL</t>
  </si>
  <si>
    <t>LRp PL</t>
  </si>
  <si>
    <t>LŽ PL Detail</t>
  </si>
  <si>
    <t>LRp PL Detail</t>
  </si>
  <si>
    <t>Nezachyceno v lékárně</t>
  </si>
  <si>
    <t>Preskripce a záchyt receptů a poukazů dle lékařů</t>
  </si>
  <si>
    <t>LRp Lékaři</t>
  </si>
  <si>
    <t>Předepsal</t>
  </si>
  <si>
    <t>Léky</t>
  </si>
  <si>
    <t>Recepty</t>
  </si>
  <si>
    <t>Centrové léky (dodržení rozpočtu)</t>
  </si>
  <si>
    <t>"Klinická dokumentace" = metodicky správně sestavený "Hospitalizační účet"</t>
  </si>
  <si>
    <t>KVALITA PÉČE (vyžádaný interní AUDIT "Oddělení jakosti")</t>
  </si>
  <si>
    <t>Žádanky</t>
  </si>
  <si>
    <t>Materiál</t>
  </si>
  <si>
    <t>Celk. Kč</t>
  </si>
  <si>
    <t>* Legenda:</t>
  </si>
  <si>
    <t>Ambulance = vykázané výkony (body) + vykázaný ZUM a ZULP (Kč)</t>
  </si>
  <si>
    <t>Hospitalizace = casemix "DRG total" (dle aktuálního grouperu) vynásobený 30000 Kč</t>
  </si>
  <si>
    <t>Rozpočet výnosů pro rok 2014 je stanoven jako 100% skutečnosti referenčního období (2012)</t>
  </si>
  <si>
    <t>Hospodářský index (Výnosy / Náklady) se hodnotí pouze v případě dodržení rozpočtu nákladů</t>
  </si>
  <si>
    <t>Spotřeba léčivých přípravků - orientační přehled</t>
  </si>
  <si>
    <t>Přehled plnění pozitivniho listu (PL) -
   spotřeba léčivých přípravků dle objemu Kč mimo PL</t>
  </si>
  <si>
    <t>01/2014</t>
  </si>
  <si>
    <t>02/2014</t>
  </si>
  <si>
    <t>03/2014</t>
  </si>
  <si>
    <t>04/2014</t>
  </si>
  <si>
    <t>05/2014</t>
  </si>
  <si>
    <t>06/2014</t>
  </si>
  <si>
    <t>07/2014</t>
  </si>
  <si>
    <t>08/2014</t>
  </si>
  <si>
    <t>09/2014</t>
  </si>
  <si>
    <t>10/2014</t>
  </si>
  <si>
    <t>11/2014</t>
  </si>
  <si>
    <t>12/2014</t>
  </si>
  <si>
    <t>Rozp. 2013            CELKEM</t>
  </si>
  <si>
    <t>Skut. 2013 CELKEM</t>
  </si>
  <si>
    <t>ROZDÍL  Skut. - Rozp. 2013</t>
  </si>
  <si>
    <t>% plnění rozp.2013</t>
  </si>
  <si>
    <t>Rozp.rok 2014</t>
  </si>
  <si>
    <t>Sk.v tis 2014</t>
  </si>
  <si>
    <t>ROZDÍL (Sk.do data - Rozp.do data 2014)</t>
  </si>
  <si>
    <t>% plnění (Skut.do data/Rozp.rok 2014)</t>
  </si>
  <si>
    <t>DRG mimo vyjmenované baze</t>
  </si>
  <si>
    <t>Vyjmenované baze DRG</t>
  </si>
  <si>
    <t>optimum 100% *</t>
  </si>
  <si>
    <t>optimum 95% *</t>
  </si>
  <si>
    <t>333 - Cizinci</t>
  </si>
  <si>
    <t>POMĚROVÉ  PLNĚNÍ = Rozpočet na rok 2014 celkem a 1/12  ročního rozpočtu, skutečnost daných měsíců a % plnění načítané skutečnosti do data k poměrné části rozpočtu do data.</t>
  </si>
  <si>
    <t>Lékař / ATC</t>
  </si>
  <si>
    <t>Pol</t>
  </si>
  <si>
    <t>0</t>
  </si>
  <si>
    <t>101</t>
  </si>
  <si>
    <t>102</t>
  </si>
  <si>
    <t>203</t>
  </si>
  <si>
    <t>celý rok</t>
  </si>
  <si>
    <t>leden</t>
  </si>
  <si>
    <t>únor</t>
  </si>
  <si>
    <t>březen</t>
  </si>
  <si>
    <t>duben</t>
  </si>
  <si>
    <t>květen</t>
  </si>
  <si>
    <t>červen</t>
  </si>
  <si>
    <t>červenec</t>
  </si>
  <si>
    <t>srpen</t>
  </si>
  <si>
    <t>září</t>
  </si>
  <si>
    <t>říjen</t>
  </si>
  <si>
    <t>listopad</t>
  </si>
  <si>
    <t>prosinec</t>
  </si>
  <si>
    <t xml:space="preserve">Celkem </t>
  </si>
  <si>
    <t>dohody</t>
  </si>
  <si>
    <t>lékaři</t>
  </si>
  <si>
    <t>zubní lékaři</t>
  </si>
  <si>
    <t>ÚVAZKY</t>
  </si>
  <si>
    <t>HODINY</t>
  </si>
  <si>
    <t>V rámci úvazku</t>
  </si>
  <si>
    <t>Nad rámec zkráceného úvazku</t>
  </si>
  <si>
    <t>OON (DPP + DPČ)</t>
  </si>
  <si>
    <t>Klinické studie</t>
  </si>
  <si>
    <t>Granty</t>
  </si>
  <si>
    <t>Jiné odměny</t>
  </si>
  <si>
    <t>Odměny celkem (odměny, studie, granty)</t>
  </si>
  <si>
    <t>VZDĚLÁVÁNÍ (Kč)</t>
  </si>
  <si>
    <t>Nad rámec úvazku 1,0 (přesčas)</t>
  </si>
  <si>
    <t>sociálního a zdravotního pojištění hrazeného zaměstnavatelem</t>
  </si>
  <si>
    <t>Osobní náklady = komplexní mzdové náklady zaměstnavatele – vyplacené mzdy, náhrady, odměny atd. včetně</t>
  </si>
  <si>
    <t>Mzdové náklady zaměstnavatele – vyplacené hrubé mzdy, náhrady, odměny atd. bez sociálního a zdravotního pojištění hrazeného zaměstnavatelem</t>
  </si>
  <si>
    <t>MZDY (Kč) *</t>
  </si>
  <si>
    <t>Měsíc/Rok *</t>
  </si>
  <si>
    <t>Požadované období lze zvolit zapsáním konkrétního čísla měsíce či roku do odpovídající buňky v levém horním rohu tabulky, nebo výběrem z nabídky (nápověda se zobrazí po najetí myší na číslo měsíce/rok).</t>
  </si>
  <si>
    <t>THP</t>
  </si>
  <si>
    <t>Rozdíl (zbývá)</t>
  </si>
  <si>
    <t>Plán *</t>
  </si>
  <si>
    <t>lékaři, VŠ NLZP *</t>
  </si>
  <si>
    <t>NLZP *</t>
  </si>
  <si>
    <t>THP *</t>
  </si>
  <si>
    <t>Lékaři, VŠ NLZP = kategorie 101-203, 522-523, 525-529, 743-747</t>
  </si>
  <si>
    <t>NLZP = kategorie 305-520, 524, 530-642, 748-749</t>
  </si>
  <si>
    <t>THP = kategorie 930-940</t>
  </si>
  <si>
    <t>Rozpočet na vzdělávání je plánován na rok, měsíční plány jsou v tabulce dvanáctinou ročního rozpočtu</t>
  </si>
  <si>
    <t>všeobecné sestry</t>
  </si>
  <si>
    <t>porodní asistenti</t>
  </si>
  <si>
    <t>radiologičtí asistenti</t>
  </si>
  <si>
    <t>zdravotní laboranti</t>
  </si>
  <si>
    <t>zdravotně - sociální pracovníci</t>
  </si>
  <si>
    <t>nutriční terapeuti</t>
  </si>
  <si>
    <t>zubní technici</t>
  </si>
  <si>
    <t>zdravotničtí záchranáři</t>
  </si>
  <si>
    <t>farmaceutičtí asistenti</t>
  </si>
  <si>
    <t>biomedicínští technici</t>
  </si>
  <si>
    <t>radiologičtí technici</t>
  </si>
  <si>
    <t>psychologové a kliničtí psychologové</t>
  </si>
  <si>
    <t>kliničtí logopedové</t>
  </si>
  <si>
    <t>fyzioterapeuti</t>
  </si>
  <si>
    <t>radiologičtí fyzici</t>
  </si>
  <si>
    <t>odborní pracovníci v lab. metodách</t>
  </si>
  <si>
    <t>biomedicínští inženýři</t>
  </si>
  <si>
    <t>zdravotničtí asistenti</t>
  </si>
  <si>
    <t>ošetřovatelé</t>
  </si>
  <si>
    <t>maséři</t>
  </si>
  <si>
    <t>řidiči dopravy nemocných a raněných</t>
  </si>
  <si>
    <t>sanitáři</t>
  </si>
  <si>
    <t>psychologové</t>
  </si>
  <si>
    <t>abs. stud. oboru mat.-fyz. zaměření</t>
  </si>
  <si>
    <t>abs. stud. oboru přirodověd. zaměření</t>
  </si>
  <si>
    <t>odb. pracovníci v ochraně veřejného zdraví</t>
  </si>
  <si>
    <t>laboratorní asistenti</t>
  </si>
  <si>
    <t>Pracoviště/účet</t>
  </si>
  <si>
    <t>Případy hospitalizací se při výpočtu casemixu v letech 2012, 2013, 2014 rozumí případy hospitalizací přepočtené pomocí pravidel pro Klasifikaci a sestavování případů</t>
  </si>
  <si>
    <t>Počet případů hospitalizací</t>
  </si>
  <si>
    <t>Casemix v letech 2012, 2013, 2014 je počet případů hospitalizací ukončených ve sledovaném období, poskytovatelem vykázaných a zdravotní pojišťovnou uznaných,</t>
  </si>
  <si>
    <t>které jsou podle Klasifikace zařazeny do skupin vztažených k diagnóze, vynásobený indexy 2014 (viz příloha č. 10)</t>
  </si>
  <si>
    <t>* Legenda (viz Vyhláška MZ ČR Sbírka zákonů č. 428/2013)</t>
  </si>
  <si>
    <t>Dle vyhlášky FNOL musí dosáhnout casemixu 97% a počtu případů hospitalizací 93% u každé pojišťovny (se zohledněním přesunu pojištěnců)</t>
  </si>
  <si>
    <t>hospitalizací platných pro rok 2014 (grouper 010.006)</t>
  </si>
  <si>
    <r>
      <t>Zpět na Obsah</t>
    </r>
    <r>
      <rPr>
        <sz val="9"/>
        <rFont val="Calibri"/>
        <family val="2"/>
        <charset val="238"/>
        <scheme val="minor"/>
      </rPr>
      <t xml:space="preserve"> | 1.-5.měsíc | Klinika anesteziologie, resuscitace a intenzivní medicíny</t>
    </r>
  </si>
  <si>
    <t>/0</t>
  </si>
  <si>
    <t>Plnění rozpočtu po měsících</t>
  </si>
  <si>
    <t>5     Účtová třída 5 - Náklady</t>
  </si>
  <si>
    <t>50     Spotřebované nákupy</t>
  </si>
  <si>
    <t>501     Spotřeba materiálu</t>
  </si>
  <si>
    <t>50109     Cenové odchylky k materiálu</t>
  </si>
  <si>
    <t>--</t>
  </si>
  <si>
    <t>50109000     cenové odchylky k materiálu</t>
  </si>
  <si>
    <t>50113     Léky a léčiva</t>
  </si>
  <si>
    <t>50113001     léky - paušál+TISS (LEK)</t>
  </si>
  <si>
    <t>50113006     léky - enter. a parenter. výživa (LEK)</t>
  </si>
  <si>
    <t>50113007     léky - krev.deriváty ZUL (LEK)</t>
  </si>
  <si>
    <t>50113008     léky - krev.deriváty ZUL (TO)</t>
  </si>
  <si>
    <t>50113012     léky - trombolýza (LEK)</t>
  </si>
  <si>
    <t>50113013     léky (paušál) - antibiotika (LEK)</t>
  </si>
  <si>
    <t>50113014     léky (paušál) - antimykotika (LEK)</t>
  </si>
  <si>
    <t>50113190     medicinální plyny</t>
  </si>
  <si>
    <t>50114     Krevní přípravky</t>
  </si>
  <si>
    <t>50114002     krevní přípravky</t>
  </si>
  <si>
    <t>50114003     plazma</t>
  </si>
  <si>
    <t>50115     Zdravotnické prostředky</t>
  </si>
  <si>
    <t>50115020     diagnostika laboratorní-LEK (sk.Z_501)</t>
  </si>
  <si>
    <t>50115040     laboratorní materiál (sk.Z_505)</t>
  </si>
  <si>
    <t>50115050     obvazový materiál (sk.Z_502)</t>
  </si>
  <si>
    <t>50115060     ostatní ZPr - mimo níže uvedené (sk.Z_503)</t>
  </si>
  <si>
    <t>50115062     ostatní ZPr - materiál pro hemodialýzu (sk.Z_525)</t>
  </si>
  <si>
    <t>50115063     ostatní ZPr - vaky, sety (sk.Z_528)</t>
  </si>
  <si>
    <t>50115064     ostatní ZPr - šicí materiál (sk.Z_529)</t>
  </si>
  <si>
    <t>50115065     ostatní ZPr - vpichovací materiál (sk.Z_530)</t>
  </si>
  <si>
    <t>50115067     ostatní ZPr - rukavice (sk.Z_532)</t>
  </si>
  <si>
    <t>50115070     ostatní ZPr - katetry, stenty, porty (sk.Z_513)</t>
  </si>
  <si>
    <t>50116     Potraviny</t>
  </si>
  <si>
    <t>50116001     lůžk. pacienti</t>
  </si>
  <si>
    <t>50116002     lůžk. pacienti nad normu</t>
  </si>
  <si>
    <t>50116099     nápoje - horké dny (daň.neúčinné)</t>
  </si>
  <si>
    <t>50117     Všeobecný materiál</t>
  </si>
  <si>
    <t>50117001     všeobecný materiál (sk.V30,32,33,34,42,43,Z510)</t>
  </si>
  <si>
    <t>50117002     prací a čistící prostř.,drog.zboží (sk.V41)</t>
  </si>
  <si>
    <t>50117003     desinf. prostř. LEK</t>
  </si>
  <si>
    <t>50117004     tiskopisy a kanc.potřeby (sk.V42, 43)</t>
  </si>
  <si>
    <t>50117005     údržbový materiál ZVIT (sk.B36,61,62,64)</t>
  </si>
  <si>
    <t>50117007     údržbový materiál ostatní - sklady (sk.T17)</t>
  </si>
  <si>
    <t>50117009     spotřební materiál k ZPr. (sk.V21)</t>
  </si>
  <si>
    <t>50117015     IT - spotřební materiál (sk. P37, 48)</t>
  </si>
  <si>
    <t>50117020     všeob.mat. - nábytek (V30) do 1tis.</t>
  </si>
  <si>
    <t>50117022     všeob.mat. - kuchyň tech. (V33) od 1tis do 2999,99</t>
  </si>
  <si>
    <t>50117023     všeob.mat. - kancel.tech. (V34) od 1tis do 2999,99</t>
  </si>
  <si>
    <t>50117024     všeob.mat. - ostatní-vyjímky (V44) od 0,01 do 999,99</t>
  </si>
  <si>
    <t>50118     Náhradní díly</t>
  </si>
  <si>
    <t>50118003     ND - ostatní techn.(dispečink)</t>
  </si>
  <si>
    <t>50118004     ND - zdravot.techn.(dispečink)</t>
  </si>
  <si>
    <t>50118005     ND - výpoč. techn.(sklad) (sk.P47)</t>
  </si>
  <si>
    <t>50118006     ND - ZVIT (sk.B63)</t>
  </si>
  <si>
    <t>50119     DDHM a textil</t>
  </si>
  <si>
    <t>50119077     OOPP a prádlo pro zaměstnance (sk.T14)</t>
  </si>
  <si>
    <t>50119090     OOPP pro pacienty a doprovod (sk.T11)</t>
  </si>
  <si>
    <t>50119092     pokojový textil (sk. T15)</t>
  </si>
  <si>
    <t>50119099     netkaný textil (sk.T18)</t>
  </si>
  <si>
    <t>50119100     jednorázové ochranné pomůcky (sk.T18A)</t>
  </si>
  <si>
    <t>50119101     jednorázový operační materiál (sk.T18B)</t>
  </si>
  <si>
    <t>50119102     jednorázové hygienické potřeby (sk.T18C)</t>
  </si>
  <si>
    <t>50180     Materiál z darů, FKSP</t>
  </si>
  <si>
    <t>50180001     věcné dary</t>
  </si>
  <si>
    <t>50210     Spotřeba energie</t>
  </si>
  <si>
    <t>50210071     elektřina</t>
  </si>
  <si>
    <t>50210072     vodné, stočné</t>
  </si>
  <si>
    <t>50210073     pára</t>
  </si>
  <si>
    <t>51     Služby</t>
  </si>
  <si>
    <t>51102     Technika a stavby</t>
  </si>
  <si>
    <t>51102021     opravy zdravotnické techniky</t>
  </si>
  <si>
    <t>51102022     opravy - Úsek inf.systémů</t>
  </si>
  <si>
    <t>51102023     opravy ostatní techniky</t>
  </si>
  <si>
    <t>51102024     opravy - správa budov</t>
  </si>
  <si>
    <t>51102025     opravy - hl.energetik</t>
  </si>
  <si>
    <t>51201     Cestovné zaměstnanců-tuzemské</t>
  </si>
  <si>
    <t>51201000     cestovné z mezd</t>
  </si>
  <si>
    <t>51201001     cestovné tuzemské - OUC</t>
  </si>
  <si>
    <t>51801     Přepravné</t>
  </si>
  <si>
    <t>51801000     přepravné-lab. vzorky,...</t>
  </si>
  <si>
    <t>51802     Spoje</t>
  </si>
  <si>
    <t>51802001     poštovné</t>
  </si>
  <si>
    <t>51802003     spoje - telekom.styk</t>
  </si>
  <si>
    <t>51804     Nájemné</t>
  </si>
  <si>
    <t>51804004     popl. za R a TV, veř. produkce</t>
  </si>
  <si>
    <t>51804005     náj. plynových lahví</t>
  </si>
  <si>
    <t>51806     Úklid, odpad, desinf., deratizace</t>
  </si>
  <si>
    <t>51806001     úklid pravidelný</t>
  </si>
  <si>
    <t>51806005     odpad (spalovna)</t>
  </si>
  <si>
    <t>51808     Revize a smluvní servisy majetku</t>
  </si>
  <si>
    <t>51808007     revize, sml.servis - energetik</t>
  </si>
  <si>
    <t>51808008     revize, tech.kontroly, prev.prohl.- OHM</t>
  </si>
  <si>
    <t>51808009     revize, sml.servis PO - OBKR</t>
  </si>
  <si>
    <t>51808013     revize - kalibrace - metrolog</t>
  </si>
  <si>
    <t>51808018     smluvní servis - OHM</t>
  </si>
  <si>
    <t>51874     Ostatní služby</t>
  </si>
  <si>
    <t>51874001     ostatní služby - provozní</t>
  </si>
  <si>
    <t>51874003     znalecké posudky, odměny z klinických hodnocení</t>
  </si>
  <si>
    <t>521     Mzdové náklady</t>
  </si>
  <si>
    <t>52111     Hrubé mzdy</t>
  </si>
  <si>
    <t>52111000     hrubé mzdy</t>
  </si>
  <si>
    <t>52121     OON - dohody</t>
  </si>
  <si>
    <t>52121000     OON - dohody</t>
  </si>
  <si>
    <t>52128     Náhrada mzdy po dobu dočas.prac.neschopnosti</t>
  </si>
  <si>
    <t>52128000     náhrada mzdy po dobu dočas.prac.neschop.-hraz.org.</t>
  </si>
  <si>
    <t>524     Zákonné sociální pojištění</t>
  </si>
  <si>
    <t>52401     Zdravotní pojištění organizace</t>
  </si>
  <si>
    <t>52401000     zdravotní poj. organizace</t>
  </si>
  <si>
    <t>52402     Sociální pojištění organizace</t>
  </si>
  <si>
    <t>52402000     sociální poj. organizace</t>
  </si>
  <si>
    <t>527     Zákonné sociální náklady</t>
  </si>
  <si>
    <t>52710     Zákonné sociální náklady</t>
  </si>
  <si>
    <t>52710001     FKSP - jednotný příděl</t>
  </si>
  <si>
    <t>54     Jiné provozní náklady</t>
  </si>
  <si>
    <t>541     Smluvní pokuty a úroky z prodlení</t>
  </si>
  <si>
    <t>54102     Sankce za překročení regul.léčiv a PZT</t>
  </si>
  <si>
    <t>54102002     preskripce L a PZT - min. rok</t>
  </si>
  <si>
    <t>549     Ostatní náklady z činnosti</t>
  </si>
  <si>
    <t>54910     Ostatní náklady z činnosti</t>
  </si>
  <si>
    <t>54910003     práce výrobní povahy(výroba klíčů,tabulek)</t>
  </si>
  <si>
    <t>54910005     refundace věcných nákladů</t>
  </si>
  <si>
    <t>54910009     školení, kongresové poplatky tuzemské - ost.zdrav.pracov.</t>
  </si>
  <si>
    <t>54910010     školení - nezdrav.pracov.</t>
  </si>
  <si>
    <t>54924     Ostatní výplaty fyzickým osobám</t>
  </si>
  <si>
    <t>54924001     odškod.zaměst. - prac.úraz,...</t>
  </si>
  <si>
    <t>54925     Ostatní výplaty fyzickým osobám(OPMČ)</t>
  </si>
  <si>
    <t>54925000     odškodn.-náhr.mzdy zam.(OPMČ)</t>
  </si>
  <si>
    <t>54972     Školení, kongres.popl.tuzemské - lékaři (pouze OPMČ)</t>
  </si>
  <si>
    <t>54972000     školení, kongres.popl.tuzemské - lékaři (pouze OPMČ)</t>
  </si>
  <si>
    <t>54973     Školení, kongres.popl.tuzemské - ostatní zdrav.prac.(pouze OPMČ)</t>
  </si>
  <si>
    <t>54973000     školení, kongres.popl.tuzemské - ostatní zdrav.prac.(pouze OPMČ)</t>
  </si>
  <si>
    <t>55     Odpisy, rezervy, komplexní náklady příštích období  a opravné položky provozních nákladů</t>
  </si>
  <si>
    <t>551     Odpisy DM</t>
  </si>
  <si>
    <t>55110     Odpisy DM</t>
  </si>
  <si>
    <t>55110003     odpisy DHM - budovy z odpisů</t>
  </si>
  <si>
    <t>55110004     odpisy DHM - zdravot.techn. z odpisů</t>
  </si>
  <si>
    <t>55110013     odpisy DHM - budovy z dotací</t>
  </si>
  <si>
    <t>55110014     odpisy DHM - zdravot.techn. z dotací</t>
  </si>
  <si>
    <t>55110015     odpisy DHM - ostatní z dotací</t>
  </si>
  <si>
    <t>55120     ZC vyřazeného DM</t>
  </si>
  <si>
    <t>55120014     ZC DHM - zdravot.techn. z dotací</t>
  </si>
  <si>
    <t>558     Náklady z drobného dlouhodobého majetku</t>
  </si>
  <si>
    <t>55801     DDHM zdravotnický a laboratorní</t>
  </si>
  <si>
    <t>55801001     DDHM - zdravotnické přístroje (sk.N_525)</t>
  </si>
  <si>
    <t>55802     DDHM - provozní</t>
  </si>
  <si>
    <t>55802002     DDHM - ostatní provozní technika (sk.V_35)</t>
  </si>
  <si>
    <t>55802003     DDHM - kacelářská technika (sk.V_37)</t>
  </si>
  <si>
    <t>56     Finanční náklady</t>
  </si>
  <si>
    <t>563     Kurzové ztráty</t>
  </si>
  <si>
    <t>56301     Kurzové ztráty</t>
  </si>
  <si>
    <t>56301000     kurzové ztráty</t>
  </si>
  <si>
    <t>6     Účtová třída 6 - Výnosy</t>
  </si>
  <si>
    <t>60     Tržby za vlastní výkony a zboží</t>
  </si>
  <si>
    <t>602     Výnosy z prodeje služeb</t>
  </si>
  <si>
    <t>60210     Zdravotní služby samoplátcům a právnickým osobám</t>
  </si>
  <si>
    <t>60210322     zdr.služby - právn.osoby</t>
  </si>
  <si>
    <t>60210323     zdr.služby - státní orgány</t>
  </si>
  <si>
    <t>60210354     zdr.služby - cizinci</t>
  </si>
  <si>
    <t>60210359     zdr.služby - tuzemci (plastika atd. ...)</t>
  </si>
  <si>
    <t>60228     Zdr. výkony - VZP sledov.položky    OZPI</t>
  </si>
  <si>
    <t>60228108     výkony + materiál - VZP na výkon</t>
  </si>
  <si>
    <t>60228190     výkony pojištěncům EHS</t>
  </si>
  <si>
    <t>60228191     výkony za cizince (mimo EHS)</t>
  </si>
  <si>
    <t>60229     Zdr. výkony - ost. ZP sled.položky  OZPI</t>
  </si>
  <si>
    <t>60229208     výkony + mater. - ZP na výkon</t>
  </si>
  <si>
    <t>60229290     výkony pojištěncům EHS</t>
  </si>
  <si>
    <t>60241     Odmítnutí vykázané péče     OZPI</t>
  </si>
  <si>
    <t>60241101     odmítnutí vykázané péče, receptů, poukázek PZt, Tr - VZP</t>
  </si>
  <si>
    <t>60241201     odmítnutí vykázané péče, receptů, poukázek PZt, Tr - ostatní ZP</t>
  </si>
  <si>
    <t>60245     Fakturace ZP - běžný rok (paušál)   OZPI</t>
  </si>
  <si>
    <t>60245400     tržby VZP za zdrav.péči - paušál</t>
  </si>
  <si>
    <t>60245401     tržby ostatní ZP za zdrav.péči - paušál</t>
  </si>
  <si>
    <t>60246     Dorovnání péče ZP - min.let         OZPI</t>
  </si>
  <si>
    <t>60246400     tržby VZP za zdrav.péči - dorovnání min.let</t>
  </si>
  <si>
    <t>60246401     tržby ostat.ZP za zdrav.péči - dorovnání min.let</t>
  </si>
  <si>
    <t>64     Jiné provozní výnosy</t>
  </si>
  <si>
    <t>648     Čerpání fondů</t>
  </si>
  <si>
    <t>64804     Čerpání FRM</t>
  </si>
  <si>
    <t>64804221     čerp. FRM - opravy ZT</t>
  </si>
  <si>
    <t>64804222     čerp. FRM - opravy VT</t>
  </si>
  <si>
    <t>64804223     čerp. FRM - opravy ost. techn.</t>
  </si>
  <si>
    <t>64804224     čerp. FRM - údržba OSB</t>
  </si>
  <si>
    <t>64804225     čerp. FRM - údržba OHE</t>
  </si>
  <si>
    <t>649     Ostatní výnosy z činnosti</t>
  </si>
  <si>
    <t>64906     Nárok na náhradu za manka a škody</t>
  </si>
  <si>
    <t>64906000     nárok na náhradu za manka a škody</t>
  </si>
  <si>
    <t>64908     Ostatní výnosy z činnosti</t>
  </si>
  <si>
    <t>64908000     rozdíly v zaokrouhlení</t>
  </si>
  <si>
    <t>64908050     náhrady od pojišť. (zaměstn.)</t>
  </si>
  <si>
    <t>64924     Ostatní služby - mimo zdrav.výkony  FAKTURACE</t>
  </si>
  <si>
    <t>64924442     telekom.služby, soukr. hovory</t>
  </si>
  <si>
    <t>64924443     znalecké posudky - Znaleký ústav</t>
  </si>
  <si>
    <t>64924459     školení, stáže, odb. semináře, konference</t>
  </si>
  <si>
    <t>64980     Věcné dary</t>
  </si>
  <si>
    <t>64980001     věcné dary</t>
  </si>
  <si>
    <t>67     Zúčtování rezerva opravných položek finančních výnosů</t>
  </si>
  <si>
    <t>671     Výnosy vybraných vládních institucí z transferů</t>
  </si>
  <si>
    <t>67101     Nein.dotace, příspěvky, granty od zřizovatele</t>
  </si>
  <si>
    <t>67101006     transfery MZ na rezidenční místa</t>
  </si>
  <si>
    <t>67120     Výnosy k úč.403 06 (k úč.551 odpisy) - finanční dary</t>
  </si>
  <si>
    <t>67120001     výnosy k úč.403 06 (k úč.551 odpisy) - finanční dary</t>
  </si>
  <si>
    <t>7     Účtová třída 7 - Vnitropodnikové účetnictví - náklady</t>
  </si>
  <si>
    <t>79     Vnitropodnikové náklady</t>
  </si>
  <si>
    <t>79902     VPN - ZVIT technická údržba</t>
  </si>
  <si>
    <t>79902000     výkony ZVIT - technická údržba</t>
  </si>
  <si>
    <t>79903     VPN - doprava</t>
  </si>
  <si>
    <t>79903000     výkony dopravy</t>
  </si>
  <si>
    <t>79906     VPN - prádelna</t>
  </si>
  <si>
    <t>79906000     výkony prádelny - praní prádla</t>
  </si>
  <si>
    <t>79907     VPN - sklad</t>
  </si>
  <si>
    <t>79907002     výkony skladu - tisk tiskopisů</t>
  </si>
  <si>
    <t>79910     VPN - informační technologie</t>
  </si>
  <si>
    <t>79910001     výkony IT - fixní náklady (z 9086)</t>
  </si>
  <si>
    <t>79910003     výkony PACS - přeúčtování nákl. (z 9087)</t>
  </si>
  <si>
    <t>79920     VPN - mezistřediskové převody</t>
  </si>
  <si>
    <t>79920001     převody - agregované výkony laboratoří</t>
  </si>
  <si>
    <t>79950     VPN - správní režie</t>
  </si>
  <si>
    <t>79950001     režie HTS</t>
  </si>
  <si>
    <t>8     Vnútroorganizačné účtovníctvo</t>
  </si>
  <si>
    <t>89     Vnitropodnikové výnosy</t>
  </si>
  <si>
    <t>899     Vnitropodnikové výnosy</t>
  </si>
  <si>
    <t>89920     VPV - mezistřediskové převody</t>
  </si>
  <si>
    <t>89920001     převody - agregované výkony laboratoří</t>
  </si>
  <si>
    <t>89920004     převody - klinické studie</t>
  </si>
  <si>
    <t>07</t>
  </si>
  <si>
    <t>Klinika anesteziologie, resuscitace a intenzivní medicíny</t>
  </si>
  <si>
    <t/>
  </si>
  <si>
    <t>Klinika anesteziologie, resuscitace a intenzivní medicíny Celkem</t>
  </si>
  <si>
    <t>SumaKL</t>
  </si>
  <si>
    <t>0721</t>
  </si>
  <si>
    <t>ambulance</t>
  </si>
  <si>
    <t>ambulance Celkem</t>
  </si>
  <si>
    <t>SumaNS</t>
  </si>
  <si>
    <t>mezeraNS</t>
  </si>
  <si>
    <t>0731</t>
  </si>
  <si>
    <t>JIP</t>
  </si>
  <si>
    <t>JIP Celkem</t>
  </si>
  <si>
    <t>0762</t>
  </si>
  <si>
    <t>operační sál - lok. prac. anesteziologů</t>
  </si>
  <si>
    <t>operační sál - lok. prac. anesteziologů Celkem</t>
  </si>
  <si>
    <t>0764</t>
  </si>
  <si>
    <t>pracoviště COS</t>
  </si>
  <si>
    <t>pracoviště COS Celkem</t>
  </si>
  <si>
    <t>0765</t>
  </si>
  <si>
    <t>dospávací hala KAR</t>
  </si>
  <si>
    <t>dospávací hala KAR Celkem</t>
  </si>
  <si>
    <t>0766</t>
  </si>
  <si>
    <t>pracoviště DK COS</t>
  </si>
  <si>
    <t>pracoviště DK COS Celkem</t>
  </si>
  <si>
    <t>0701</t>
  </si>
  <si>
    <t>vedení klinického pracoviště</t>
  </si>
  <si>
    <t>vedení klinického pracoviště Celkem</t>
  </si>
  <si>
    <t>50113001</t>
  </si>
  <si>
    <t>O</t>
  </si>
  <si>
    <t>51367</t>
  </si>
  <si>
    <t>CHLORID SODNÝ 0,9% BRAUN</t>
  </si>
  <si>
    <t>INF SOL 10X250MLPELAH</t>
  </si>
  <si>
    <t>51383</t>
  </si>
  <si>
    <t>INF SOL 10X500MLPELAH</t>
  </si>
  <si>
    <t>100498</t>
  </si>
  <si>
    <t>498</t>
  </si>
  <si>
    <t>MAGNESIUM SULFURICUM BIOTIKA</t>
  </si>
  <si>
    <t>INJ 5X10ML 10%</t>
  </si>
  <si>
    <t>394762</t>
  </si>
  <si>
    <t>Ubrousky dět. s klipem Baby wipes Gently 72ks</t>
  </si>
  <si>
    <t>198872</t>
  </si>
  <si>
    <t>98872</t>
  </si>
  <si>
    <t>FYZIOLOGICKÝ ROZTOK VIAFLO</t>
  </si>
  <si>
    <t>INF SOL 30X250ML</t>
  </si>
  <si>
    <t>102439</t>
  </si>
  <si>
    <t>2439</t>
  </si>
  <si>
    <t>MARCAINE 0.5%</t>
  </si>
  <si>
    <t>INJ SOL5X20ML/100MG</t>
  </si>
  <si>
    <t>840893</t>
  </si>
  <si>
    <t>IR SOL.PHENOLI  6%</t>
  </si>
  <si>
    <t>IR 2 ml</t>
  </si>
  <si>
    <t>921558</t>
  </si>
  <si>
    <t>KL LIDOCAIN GEL 5%, 100G</t>
  </si>
  <si>
    <t>amb.lecby bolesti</t>
  </si>
  <si>
    <t>126103</t>
  </si>
  <si>
    <t>26103</t>
  </si>
  <si>
    <t>KEPPRA 100 MG/ML</t>
  </si>
  <si>
    <t>IVN INF CNC SOL 10X500MG/5ML</t>
  </si>
  <si>
    <t>33573</t>
  </si>
  <si>
    <t>NEPRO</t>
  </si>
  <si>
    <t>POR SOL 1X500ML</t>
  </si>
  <si>
    <t>131866</t>
  </si>
  <si>
    <t>31866</t>
  </si>
  <si>
    <t>ASENTRA 50</t>
  </si>
  <si>
    <t>POR TBL FLM 28X50MG</t>
  </si>
  <si>
    <t>187425</t>
  </si>
  <si>
    <t>LETROX 50</t>
  </si>
  <si>
    <t>POR TBL NOB 100X50RG II</t>
  </si>
  <si>
    <t>184245</t>
  </si>
  <si>
    <t>LETROX 75</t>
  </si>
  <si>
    <t>POR TBL NOB 100X75MCG II</t>
  </si>
  <si>
    <t>125837</t>
  </si>
  <si>
    <t>25837</t>
  </si>
  <si>
    <t>KEPPRA 500 MG</t>
  </si>
  <si>
    <t>POR TBLFLM100X500MG</t>
  </si>
  <si>
    <t>60113</t>
  </si>
  <si>
    <t>SEROPRAM</t>
  </si>
  <si>
    <t>INF CNC SOL 10X1ML</t>
  </si>
  <si>
    <t>51366</t>
  </si>
  <si>
    <t>INF SOL 20X100MLPELAH</t>
  </si>
  <si>
    <t>31915</t>
  </si>
  <si>
    <t>GLUKÓZA 10 BRAUN</t>
  </si>
  <si>
    <t>INF SOL 10X500ML-PE</t>
  </si>
  <si>
    <t>47249</t>
  </si>
  <si>
    <t>GLUKÓZA 5 BRAUN</t>
  </si>
  <si>
    <t>INF SOL 10X250ML-PE</t>
  </si>
  <si>
    <t>47256</t>
  </si>
  <si>
    <t>INF SOL 20X100ML-PE</t>
  </si>
  <si>
    <t>100362</t>
  </si>
  <si>
    <t>362</t>
  </si>
  <si>
    <t>ADRENALIN LECIVA</t>
  </si>
  <si>
    <t>INJ 5X1ML/1MG</t>
  </si>
  <si>
    <t>100499</t>
  </si>
  <si>
    <t>499</t>
  </si>
  <si>
    <t>INJ 5X10ML 20%</t>
  </si>
  <si>
    <t>100502</t>
  </si>
  <si>
    <t>502</t>
  </si>
  <si>
    <t>MESOCAIN</t>
  </si>
  <si>
    <t>INJ 10X10ML 1%</t>
  </si>
  <si>
    <t>100610</t>
  </si>
  <si>
    <t>610</t>
  </si>
  <si>
    <t>SYNTOPHYLLIN</t>
  </si>
  <si>
    <t>INJ 5X10ML/240MG</t>
  </si>
  <si>
    <t>100643</t>
  </si>
  <si>
    <t>643</t>
  </si>
  <si>
    <t>VITAMIN B12 LECIVA 1000RG</t>
  </si>
  <si>
    <t>INJ 5X1ML/1000RG</t>
  </si>
  <si>
    <t>100802</t>
  </si>
  <si>
    <t>802</t>
  </si>
  <si>
    <t>OPHTHALMO-SEPTONEX</t>
  </si>
  <si>
    <t>GTT OPH 1X10ML</t>
  </si>
  <si>
    <t>100876</t>
  </si>
  <si>
    <t>876</t>
  </si>
  <si>
    <t>UNG OPH 1X5GM</t>
  </si>
  <si>
    <t>100889</t>
  </si>
  <si>
    <t>889</t>
  </si>
  <si>
    <t>PITYOL</t>
  </si>
  <si>
    <t>UNG 1X30GM</t>
  </si>
  <si>
    <t>102133</t>
  </si>
  <si>
    <t>2133</t>
  </si>
  <si>
    <t>FUROSEMID BIOTIKA</t>
  </si>
  <si>
    <t>INJ 5X2ML/20MG</t>
  </si>
  <si>
    <t>103575</t>
  </si>
  <si>
    <t>3575</t>
  </si>
  <si>
    <t>HEPAROID LECIVA</t>
  </si>
  <si>
    <t>103591</t>
  </si>
  <si>
    <t>3591</t>
  </si>
  <si>
    <t>NAKOM</t>
  </si>
  <si>
    <t>TBL 100X275MG</t>
  </si>
  <si>
    <t>103688</t>
  </si>
  <si>
    <t>3688</t>
  </si>
  <si>
    <t>SUPPOSITORIA GLYCERINI LECIVA</t>
  </si>
  <si>
    <t>SUP 10X2.35GM</t>
  </si>
  <si>
    <t>104307</t>
  </si>
  <si>
    <t>4307</t>
  </si>
  <si>
    <t>NITRO POHL INFUS.</t>
  </si>
  <si>
    <t>INF 10X10ML/10MG</t>
  </si>
  <si>
    <t>104343</t>
  </si>
  <si>
    <t>4343</t>
  </si>
  <si>
    <t>PARALEN</t>
  </si>
  <si>
    <t>SUP 5X500MG</t>
  </si>
  <si>
    <t>107981</t>
  </si>
  <si>
    <t>7981</t>
  </si>
  <si>
    <t>NOVALGIN</t>
  </si>
  <si>
    <t>INJ 10X2ML/1000MG</t>
  </si>
  <si>
    <t>109159</t>
  </si>
  <si>
    <t>9159</t>
  </si>
  <si>
    <t>HYLAK FORTE</t>
  </si>
  <si>
    <t>GTT 1X100ML</t>
  </si>
  <si>
    <t>109847</t>
  </si>
  <si>
    <t>9847</t>
  </si>
  <si>
    <t>TORECAN</t>
  </si>
  <si>
    <t>SUP 6X6.5MG</t>
  </si>
  <si>
    <t>111671</t>
  </si>
  <si>
    <t>11671</t>
  </si>
  <si>
    <t>PLASMALYTE ROZTOK</t>
  </si>
  <si>
    <t>INF SOL 10X1000ML</t>
  </si>
  <si>
    <t>112770</t>
  </si>
  <si>
    <t>12770</t>
  </si>
  <si>
    <t>YAL</t>
  </si>
  <si>
    <t>SOL 2X67.5ML</t>
  </si>
  <si>
    <t>114811</t>
  </si>
  <si>
    <t>14811</t>
  </si>
  <si>
    <t>KREON 25 000</t>
  </si>
  <si>
    <t>POR CPS DUR 50</t>
  </si>
  <si>
    <t>114933</t>
  </si>
  <si>
    <t>14933</t>
  </si>
  <si>
    <t>INHIBACE PLUS</t>
  </si>
  <si>
    <t>POR TBL FLM 28</t>
  </si>
  <si>
    <t>119378</t>
  </si>
  <si>
    <t>19378</t>
  </si>
  <si>
    <t>FAKTU</t>
  </si>
  <si>
    <t>RCT SUP 20</t>
  </si>
  <si>
    <t>124067</t>
  </si>
  <si>
    <t>HYDROCORTISON VUAB 100 MG</t>
  </si>
  <si>
    <t>INJ PLV SOL 1X100MG</t>
  </si>
  <si>
    <t>125365</t>
  </si>
  <si>
    <t>25365</t>
  </si>
  <si>
    <t>HELICID 20 ZENTIVA</t>
  </si>
  <si>
    <t>POR CPS ETD 28X20MG</t>
  </si>
  <si>
    <t>125366</t>
  </si>
  <si>
    <t>25366</t>
  </si>
  <si>
    <t>POR CPS ETD 90X20MG</t>
  </si>
  <si>
    <t>144305</t>
  </si>
  <si>
    <t>44305</t>
  </si>
  <si>
    <t>EUPHYLLIN CR N 200</t>
  </si>
  <si>
    <t>CPS RET 50X200MG</t>
  </si>
  <si>
    <t>149317</t>
  </si>
  <si>
    <t>49317</t>
  </si>
  <si>
    <t>CALCIUM GLUCONICUM 10% B.BRAUN</t>
  </si>
  <si>
    <t>INJ SOL 20X10ML</t>
  </si>
  <si>
    <t>150335</t>
  </si>
  <si>
    <t>50335</t>
  </si>
  <si>
    <t>ALGIFEN NEO</t>
  </si>
  <si>
    <t>POR GTT SOL 1X25ML</t>
  </si>
  <si>
    <t>155823</t>
  </si>
  <si>
    <t>55823</t>
  </si>
  <si>
    <t>TBL OBD 20X500MG</t>
  </si>
  <si>
    <t>157483</t>
  </si>
  <si>
    <t>57483</t>
  </si>
  <si>
    <t>CALCIUM RESONIUM</t>
  </si>
  <si>
    <t>PLV 1X300GM</t>
  </si>
  <si>
    <t>157525</t>
  </si>
  <si>
    <t>57525</t>
  </si>
  <si>
    <t>MYDOCALM 150MG</t>
  </si>
  <si>
    <t>TBL OBD 30X150MG</t>
  </si>
  <si>
    <t>159941</t>
  </si>
  <si>
    <t>59941</t>
  </si>
  <si>
    <t>SMECTA</t>
  </si>
  <si>
    <t>PLV POR 1X30SACKU</t>
  </si>
  <si>
    <t>162320</t>
  </si>
  <si>
    <t>62320</t>
  </si>
  <si>
    <t>BETADINE</t>
  </si>
  <si>
    <t>UNG 1X20GM</t>
  </si>
  <si>
    <t>166555</t>
  </si>
  <si>
    <t>66555</t>
  </si>
  <si>
    <t>MAGNOSOLV</t>
  </si>
  <si>
    <t>GRA 30X6.1GM(SACKY)</t>
  </si>
  <si>
    <t>176496</t>
  </si>
  <si>
    <t>76496</t>
  </si>
  <si>
    <t>BERODUAL</t>
  </si>
  <si>
    <t>INH LIQ 1X20ML</t>
  </si>
  <si>
    <t>182952</t>
  </si>
  <si>
    <t>82952</t>
  </si>
  <si>
    <t>QUAMATEL</t>
  </si>
  <si>
    <t>INJ SIC 5X20MG+SOLV</t>
  </si>
  <si>
    <t>183974</t>
  </si>
  <si>
    <t>83974</t>
  </si>
  <si>
    <t>BETALOC</t>
  </si>
  <si>
    <t>INJ 5X5ML/5MG</t>
  </si>
  <si>
    <t>184090</t>
  </si>
  <si>
    <t>84090</t>
  </si>
  <si>
    <t>DEXAMED</t>
  </si>
  <si>
    <t>INJ 10X2ML/8MG</t>
  </si>
  <si>
    <t>184360</t>
  </si>
  <si>
    <t>84360</t>
  </si>
  <si>
    <t>TENAXUM</t>
  </si>
  <si>
    <t>TBL 30X1MG</t>
  </si>
  <si>
    <t>188217</t>
  </si>
  <si>
    <t>88217</t>
  </si>
  <si>
    <t>LEXAURIN</t>
  </si>
  <si>
    <t>TBL 30X1.5MG</t>
  </si>
  <si>
    <t>188219</t>
  </si>
  <si>
    <t>88219</t>
  </si>
  <si>
    <t>TBL 30X3MG</t>
  </si>
  <si>
    <t>191836</t>
  </si>
  <si>
    <t>91836</t>
  </si>
  <si>
    <t>INJ 5X1ML/6.5MG</t>
  </si>
  <si>
    <t>192351</t>
  </si>
  <si>
    <t>92351</t>
  </si>
  <si>
    <t>ATROVENT 0.025%</t>
  </si>
  <si>
    <t>INH SOL 1X20ML</t>
  </si>
  <si>
    <t>192729</t>
  </si>
  <si>
    <t>92729</t>
  </si>
  <si>
    <t>ACIDUM ASCORBICUM</t>
  </si>
  <si>
    <t>INJ 5X5ML</t>
  </si>
  <si>
    <t>193104</t>
  </si>
  <si>
    <t>93104</t>
  </si>
  <si>
    <t>DEGAN</t>
  </si>
  <si>
    <t>TBL 40X10MG</t>
  </si>
  <si>
    <t>193105</t>
  </si>
  <si>
    <t>93105</t>
  </si>
  <si>
    <t>INJ 50X2ML/10MG</t>
  </si>
  <si>
    <t>193746</t>
  </si>
  <si>
    <t>93746</t>
  </si>
  <si>
    <t>HEPARIN LECIVA</t>
  </si>
  <si>
    <t>INJ 1X10ML/50KU</t>
  </si>
  <si>
    <t>199295</t>
  </si>
  <si>
    <t>99295</t>
  </si>
  <si>
    <t>ANOPYRIN 100MG</t>
  </si>
  <si>
    <t>TBL 20X100MG</t>
  </si>
  <si>
    <t>199333</t>
  </si>
  <si>
    <t>99333</t>
  </si>
  <si>
    <t>FUROSEMID BIOTIKA FORTE</t>
  </si>
  <si>
    <t>INJ 10X10ML/125MG</t>
  </si>
  <si>
    <t>841535</t>
  </si>
  <si>
    <t>MENALIND Kožní ochranný krém 200 ml</t>
  </si>
  <si>
    <t>841572</t>
  </si>
  <si>
    <t>MENALIND Ubrousky 50ks náhradní náplň</t>
  </si>
  <si>
    <t>844831</t>
  </si>
  <si>
    <t>DIGOXIN ORION INJ</t>
  </si>
  <si>
    <t>INJ SOL 25X1ML/0.25MG</t>
  </si>
  <si>
    <t>844960</t>
  </si>
  <si>
    <t>125114</t>
  </si>
  <si>
    <t>TBL 60X100 MG</t>
  </si>
  <si>
    <t>845008</t>
  </si>
  <si>
    <t>107806</t>
  </si>
  <si>
    <t>AESCIN-TEVA</t>
  </si>
  <si>
    <t>POR TBL FLM 30X20MG</t>
  </si>
  <si>
    <t>846338</t>
  </si>
  <si>
    <t>122685</t>
  </si>
  <si>
    <t>PRESTARIUM NEO COMBI 5mg/1,25mg</t>
  </si>
  <si>
    <t>POR TBL FLM 30</t>
  </si>
  <si>
    <t>846629</t>
  </si>
  <si>
    <t>100013</t>
  </si>
  <si>
    <t>IBALGIN 400 TBL 24</t>
  </si>
  <si>
    <t xml:space="preserve">POR TBL FLM 24X400MG </t>
  </si>
  <si>
    <t>846758</t>
  </si>
  <si>
    <t>103387</t>
  </si>
  <si>
    <t>ACC INJEKT</t>
  </si>
  <si>
    <t>INJ SOL 5X3ML/300MG</t>
  </si>
  <si>
    <t>847713</t>
  </si>
  <si>
    <t>125526</t>
  </si>
  <si>
    <t>APO-IBUPROFEN 400 MG</t>
  </si>
  <si>
    <t>POR TBL FLM 100X400MG</t>
  </si>
  <si>
    <t>847974</t>
  </si>
  <si>
    <t>125525</t>
  </si>
  <si>
    <t>POR TBL FLM 30X400MG</t>
  </si>
  <si>
    <t>848632</t>
  </si>
  <si>
    <t>125315</t>
  </si>
  <si>
    <t>TIAPRIDAL</t>
  </si>
  <si>
    <t>INJ SOL 12X2ML/100MG</t>
  </si>
  <si>
    <t>848793</t>
  </si>
  <si>
    <t>Emspoma U mas.eml základní 300g</t>
  </si>
  <si>
    <t>849831</t>
  </si>
  <si>
    <t>162008</t>
  </si>
  <si>
    <t>PRESTARIUM NEO COMBI 10 MG/2,5 MG</t>
  </si>
  <si>
    <t>900441</t>
  </si>
  <si>
    <t>KL ETHER  LÉKOPISNÝ 1000 ml Fagron, Kulich</t>
  </si>
  <si>
    <t>jednotka 1 ks   UN 1155</t>
  </si>
  <si>
    <t>905097</t>
  </si>
  <si>
    <t>23987</t>
  </si>
  <si>
    <t>DZ OCTENISEPT 250 ml</t>
  </si>
  <si>
    <t>987464</t>
  </si>
  <si>
    <t>Menalind Professional čistící pěna 400ml</t>
  </si>
  <si>
    <t>51384</t>
  </si>
  <si>
    <t>INF SOL 10X1000MLPLAH</t>
  </si>
  <si>
    <t>100489</t>
  </si>
  <si>
    <t>489</t>
  </si>
  <si>
    <t>KANAVIT</t>
  </si>
  <si>
    <t>INJ 5X1ML/10MG</t>
  </si>
  <si>
    <t>100536</t>
  </si>
  <si>
    <t>536</t>
  </si>
  <si>
    <t>NORADRENALIN LECIVA</t>
  </si>
  <si>
    <t>100612</t>
  </si>
  <si>
    <t>612</t>
  </si>
  <si>
    <t>SYNTOSTIGMIN</t>
  </si>
  <si>
    <t>INJ 10X1ML/0.5MG</t>
  </si>
  <si>
    <t>100811</t>
  </si>
  <si>
    <t>811</t>
  </si>
  <si>
    <t>SANORIN</t>
  </si>
  <si>
    <t>LIQ 10ML 0.05%</t>
  </si>
  <si>
    <t>102546</t>
  </si>
  <si>
    <t>2546</t>
  </si>
  <si>
    <t>MAXITROL</t>
  </si>
  <si>
    <t>SUS OPH 1X5ML</t>
  </si>
  <si>
    <t>102829</t>
  </si>
  <si>
    <t>2829</t>
  </si>
  <si>
    <t>TRIAMCINOLON LECIVA</t>
  </si>
  <si>
    <t>UNG 1X10GM 0.1%</t>
  </si>
  <si>
    <t>104380</t>
  </si>
  <si>
    <t>4380</t>
  </si>
  <si>
    <t>TENSAMIN</t>
  </si>
  <si>
    <t>INJ 10X5ML</t>
  </si>
  <si>
    <t>109139</t>
  </si>
  <si>
    <t>9139</t>
  </si>
  <si>
    <t>HEMINEVRIN 300MG</t>
  </si>
  <si>
    <t>CPS 100X300MG</t>
  </si>
  <si>
    <t>111242</t>
  </si>
  <si>
    <t>11242</t>
  </si>
  <si>
    <t>GERATAM 1200</t>
  </si>
  <si>
    <t>TBL OBD 60X1200MG</t>
  </si>
  <si>
    <t>111337</t>
  </si>
  <si>
    <t>11337</t>
  </si>
  <si>
    <t>GERATAM 3G</t>
  </si>
  <si>
    <t>INJ 4X15ML/3GM</t>
  </si>
  <si>
    <t>117983</t>
  </si>
  <si>
    <t>17983</t>
  </si>
  <si>
    <t>OXYPHYLLIN</t>
  </si>
  <si>
    <t>TBL 50X100MG</t>
  </si>
  <si>
    <t>118305</t>
  </si>
  <si>
    <t>18305</t>
  </si>
  <si>
    <t>RINGERFUNDIN B.BRAUN</t>
  </si>
  <si>
    <t>INF SOL10X1000ML PE</t>
  </si>
  <si>
    <t>145981</t>
  </si>
  <si>
    <t>45981</t>
  </si>
  <si>
    <t>CERNEVIT</t>
  </si>
  <si>
    <t>INJ PLV SOL10X750MG</t>
  </si>
  <si>
    <t>158287</t>
  </si>
  <si>
    <t>58287</t>
  </si>
  <si>
    <t>ADDAMEL N</t>
  </si>
  <si>
    <t>INF CNC 20X10ML</t>
  </si>
  <si>
    <t>159357</t>
  </si>
  <si>
    <t>59357</t>
  </si>
  <si>
    <t>RINGERUV ROZTOK BRAUN</t>
  </si>
  <si>
    <t>INF 10X500ML(LDPE)</t>
  </si>
  <si>
    <t>159940</t>
  </si>
  <si>
    <t>59940</t>
  </si>
  <si>
    <t>PLV POR 1X10SACKU</t>
  </si>
  <si>
    <t>169059</t>
  </si>
  <si>
    <t>69059</t>
  </si>
  <si>
    <t>CEREBROLYSIN</t>
  </si>
  <si>
    <t>INJ 5X10ML</t>
  </si>
  <si>
    <t>169189</t>
  </si>
  <si>
    <t>69189</t>
  </si>
  <si>
    <t>EUTHYROX 50</t>
  </si>
  <si>
    <t>TBL 100X50RG</t>
  </si>
  <si>
    <t>172564</t>
  </si>
  <si>
    <t>72564</t>
  </si>
  <si>
    <t>INF 5X0.5ML/20MG</t>
  </si>
  <si>
    <t>185733</t>
  </si>
  <si>
    <t>85733</t>
  </si>
  <si>
    <t>ISOKET LOSUNG 0.1% PRO INFUS.</t>
  </si>
  <si>
    <t>INJ PRO INF 10X10ML</t>
  </si>
  <si>
    <t>193724</t>
  </si>
  <si>
    <t>93724</t>
  </si>
  <si>
    <t>INDOMETACIN 100 BERLIN-CHEMIE</t>
  </si>
  <si>
    <t>SUP 10X100MG</t>
  </si>
  <si>
    <t>194919</t>
  </si>
  <si>
    <t>94919</t>
  </si>
  <si>
    <t>AMBROBENE 7.5MG/ML</t>
  </si>
  <si>
    <t>SOL 1X40ML</t>
  </si>
  <si>
    <t>500269</t>
  </si>
  <si>
    <t>KL UNG.LENIENS, 200G</t>
  </si>
  <si>
    <t>841541</t>
  </si>
  <si>
    <t>MENALIND Mycí emulze 500ml</t>
  </si>
  <si>
    <t>847635</t>
  </si>
  <si>
    <t>Biopron9    PREMIUM tob.120</t>
  </si>
  <si>
    <t>848172</t>
  </si>
  <si>
    <t>Biopron9  Premium tob.60</t>
  </si>
  <si>
    <t>848802</t>
  </si>
  <si>
    <t>163138</t>
  </si>
  <si>
    <t>FLAVOBION</t>
  </si>
  <si>
    <t>POR TBL FLM 50X70MG</t>
  </si>
  <si>
    <t>849034</t>
  </si>
  <si>
    <t>Emspoma M 200ml/chladivá tuba</t>
  </si>
  <si>
    <t>900240</t>
  </si>
  <si>
    <t>DZ TRIXO LIND 500ML</t>
  </si>
  <si>
    <t>900803</t>
  </si>
  <si>
    <t>1000</t>
  </si>
  <si>
    <t>KL KAL.PERMANGANAS 10G</t>
  </si>
  <si>
    <t>102684</t>
  </si>
  <si>
    <t>2684</t>
  </si>
  <si>
    <t>GEL 1X20GM</t>
  </si>
  <si>
    <t>104071</t>
  </si>
  <si>
    <t>4071</t>
  </si>
  <si>
    <t>DITHIADEN</t>
  </si>
  <si>
    <t>INJ 10X2ML</t>
  </si>
  <si>
    <t>109210</t>
  </si>
  <si>
    <t>9210</t>
  </si>
  <si>
    <t>LEKOPTIN</t>
  </si>
  <si>
    <t>INJ 50X2ML/5MG</t>
  </si>
  <si>
    <t>145274</t>
  </si>
  <si>
    <t>45274</t>
  </si>
  <si>
    <t>ENAP 10MG</t>
  </si>
  <si>
    <t>TBL 30X10MG</t>
  </si>
  <si>
    <t>47706</t>
  </si>
  <si>
    <t>GLUKÓZA 20 BRAUN</t>
  </si>
  <si>
    <t>58038</t>
  </si>
  <si>
    <t>BETALOC ZOK 50 MG</t>
  </si>
  <si>
    <t>POR TBL PRO 100X50MG</t>
  </si>
  <si>
    <t>100409</t>
  </si>
  <si>
    <t>409</t>
  </si>
  <si>
    <t>CALCIUM CHLORATUM BIOTIKA</t>
  </si>
  <si>
    <t>100874</t>
  </si>
  <si>
    <t>874</t>
  </si>
  <si>
    <t>OPHTHALMO-AZULEN</t>
  </si>
  <si>
    <t>102587</t>
  </si>
  <si>
    <t>2587</t>
  </si>
  <si>
    <t>GLUKÓZA 40 BRAUN</t>
  </si>
  <si>
    <t>INF 20X10ML-PLA.AMP</t>
  </si>
  <si>
    <t>104344</t>
  </si>
  <si>
    <t>4344</t>
  </si>
  <si>
    <t>HYPNOMIDATE</t>
  </si>
  <si>
    <t>INJ 5X10ML/20MG</t>
  </si>
  <si>
    <t>110555</t>
  </si>
  <si>
    <t>10555</t>
  </si>
  <si>
    <t>AQUA PRO INJECTIONE BRAUN</t>
  </si>
  <si>
    <t>INJ SOL 20X100ML-PE</t>
  </si>
  <si>
    <t>112319</t>
  </si>
  <si>
    <t>12319</t>
  </si>
  <si>
    <t>TRANSMETIL 500MG INJEKCE</t>
  </si>
  <si>
    <t>INJ SIC 5X500MG+5ML</t>
  </si>
  <si>
    <t>142595</t>
  </si>
  <si>
    <t>42595</t>
  </si>
  <si>
    <t>VITALIPID N ADULT</t>
  </si>
  <si>
    <t>INF CNC SOL 10X10ML</t>
  </si>
  <si>
    <t>162597</t>
  </si>
  <si>
    <t>62597</t>
  </si>
  <si>
    <t>ENAP I.V.</t>
  </si>
  <si>
    <t>INJ 5X1ML/1.25MG</t>
  </si>
  <si>
    <t>169789</t>
  </si>
  <si>
    <t>69789</t>
  </si>
  <si>
    <t>AQUA PRO INJECTIONE ARDEAPHARMA</t>
  </si>
  <si>
    <t>INF 1X500ML</t>
  </si>
  <si>
    <t>177200</t>
  </si>
  <si>
    <t>SUXAMETHONIUM JODID VUAB 100 MG</t>
  </si>
  <si>
    <t>187822</t>
  </si>
  <si>
    <t>87822</t>
  </si>
  <si>
    <t>ARDUAN</t>
  </si>
  <si>
    <t>INJ SIC 25X4MG+2ML</t>
  </si>
  <si>
    <t>190765</t>
  </si>
  <si>
    <t>90765</t>
  </si>
  <si>
    <t>EBRANTIL I.V.50</t>
  </si>
  <si>
    <t>INJ 5X10ML/50MG</t>
  </si>
  <si>
    <t>194852</t>
  </si>
  <si>
    <t>94852</t>
  </si>
  <si>
    <t>SOLUVIT N PRO INFUS.</t>
  </si>
  <si>
    <t>INJ SIC 10</t>
  </si>
  <si>
    <t>194916</t>
  </si>
  <si>
    <t>94916</t>
  </si>
  <si>
    <t>AMBROBENE</t>
  </si>
  <si>
    <t>INJ 5X2ML/15MG</t>
  </si>
  <si>
    <t>395136</t>
  </si>
  <si>
    <t>IR  NATRIUM CITRICUM 4% 1000ml</t>
  </si>
  <si>
    <t>IR dialyzační roztokl Phoenix</t>
  </si>
  <si>
    <t>841550</t>
  </si>
  <si>
    <t>Emspoma Z 300 ml/proti bolesti</t>
  </si>
  <si>
    <t>841645</t>
  </si>
  <si>
    <t>DZ Ubrousky dětské vlhčené</t>
  </si>
  <si>
    <t>844078</t>
  </si>
  <si>
    <t>Lacrisyn gtt.ophth.10ml</t>
  </si>
  <si>
    <t>850655</t>
  </si>
  <si>
    <t>Citra-lock 4% 5ml</t>
  </si>
  <si>
    <t>902087</t>
  </si>
  <si>
    <t>IR  CITRALYSAT K2 5000 ml</t>
  </si>
  <si>
    <t>dialys.rozt.</t>
  </si>
  <si>
    <t>100392</t>
  </si>
  <si>
    <t>392</t>
  </si>
  <si>
    <t>ATROPIN BIOTIKA 0.5MG</t>
  </si>
  <si>
    <t>850095</t>
  </si>
  <si>
    <t>120406</t>
  </si>
  <si>
    <t>THIOPENTAL VUAB INJ. PLV. SOL. 0,5 G</t>
  </si>
  <si>
    <t>INJ PLV SOL 1X0.5GM</t>
  </si>
  <si>
    <t>102963</t>
  </si>
  <si>
    <t>2963</t>
  </si>
  <si>
    <t>PREDNISON 20 LECIVA</t>
  </si>
  <si>
    <t>TBL 20X20MG(BLISTR)</t>
  </si>
  <si>
    <t>198864</t>
  </si>
  <si>
    <t>98864</t>
  </si>
  <si>
    <t>INF SOL 50X100ML</t>
  </si>
  <si>
    <t>198876</t>
  </si>
  <si>
    <t>98876</t>
  </si>
  <si>
    <t>INF SOL 20X500ML</t>
  </si>
  <si>
    <t>900321</t>
  </si>
  <si>
    <t>KL PRIPRAVEK</t>
  </si>
  <si>
    <t>100512</t>
  </si>
  <si>
    <t>512</t>
  </si>
  <si>
    <t>NATRIUM CHLORATUM BIOTIKA 10%</t>
  </si>
  <si>
    <t>INJ 10X5ML 10%</t>
  </si>
  <si>
    <t>101127</t>
  </si>
  <si>
    <t>1127</t>
  </si>
  <si>
    <t>MORPHIN BIOTIKA 1%</t>
  </si>
  <si>
    <t>INJ 10X2ML/20MG</t>
  </si>
  <si>
    <t>101940</t>
  </si>
  <si>
    <t>1940</t>
  </si>
  <si>
    <t>OXAZEPAM TBL.20X10MG</t>
  </si>
  <si>
    <t>TBL 20X10MG(BLISTR)</t>
  </si>
  <si>
    <t>117011</t>
  </si>
  <si>
    <t>17011</t>
  </si>
  <si>
    <t>DICYNONE 250</t>
  </si>
  <si>
    <t>INJ SOL 4X2ML/250MG</t>
  </si>
  <si>
    <t>122629</t>
  </si>
  <si>
    <t>SAB SIMPLEX</t>
  </si>
  <si>
    <t>POR SUS 1X30ML</t>
  </si>
  <si>
    <t>144357</t>
  </si>
  <si>
    <t>44357</t>
  </si>
  <si>
    <t>REMESTYP 1.0</t>
  </si>
  <si>
    <t>INJ 5X10ML/1MG</t>
  </si>
  <si>
    <t>157351</t>
  </si>
  <si>
    <t>57351</t>
  </si>
  <si>
    <t>OXANTIL</t>
  </si>
  <si>
    <t>INJ 5X2ML</t>
  </si>
  <si>
    <t>167547</t>
  </si>
  <si>
    <t>67547</t>
  </si>
  <si>
    <t>ALMIRAL</t>
  </si>
  <si>
    <t>INJ 10X3ML/75MG</t>
  </si>
  <si>
    <t>169671</t>
  </si>
  <si>
    <t>69671</t>
  </si>
  <si>
    <t>INJECTIO PROCAIN.CHLOR.0.2% ARD</t>
  </si>
  <si>
    <t>INJ 1X500ML 0.2%</t>
  </si>
  <si>
    <t>185060</t>
  </si>
  <si>
    <t>85060</t>
  </si>
  <si>
    <t>ATARAX</t>
  </si>
  <si>
    <t>TBL OBD 25X25MG</t>
  </si>
  <si>
    <t>192489</t>
  </si>
  <si>
    <t>92489</t>
  </si>
  <si>
    <t>SOL 10X67.5ML</t>
  </si>
  <si>
    <t>193723</t>
  </si>
  <si>
    <t>93723</t>
  </si>
  <si>
    <t>INDOMETACIN 50 BERLIN-CHEMIE</t>
  </si>
  <si>
    <t>SUP 10X50MG</t>
  </si>
  <si>
    <t>394712</t>
  </si>
  <si>
    <t>IR  AQUA STERILE OPLACH.1x1000 ml ECOTAINER</t>
  </si>
  <si>
    <t>IR OPLACH</t>
  </si>
  <si>
    <t>500701</t>
  </si>
  <si>
    <t>IR  AQUA STERILE OPLACH 1000 ml Pour Bottle Prom.</t>
  </si>
  <si>
    <t>703722</t>
  </si>
  <si>
    <t>MENALIND Olejový spray na ochranu kůže</t>
  </si>
  <si>
    <t>777144</t>
  </si>
  <si>
    <t>Emspoma Z 500g/proti bolesti</t>
  </si>
  <si>
    <t>842351</t>
  </si>
  <si>
    <t>Stopangin sol. 250ml</t>
  </si>
  <si>
    <t>844040</t>
  </si>
  <si>
    <t>Emspoma M 950g/chladivá</t>
  </si>
  <si>
    <t>847559</t>
  </si>
  <si>
    <t>Calcium pantothenicum 100g</t>
  </si>
  <si>
    <t>100113</t>
  </si>
  <si>
    <t>113</t>
  </si>
  <si>
    <t>DILURAN</t>
  </si>
  <si>
    <t>TBL 20X250MG</t>
  </si>
  <si>
    <t>102828</t>
  </si>
  <si>
    <t>2828</t>
  </si>
  <si>
    <t>CRM 1X10GM 0.1%</t>
  </si>
  <si>
    <t>104160</t>
  </si>
  <si>
    <t>4160</t>
  </si>
  <si>
    <t>TRIAMCINOLON S LECIVA</t>
  </si>
  <si>
    <t>UNG 30GM</t>
  </si>
  <si>
    <t>104178</t>
  </si>
  <si>
    <t>4178</t>
  </si>
  <si>
    <t>TRIAMCINOLON E LECIVA</t>
  </si>
  <si>
    <t>108499</t>
  </si>
  <si>
    <t>8499</t>
  </si>
  <si>
    <t>DIPIDOLOR</t>
  </si>
  <si>
    <t>INJ 5X2ML 7.5MG/ML</t>
  </si>
  <si>
    <t>116547</t>
  </si>
  <si>
    <t>16547</t>
  </si>
  <si>
    <t>CYMEVENE</t>
  </si>
  <si>
    <t>INF SIC 1X500MG</t>
  </si>
  <si>
    <t>142630</t>
  </si>
  <si>
    <t>42630</t>
  </si>
  <si>
    <t>PAMBA</t>
  </si>
  <si>
    <t>INJ SOL 5X5ML/50MG</t>
  </si>
  <si>
    <t>145241</t>
  </si>
  <si>
    <t>45241</t>
  </si>
  <si>
    <t>ISICOM 100MG</t>
  </si>
  <si>
    <t>TBL 100X125MG</t>
  </si>
  <si>
    <t>146444</t>
  </si>
  <si>
    <t>46444</t>
  </si>
  <si>
    <t>TRITTICO AC 150</t>
  </si>
  <si>
    <t>TBL RET 60X150MG</t>
  </si>
  <si>
    <t>146692</t>
  </si>
  <si>
    <t>46692</t>
  </si>
  <si>
    <t>EUTHYROX 75</t>
  </si>
  <si>
    <t>TBL 100X75RG</t>
  </si>
  <si>
    <t>147271</t>
  </si>
  <si>
    <t>47271</t>
  </si>
  <si>
    <t>MOTILIUM</t>
  </si>
  <si>
    <t>TBL OBD 30X10MG</t>
  </si>
  <si>
    <t>159358</t>
  </si>
  <si>
    <t>59358</t>
  </si>
  <si>
    <t>INF 10X1000ML(LDPE)</t>
  </si>
  <si>
    <t>159392</t>
  </si>
  <si>
    <t>59392</t>
  </si>
  <si>
    <t>BROMHEXIN - EGIS</t>
  </si>
  <si>
    <t>SOL 1X60ML/120MG</t>
  </si>
  <si>
    <t>840987</t>
  </si>
  <si>
    <t>IR  AQUA STERILE OPLACH.6x1000 ml</t>
  </si>
  <si>
    <t>IR OPLACH-FR</t>
  </si>
  <si>
    <t>843217</t>
  </si>
  <si>
    <t>CATAPRES 0,15MG INJ</t>
  </si>
  <si>
    <t>INJ 5X1ML/0.15MG</t>
  </si>
  <si>
    <t>844591</t>
  </si>
  <si>
    <t>107161</t>
  </si>
  <si>
    <t>DIPEPTIVEN</t>
  </si>
  <si>
    <t>INF CNC SOL 1X100ML</t>
  </si>
  <si>
    <t>848725</t>
  </si>
  <si>
    <t>107677</t>
  </si>
  <si>
    <t>KALIUMCHLORID 7.45% BRAUN</t>
  </si>
  <si>
    <t>INF CNC SOL 20X100ML</t>
  </si>
  <si>
    <t>900518</t>
  </si>
  <si>
    <t>KL UNG.LENIENS, 500G</t>
  </si>
  <si>
    <t>102547</t>
  </si>
  <si>
    <t>2547</t>
  </si>
  <si>
    <t>UNG OPH 1X3.5GM</t>
  </si>
  <si>
    <t>184785</t>
  </si>
  <si>
    <t>84785</t>
  </si>
  <si>
    <t>VIDISIC</t>
  </si>
  <si>
    <t>GEL OPH 3X10GM</t>
  </si>
  <si>
    <t>845813</t>
  </si>
  <si>
    <t>DECA DURABOLIN  50</t>
  </si>
  <si>
    <t xml:space="preserve">INJ SOL 1X1ML/50MG </t>
  </si>
  <si>
    <t>98901</t>
  </si>
  <si>
    <t>GLUKÓZA 5% VIAFLO</t>
  </si>
  <si>
    <t>185812</t>
  </si>
  <si>
    <t>85812</t>
  </si>
  <si>
    <t>LIDOCAIN</t>
  </si>
  <si>
    <t>INJ 10X2ML 2%</t>
  </si>
  <si>
    <t>847962</t>
  </si>
  <si>
    <t>AESCIN 30mg tbl.60 VULM</t>
  </si>
  <si>
    <t>147671</t>
  </si>
  <si>
    <t>47671</t>
  </si>
  <si>
    <t>PERLINGANIT ROZTOK</t>
  </si>
  <si>
    <t>INF SOL10X10ML AMP</t>
  </si>
  <si>
    <t>169667</t>
  </si>
  <si>
    <t>69667</t>
  </si>
  <si>
    <t>ARDEAELYTOSOL NA.HYDR.FOSF.8.7%</t>
  </si>
  <si>
    <t>INF 1X200ML</t>
  </si>
  <si>
    <t>395927</t>
  </si>
  <si>
    <t>98237</t>
  </si>
  <si>
    <t>HYDROGENUHLIČITAN SODNÝ 8,4 (W/V)-BRAUN</t>
  </si>
  <si>
    <t>INF SOL 10X250ML</t>
  </si>
  <si>
    <t>921547</t>
  </si>
  <si>
    <t>KL UNG.ELOCOM 45G,LENIENS AD 300G</t>
  </si>
  <si>
    <t>100982</t>
  </si>
  <si>
    <t>982</t>
  </si>
  <si>
    <t>CARBOSORB</t>
  </si>
  <si>
    <t>PLV 1X25GM</t>
  </si>
  <si>
    <t>198880</t>
  </si>
  <si>
    <t>98880</t>
  </si>
  <si>
    <t>100560</t>
  </si>
  <si>
    <t>560</t>
  </si>
  <si>
    <t>PLEGOMAZIN</t>
  </si>
  <si>
    <t>INJ 10X5ML/25MG</t>
  </si>
  <si>
    <t>193779</t>
  </si>
  <si>
    <t>93779</t>
  </si>
  <si>
    <t>FLORSALMIN</t>
  </si>
  <si>
    <t>GTT 1X50ML</t>
  </si>
  <si>
    <t>850729</t>
  </si>
  <si>
    <t>157875</t>
  </si>
  <si>
    <t>PARACETAMOL KABI 10MG/ML</t>
  </si>
  <si>
    <t>INF SOL 10X100ML/1000MG</t>
  </si>
  <si>
    <t>850675</t>
  </si>
  <si>
    <t>Menalind professional tělové mléko 500ml</t>
  </si>
  <si>
    <t>121393</t>
  </si>
  <si>
    <t>21393</t>
  </si>
  <si>
    <t>PATENTBLAU V</t>
  </si>
  <si>
    <t>INJ 5X2ML/50MG</t>
  </si>
  <si>
    <t>198194</t>
  </si>
  <si>
    <t>98194</t>
  </si>
  <si>
    <t>CYCLO 3 FORT</t>
  </si>
  <si>
    <t>CPS 30</t>
  </si>
  <si>
    <t>2584</t>
  </si>
  <si>
    <t>842266</t>
  </si>
  <si>
    <t>Ubrousky detske vlhčené</t>
  </si>
  <si>
    <t>100584</t>
  </si>
  <si>
    <t>584</t>
  </si>
  <si>
    <t>PYRIDOXIN LECIVA</t>
  </si>
  <si>
    <t>INJ 5X1ML 50MG</t>
  </si>
  <si>
    <t>187000</t>
  </si>
  <si>
    <t>87000</t>
  </si>
  <si>
    <t>ARDEAOSMOSOL MA 20 (Mannitol)</t>
  </si>
  <si>
    <t>790012</t>
  </si>
  <si>
    <t>Emspoma O 500g/hřejivá</t>
  </si>
  <si>
    <t>902074</t>
  </si>
  <si>
    <t>85278</t>
  </si>
  <si>
    <t>VOLULYTE 6%</t>
  </si>
  <si>
    <t>842144</t>
  </si>
  <si>
    <t>DZ BRAUNODERM 1 l</t>
  </si>
  <si>
    <t>UN 1993</t>
  </si>
  <si>
    <t>108651</t>
  </si>
  <si>
    <t>8651</t>
  </si>
  <si>
    <t>BRICANYL</t>
  </si>
  <si>
    <t>INJ 10X1ML 0.5MG</t>
  </si>
  <si>
    <t>192414</t>
  </si>
  <si>
    <t>92414</t>
  </si>
  <si>
    <t>SEPTONEX</t>
  </si>
  <si>
    <t>SPR 1X45ML</t>
  </si>
  <si>
    <t>501008</t>
  </si>
  <si>
    <t>DZ SANOSIL SUPER</t>
  </si>
  <si>
    <t>1l (250ml)</t>
  </si>
  <si>
    <t>846113</t>
  </si>
  <si>
    <t>107712</t>
  </si>
  <si>
    <t>EPANUTIN PARENTERAL</t>
  </si>
  <si>
    <t>INJ SOL 5X5ML/250MG</t>
  </si>
  <si>
    <t>850680</t>
  </si>
  <si>
    <t>120407</t>
  </si>
  <si>
    <t>THIOPENTAL VUAB INJ. PLV. SOL. 1,0 G</t>
  </si>
  <si>
    <t>INJ PLV SOL 1X1GM</t>
  </si>
  <si>
    <t>987881</t>
  </si>
  <si>
    <t>Walmark Laktobacily FORTE s fruktooligosach.30+30</t>
  </si>
  <si>
    <t>161490</t>
  </si>
  <si>
    <t>REMIFENTANIL B. BRAUN 2 MG</t>
  </si>
  <si>
    <t>INJ+INF PLV CSL 5X2MG</t>
  </si>
  <si>
    <t>187814</t>
  </si>
  <si>
    <t>87814</t>
  </si>
  <si>
    <t>CALYPSOL</t>
  </si>
  <si>
    <t>INJ 5X10ML/500MG</t>
  </si>
  <si>
    <t>50440</t>
  </si>
  <si>
    <t>ACCUSOL 35, ROZTOK PRO HEMOFILTRACI, HEMODIALÝZU A</t>
  </si>
  <si>
    <t>DLP HFL SOL 2X5000ML</t>
  </si>
  <si>
    <t>114325</t>
  </si>
  <si>
    <t>14325</t>
  </si>
  <si>
    <t>ELOCOM</t>
  </si>
  <si>
    <t>DRM SOL 1X20ML 0.1%</t>
  </si>
  <si>
    <t>147545</t>
  </si>
  <si>
    <t>47545</t>
  </si>
  <si>
    <t>WELLBUTRIN SR</t>
  </si>
  <si>
    <t>POR TBL PRO60X150MG</t>
  </si>
  <si>
    <t>149990</t>
  </si>
  <si>
    <t>49990</t>
  </si>
  <si>
    <t>EXACYL</t>
  </si>
  <si>
    <t>INJ 5X5ML/500MG</t>
  </si>
  <si>
    <t>155939</t>
  </si>
  <si>
    <t>HERPESIN 250</t>
  </si>
  <si>
    <t>INF PLV SOL 10X250MG</t>
  </si>
  <si>
    <t>169191</t>
  </si>
  <si>
    <t>69191</t>
  </si>
  <si>
    <t>EUTHYROX 150</t>
  </si>
  <si>
    <t>TBL 100X150RG</t>
  </si>
  <si>
    <t>191217</t>
  </si>
  <si>
    <t>91217</t>
  </si>
  <si>
    <t>VENTER</t>
  </si>
  <si>
    <t>TBL 50X1GM</t>
  </si>
  <si>
    <t>196887</t>
  </si>
  <si>
    <t>96887</t>
  </si>
  <si>
    <t>0.9% W/V SODIUM CHLORIDE I.V.</t>
  </si>
  <si>
    <t>INJ 20X20ML</t>
  </si>
  <si>
    <t>395850</t>
  </si>
  <si>
    <t>OptiLube lubrikační gel</t>
  </si>
  <si>
    <t>tuba 113g</t>
  </si>
  <si>
    <t>500396</t>
  </si>
  <si>
    <t>Diffusil H forte</t>
  </si>
  <si>
    <t>150 ml DPH 20%</t>
  </si>
  <si>
    <t>802327</t>
  </si>
  <si>
    <t>49781</t>
  </si>
  <si>
    <t>LITHIUM CHLORID 0.15 MMOL/ML LCO</t>
  </si>
  <si>
    <t>INJ SOL 1X10ML</t>
  </si>
  <si>
    <t>840813</t>
  </si>
  <si>
    <t>135844</t>
  </si>
  <si>
    <t>VOLUVEN 10% 500 ML</t>
  </si>
  <si>
    <t>INF. 10X500 ML</t>
  </si>
  <si>
    <t>846826</t>
  </si>
  <si>
    <t>125002</t>
  </si>
  <si>
    <t>ESMERON INJ.SOL.10X5ML</t>
  </si>
  <si>
    <t>901185</t>
  </si>
  <si>
    <t>IR ETHANOLUM 96% 500 ml</t>
  </si>
  <si>
    <t>IR 500 ml</t>
  </si>
  <si>
    <t>988032</t>
  </si>
  <si>
    <t>191083</t>
  </si>
  <si>
    <t>NORCURON 4 MG</t>
  </si>
  <si>
    <t>INJ PLV SOL 10X4MG</t>
  </si>
  <si>
    <t>162321</t>
  </si>
  <si>
    <t>62321</t>
  </si>
  <si>
    <t>SUP VAG 14</t>
  </si>
  <si>
    <t>114989</t>
  </si>
  <si>
    <t>14989</t>
  </si>
  <si>
    <t>RIVOTRIL</t>
  </si>
  <si>
    <t>INJ 5X1ML/1MG+SOLV.</t>
  </si>
  <si>
    <t>142594</t>
  </si>
  <si>
    <t>42594</t>
  </si>
  <si>
    <t>VITALIPID N INFANT</t>
  </si>
  <si>
    <t>183741</t>
  </si>
  <si>
    <t>83741</t>
  </si>
  <si>
    <t>GLUCAGEN 1MG HYPOKIT</t>
  </si>
  <si>
    <t>INJ SIC 1MG+STRIK.</t>
  </si>
  <si>
    <t>619259</t>
  </si>
  <si>
    <t>:Ubrousky dětské hyg.Baby Wipes Aloe Vera Plus 80k</t>
  </si>
  <si>
    <t>s</t>
  </si>
  <si>
    <t>844864</t>
  </si>
  <si>
    <t>85346</t>
  </si>
  <si>
    <t>INFECTOSCAB 5% KRÉM DRM</t>
  </si>
  <si>
    <t>1X30G</t>
  </si>
  <si>
    <t>121856</t>
  </si>
  <si>
    <t>21856</t>
  </si>
  <si>
    <t>CORYOL 3.125</t>
  </si>
  <si>
    <t>PORTBLNOB30X3.125MG</t>
  </si>
  <si>
    <t>13440</t>
  </si>
  <si>
    <t>RINGERŮV ROZTOK VIAFLO</t>
  </si>
  <si>
    <t>849975</t>
  </si>
  <si>
    <t>136004</t>
  </si>
  <si>
    <t>TAFLOTAN 15 MIKROGRAMŮ/ML OČNÍ KAPKY, ROZTOK, JEDN</t>
  </si>
  <si>
    <t>OPH GTT SOL 30X0.3ML</t>
  </si>
  <si>
    <t>132738</t>
  </si>
  <si>
    <t>32738</t>
  </si>
  <si>
    <t>FLUZAK</t>
  </si>
  <si>
    <t>POR CPS DUR 30X20MG</t>
  </si>
  <si>
    <t>147544</t>
  </si>
  <si>
    <t>47544</t>
  </si>
  <si>
    <t>POR TBL PRO30X150MG</t>
  </si>
  <si>
    <t>162319</t>
  </si>
  <si>
    <t>62319</t>
  </si>
  <si>
    <t>BETADINE (CHIRURG.) - hnědá</t>
  </si>
  <si>
    <t>LIQ 1X1000ML</t>
  </si>
  <si>
    <t>988011</t>
  </si>
  <si>
    <t>HemaGel PROCTO čípky 5ks</t>
  </si>
  <si>
    <t>185322</t>
  </si>
  <si>
    <t>85322</t>
  </si>
  <si>
    <t>ALDACTONE-AMPULE</t>
  </si>
  <si>
    <t>INJ 10X10ML/200MG</t>
  </si>
  <si>
    <t>168653</t>
  </si>
  <si>
    <t>DEXDOR</t>
  </si>
  <si>
    <t>INF CNC SOL 4X4ML</t>
  </si>
  <si>
    <t>158893</t>
  </si>
  <si>
    <t>58893</t>
  </si>
  <si>
    <t>XALATAN</t>
  </si>
  <si>
    <t>GTT OPH 1X2.5ML</t>
  </si>
  <si>
    <t>137493</t>
  </si>
  <si>
    <t>ESMOCARD HCL ORPHA 2500 MG/10 ML KONCENTRÁT PRO PŘ</t>
  </si>
  <si>
    <t>INF CNC SOL 1X2500MG/10ML</t>
  </si>
  <si>
    <t>988088</t>
  </si>
  <si>
    <t>Walmark Laktobacily FORTE s fruktooligosach.60+60</t>
  </si>
  <si>
    <t>200863</t>
  </si>
  <si>
    <t>OPH GTT SOL 1X10ML PLAST</t>
  </si>
  <si>
    <t>989039</t>
  </si>
  <si>
    <t>Menalind Profess.čist.pěna 400ml+čist.těl.ml.500ml</t>
  </si>
  <si>
    <t>100449</t>
  </si>
  <si>
    <t>449</t>
  </si>
  <si>
    <t>EREVIT FORTE BIOTIKA</t>
  </si>
  <si>
    <t>INJ 5X1ML/300MG</t>
  </si>
  <si>
    <t>841318</t>
  </si>
  <si>
    <t>HBF Calcium panthotenát mast 100ml</t>
  </si>
  <si>
    <t>P</t>
  </si>
  <si>
    <t>105496</t>
  </si>
  <si>
    <t>5496</t>
  </si>
  <si>
    <t>ZODAC</t>
  </si>
  <si>
    <t>TBL OBD 60X10MG</t>
  </si>
  <si>
    <t>109709</t>
  </si>
  <si>
    <t>9709</t>
  </si>
  <si>
    <t>SOLU-MEDROL</t>
  </si>
  <si>
    <t>INJ SIC 1X40MG+1ML</t>
  </si>
  <si>
    <t>113768</t>
  </si>
  <si>
    <t>13768</t>
  </si>
  <si>
    <t>CORDARONE</t>
  </si>
  <si>
    <t>POR TBL NOB60X200MG</t>
  </si>
  <si>
    <t>147144</t>
  </si>
  <si>
    <t>47144</t>
  </si>
  <si>
    <t>LETROX 100</t>
  </si>
  <si>
    <t>TBL 100X100RG</t>
  </si>
  <si>
    <t>147740</t>
  </si>
  <si>
    <t>47740</t>
  </si>
  <si>
    <t>RIVOCOR 5</t>
  </si>
  <si>
    <t>POR TBL FLM 30X5MG</t>
  </si>
  <si>
    <t>154316</t>
  </si>
  <si>
    <t>54316</t>
  </si>
  <si>
    <t>FRAXIPARIN MULTI</t>
  </si>
  <si>
    <t>INJ 10X5ML/47.5KU</t>
  </si>
  <si>
    <t>158380</t>
  </si>
  <si>
    <t>58380</t>
  </si>
  <si>
    <t>VENTOLIN ROZTOK K INHALACI</t>
  </si>
  <si>
    <t>INH SOL1X20ML/120MG</t>
  </si>
  <si>
    <t>848765</t>
  </si>
  <si>
    <t>107938</t>
  </si>
  <si>
    <t>INJ SOL 6X3ML/150MG</t>
  </si>
  <si>
    <t>849990</t>
  </si>
  <si>
    <t>102596</t>
  </si>
  <si>
    <t>CARVESAN 6,25</t>
  </si>
  <si>
    <t>POR TBL NOB 30X6,25MG</t>
  </si>
  <si>
    <t>126786</t>
  </si>
  <si>
    <t>26786</t>
  </si>
  <si>
    <t>NOVORAPID 100 U/ML</t>
  </si>
  <si>
    <t>142546</t>
  </si>
  <si>
    <t>42546</t>
  </si>
  <si>
    <t>LACTULOSE AL SIRUP</t>
  </si>
  <si>
    <t>POR SIR 1X200ML</t>
  </si>
  <si>
    <t>149531</t>
  </si>
  <si>
    <t>49531</t>
  </si>
  <si>
    <t>CONTROLOC I.V.</t>
  </si>
  <si>
    <t>INJ PLV SOL 1X40MG</t>
  </si>
  <si>
    <t>118175</t>
  </si>
  <si>
    <t>18175</t>
  </si>
  <si>
    <t>PROPOFOL 1% MCT/LCT FRESENIUS</t>
  </si>
  <si>
    <t>INJ EML 10X100ML</t>
  </si>
  <si>
    <t>185325</t>
  </si>
  <si>
    <t>85325</t>
  </si>
  <si>
    <t>DORMICUM</t>
  </si>
  <si>
    <t>INJ SOL 5X3ML/15MG</t>
  </si>
  <si>
    <t>130160</t>
  </si>
  <si>
    <t>30160</t>
  </si>
  <si>
    <t>MIDAZOLAM TORREX 1MG/ML</t>
  </si>
  <si>
    <t>INJ 10X2ML/2MG</t>
  </si>
  <si>
    <t>109711</t>
  </si>
  <si>
    <t>9711</t>
  </si>
  <si>
    <t>INJ SIC 1X500MG+8ML</t>
  </si>
  <si>
    <t>190959</t>
  </si>
  <si>
    <t>90959</t>
  </si>
  <si>
    <t>XANAX</t>
  </si>
  <si>
    <t>TBL 30X0.5MG</t>
  </si>
  <si>
    <t>117139</t>
  </si>
  <si>
    <t>17139</t>
  </si>
  <si>
    <t>LAMICTAL 50 MG</t>
  </si>
  <si>
    <t>POR TBL NOB 42X50MG</t>
  </si>
  <si>
    <t>130164</t>
  </si>
  <si>
    <t>30164</t>
  </si>
  <si>
    <t>INJ 10X5ML/5MG</t>
  </si>
  <si>
    <t>130779</t>
  </si>
  <si>
    <t>30779</t>
  </si>
  <si>
    <t>SUFENTANIL TORREX 5 MCG/ML</t>
  </si>
  <si>
    <t>INJ SOL 5X10ML/50RG</t>
  </si>
  <si>
    <t>115245</t>
  </si>
  <si>
    <t>15245</t>
  </si>
  <si>
    <t>SANDOSTATIN 0.1 MG/ML</t>
  </si>
  <si>
    <t>INJ SOL 5X1ML/0.1MG</t>
  </si>
  <si>
    <t>121088</t>
  </si>
  <si>
    <t>21088</t>
  </si>
  <si>
    <t>SUFENTANIL TORREX 50 MCG/ML</t>
  </si>
  <si>
    <t>INJ SOL 5X5ML/250RG</t>
  </si>
  <si>
    <t>847134</t>
  </si>
  <si>
    <t>151050</t>
  </si>
  <si>
    <t>DEPAKINE</t>
  </si>
  <si>
    <t>INJ PSO LQF 4X4ML/400MG</t>
  </si>
  <si>
    <t>130215</t>
  </si>
  <si>
    <t>30215</t>
  </si>
  <si>
    <t>MIDAZOLAM TORREX 5MG/ML</t>
  </si>
  <si>
    <t>INJ 10X10ML/50MG</t>
  </si>
  <si>
    <t>142392</t>
  </si>
  <si>
    <t>42392</t>
  </si>
  <si>
    <t>TRACRIUM 50</t>
  </si>
  <si>
    <t>INJ 5X5ML/50MG</t>
  </si>
  <si>
    <t>147467</t>
  </si>
  <si>
    <t>47467</t>
  </si>
  <si>
    <t>VALTREX 500 MG</t>
  </si>
  <si>
    <t>TBL OBD 42X500MG</t>
  </si>
  <si>
    <t>29449</t>
  </si>
  <si>
    <t>NOVOSEVEN 100 KIU (2 MG)</t>
  </si>
  <si>
    <t>INJ PSO LQF 2MG</t>
  </si>
  <si>
    <t>50113006</t>
  </si>
  <si>
    <t>33525</t>
  </si>
  <si>
    <t>PULMOCARE 500 ML PŘÍCHUŤ VANILKA</t>
  </si>
  <si>
    <t>33601</t>
  </si>
  <si>
    <t>JEVITY PLUS HP</t>
  </si>
  <si>
    <t>133381</t>
  </si>
  <si>
    <t>33381</t>
  </si>
  <si>
    <t>INTESTAMIN</t>
  </si>
  <si>
    <t>153980</t>
  </si>
  <si>
    <t>OXEPA</t>
  </si>
  <si>
    <t>33680</t>
  </si>
  <si>
    <t>GLUCERNA SELECT VANILKOVÁ PŘÍCHUŤ</t>
  </si>
  <si>
    <t>118735</t>
  </si>
  <si>
    <t>18735</t>
  </si>
  <si>
    <t>SMOFLIPID</t>
  </si>
  <si>
    <t>INF EML 10X500ML</t>
  </si>
  <si>
    <t>195947</t>
  </si>
  <si>
    <t>95947</t>
  </si>
  <si>
    <t>AMINOMIX 2 NOVUM</t>
  </si>
  <si>
    <t>INF SOL4X2000ML</t>
  </si>
  <si>
    <t>158628</t>
  </si>
  <si>
    <t>58628</t>
  </si>
  <si>
    <t>NUTRAMIN VLI</t>
  </si>
  <si>
    <t>841569</t>
  </si>
  <si>
    <t>Fresubin hepa 15x500ml</t>
  </si>
  <si>
    <t>846016</t>
  </si>
  <si>
    <t>Nutrison Advanced Protison 500ml</t>
  </si>
  <si>
    <t>1X500ML</t>
  </si>
  <si>
    <t>103513</t>
  </si>
  <si>
    <t>3513</t>
  </si>
  <si>
    <t>NUTRIFLEX BASAL</t>
  </si>
  <si>
    <t>INF 5X2000ML</t>
  </si>
  <si>
    <t>110996</t>
  </si>
  <si>
    <t>10996</t>
  </si>
  <si>
    <t>NUTRIFLEX PLUS</t>
  </si>
  <si>
    <t>142003</t>
  </si>
  <si>
    <t>NEPHROTECT</t>
  </si>
  <si>
    <t>INF SOL 10X500ML</t>
  </si>
  <si>
    <t>165317</t>
  </si>
  <si>
    <t>65317</t>
  </si>
  <si>
    <t>ELOTRACE I.V.</t>
  </si>
  <si>
    <t>INF 10X100ML</t>
  </si>
  <si>
    <t>844478</t>
  </si>
  <si>
    <t>107104</t>
  </si>
  <si>
    <t>KABIVEN</t>
  </si>
  <si>
    <t>INF EML 4X2053ML</t>
  </si>
  <si>
    <t>396914</t>
  </si>
  <si>
    <t>52301</t>
  </si>
  <si>
    <t>AMINOPLASMAL HEPA-10%</t>
  </si>
  <si>
    <t>INF 10X500ML</t>
  </si>
  <si>
    <t>396932</t>
  </si>
  <si>
    <t>31989</t>
  </si>
  <si>
    <t>CLINIMIX N9G20E 4x2000 ml</t>
  </si>
  <si>
    <t>4x2000 ml</t>
  </si>
  <si>
    <t>500831</t>
  </si>
  <si>
    <t>157109</t>
  </si>
  <si>
    <t>OLIMEL N7E</t>
  </si>
  <si>
    <t>INF EML4X2000ML</t>
  </si>
  <si>
    <t>33531</t>
  </si>
  <si>
    <t>NUTRISON ENERGY MULTI FIBRE</t>
  </si>
  <si>
    <t>POR SOL 1X1000ML</t>
  </si>
  <si>
    <t>133146</t>
  </si>
  <si>
    <t>33530</t>
  </si>
  <si>
    <t>NUTRISON MULTI FIBRE</t>
  </si>
  <si>
    <t>POR SOL 1X1000ML-VA</t>
  </si>
  <si>
    <t>133148</t>
  </si>
  <si>
    <t>33148</t>
  </si>
  <si>
    <t>NUTRISON PROTEIN PLUS MULTI FIB</t>
  </si>
  <si>
    <t>POR SOL 1X500ML-VA</t>
  </si>
  <si>
    <t>133220</t>
  </si>
  <si>
    <t>33220</t>
  </si>
  <si>
    <t>PROTIFAR</t>
  </si>
  <si>
    <t>POR PLV SOL 1X225GM</t>
  </si>
  <si>
    <t>33424</t>
  </si>
  <si>
    <t>NUTRISON ADVANCED CUBISON</t>
  </si>
  <si>
    <t>33526</t>
  </si>
  <si>
    <t>NUTRISON</t>
  </si>
  <si>
    <t>848207</t>
  </si>
  <si>
    <t>33422</t>
  </si>
  <si>
    <t>Nutrison Advanced DIASON LOW ENERGY</t>
  </si>
  <si>
    <t>por.sol.1000ml</t>
  </si>
  <si>
    <t>848250</t>
  </si>
  <si>
    <t>33423</t>
  </si>
  <si>
    <t>NUTRISON ADVANCED PEPTISORB</t>
  </si>
  <si>
    <t xml:space="preserve">POR SOL 1X1000ML </t>
  </si>
  <si>
    <t>50113012</t>
  </si>
  <si>
    <t>193650</t>
  </si>
  <si>
    <t>93650</t>
  </si>
  <si>
    <t>ACTILYSE 50MG</t>
  </si>
  <si>
    <t>INJ SIC 1X50MG+50ML</t>
  </si>
  <si>
    <t>50113013</t>
  </si>
  <si>
    <t>83050</t>
  </si>
  <si>
    <t>198192</t>
  </si>
  <si>
    <t>SEFOTAK 1 G</t>
  </si>
  <si>
    <t>96414</t>
  </si>
  <si>
    <t>GENTAMICIN LEK 80 MG/2 ML</t>
  </si>
  <si>
    <t>INJ SOL 10X2ML/80MG</t>
  </si>
  <si>
    <t>101066</t>
  </si>
  <si>
    <t>1066</t>
  </si>
  <si>
    <t>FRAMYKOIN</t>
  </si>
  <si>
    <t>UNG 1X10GM</t>
  </si>
  <si>
    <t>101076</t>
  </si>
  <si>
    <t>1076</t>
  </si>
  <si>
    <t>OPHTHALMO-FRAMYKOIN</t>
  </si>
  <si>
    <t>102427</t>
  </si>
  <si>
    <t>2427</t>
  </si>
  <si>
    <t>ENTIZOL</t>
  </si>
  <si>
    <t>106264</t>
  </si>
  <si>
    <t>6264</t>
  </si>
  <si>
    <t>SUMETROLIM</t>
  </si>
  <si>
    <t>TBL 20X480MG</t>
  </si>
  <si>
    <t>111592</t>
  </si>
  <si>
    <t>11592</t>
  </si>
  <si>
    <t>METRONIDAZOL 500MG BRAUN</t>
  </si>
  <si>
    <t>INJ 10X100ML(LDPE)</t>
  </si>
  <si>
    <t>117810</t>
  </si>
  <si>
    <t>17810</t>
  </si>
  <si>
    <t>TAZOCIN 4.5 G</t>
  </si>
  <si>
    <t>INJ PLV SOL12X4.5GM</t>
  </si>
  <si>
    <t>120605</t>
  </si>
  <si>
    <t>20605</t>
  </si>
  <si>
    <t>COLOMYCIN INJEKCE 1000000 IU</t>
  </si>
  <si>
    <t>INJ PLV SOL 10X1MU</t>
  </si>
  <si>
    <t>131654</t>
  </si>
  <si>
    <t>CEFTAZIDIM KABI 1 GM</t>
  </si>
  <si>
    <t>INJ PLV SOL 10X1GM</t>
  </si>
  <si>
    <t>183417</t>
  </si>
  <si>
    <t>83417</t>
  </si>
  <si>
    <t>MERONEM</t>
  </si>
  <si>
    <t>INJ SIC 10X1GM</t>
  </si>
  <si>
    <t>192289</t>
  </si>
  <si>
    <t>92289</t>
  </si>
  <si>
    <t>EDICIN 0,5GM</t>
  </si>
  <si>
    <t>INJ.SICC.1X500MG</t>
  </si>
  <si>
    <t>192290</t>
  </si>
  <si>
    <t>92290</t>
  </si>
  <si>
    <t>EDICIN 1GM</t>
  </si>
  <si>
    <t>INJ.SICC.1X1GM</t>
  </si>
  <si>
    <t>194155</t>
  </si>
  <si>
    <t>94155</t>
  </si>
  <si>
    <t>ABAKTAL</t>
  </si>
  <si>
    <t>INJ 10X5ML/400MG</t>
  </si>
  <si>
    <t>847476</t>
  </si>
  <si>
    <t>112782</t>
  </si>
  <si>
    <t xml:space="preserve">GENTAMICIN B.BRAUN 3 MG/ML INFUZNÍ ROZTOK </t>
  </si>
  <si>
    <t>INF SOL 20X80ML</t>
  </si>
  <si>
    <t>849567</t>
  </si>
  <si>
    <t>125249</t>
  </si>
  <si>
    <t>CIPROFLOXACIN KABI 400 MG/200 ML INFUZNÍ ROZTOK</t>
  </si>
  <si>
    <t>INF SOL 10X400MG/200ML</t>
  </si>
  <si>
    <t>131656</t>
  </si>
  <si>
    <t>CEFTAZIDIM KABI 2 GM</t>
  </si>
  <si>
    <t>INJ+INF PLV SOL 10X2GM</t>
  </si>
  <si>
    <t>500697</t>
  </si>
  <si>
    <t>Amikacin B.Braun 10mg/ml EP 100ml</t>
  </si>
  <si>
    <t>10X100ml</t>
  </si>
  <si>
    <t>846790</t>
  </si>
  <si>
    <t>121238</t>
  </si>
  <si>
    <t>CEFTRIAXON KABI 1 G</t>
  </si>
  <si>
    <t>INJ PLV SOL 10X1G</t>
  </si>
  <si>
    <t>849206</t>
  </si>
  <si>
    <t>162809</t>
  </si>
  <si>
    <t>Avelox 400mg/250ml inf.sol.1x250ml/400mg</t>
  </si>
  <si>
    <t>25746</t>
  </si>
  <si>
    <t>INVANZ 1 G</t>
  </si>
  <si>
    <t>INF PLV SOL 1X1GM</t>
  </si>
  <si>
    <t>103952</t>
  </si>
  <si>
    <t>3952</t>
  </si>
  <si>
    <t>AMIKIN</t>
  </si>
  <si>
    <t>INJ 1X2ML/500MG</t>
  </si>
  <si>
    <t>111706</t>
  </si>
  <si>
    <t>11706</t>
  </si>
  <si>
    <t>BISEPTOL 480</t>
  </si>
  <si>
    <t>162496</t>
  </si>
  <si>
    <t>TAZIP 4 G/0,5 G</t>
  </si>
  <si>
    <t>INJ+INF PLV SOL 10X4,5GM</t>
  </si>
  <si>
    <t>121240</t>
  </si>
  <si>
    <t>CEFTRIAXON KABI 2 G</t>
  </si>
  <si>
    <t>INF PLV SOL 10X2GM</t>
  </si>
  <si>
    <t>500696</t>
  </si>
  <si>
    <t>Amikacin B.Braun 5mg/ml EP 100ml</t>
  </si>
  <si>
    <t>113453</t>
  </si>
  <si>
    <t>PIPERACILLIN/TAZOBACTAM KABI 4 G/0,5 G</t>
  </si>
  <si>
    <t>INF PLV SOL 10X4.5GM</t>
  </si>
  <si>
    <t>201030</t>
  </si>
  <si>
    <t>147064</t>
  </si>
  <si>
    <t>47064</t>
  </si>
  <si>
    <t>TAVANIC I.V.500 MG</t>
  </si>
  <si>
    <t>INF SOL 1X100ML</t>
  </si>
  <si>
    <t>108807</t>
  </si>
  <si>
    <t>8807</t>
  </si>
  <si>
    <t>DALACIN C PHOSPHATE</t>
  </si>
  <si>
    <t>INJ 1X4ML 600MG</t>
  </si>
  <si>
    <t>116600</t>
  </si>
  <si>
    <t>16600</t>
  </si>
  <si>
    <t>UNASYN</t>
  </si>
  <si>
    <t>INJ PLV SOL 1X1.5GM</t>
  </si>
  <si>
    <t>153922</t>
  </si>
  <si>
    <t>53922</t>
  </si>
  <si>
    <t>CIPHIN PRO INFUSION.200MG/100ML</t>
  </si>
  <si>
    <t>INF 1X100ML/200MG</t>
  </si>
  <si>
    <t>156801</t>
  </si>
  <si>
    <t>56801</t>
  </si>
  <si>
    <t>KLACID I.V.</t>
  </si>
  <si>
    <t>PLV INF 1X500MG</t>
  </si>
  <si>
    <t>158092</t>
  </si>
  <si>
    <t>58092</t>
  </si>
  <si>
    <t>CEFAZOLIN SANDOZ 1 G</t>
  </si>
  <si>
    <t>172972</t>
  </si>
  <si>
    <t>72972</t>
  </si>
  <si>
    <t>AMOKSIKLAV 1.2GM</t>
  </si>
  <si>
    <t>INJ SIC 5X1.2GM</t>
  </si>
  <si>
    <t>176360</t>
  </si>
  <si>
    <t>76360</t>
  </si>
  <si>
    <t>ZINACEF AD INJ.</t>
  </si>
  <si>
    <t>INJ SIC 1X1.5GM</t>
  </si>
  <si>
    <t>117041</t>
  </si>
  <si>
    <t>17041</t>
  </si>
  <si>
    <t>CEFOBID 1 G</t>
  </si>
  <si>
    <t>INJ SIC 1X1GM</t>
  </si>
  <si>
    <t>166137</t>
  </si>
  <si>
    <t>66137</t>
  </si>
  <si>
    <t>OFLOXIN INF</t>
  </si>
  <si>
    <t>108808</t>
  </si>
  <si>
    <t>8808</t>
  </si>
  <si>
    <t>DALACIN C</t>
  </si>
  <si>
    <t>INJ SOL 1X6ML/900MG</t>
  </si>
  <si>
    <t>126127</t>
  </si>
  <si>
    <t>26127</t>
  </si>
  <si>
    <t>TYGACIL 50 MG</t>
  </si>
  <si>
    <t>INF PLV SOL 10X50MG/5ML</t>
  </si>
  <si>
    <t>129767</t>
  </si>
  <si>
    <t>IMIPENEM/CILASTATIN KABI 500 MG/500 MG</t>
  </si>
  <si>
    <t>INF PLV SOL 10LAH/20ML</t>
  </si>
  <si>
    <t>50113014</t>
  </si>
  <si>
    <t>199248</t>
  </si>
  <si>
    <t>99248</t>
  </si>
  <si>
    <t>MYFUNGAR</t>
  </si>
  <si>
    <t>CRM 1X30GM</t>
  </si>
  <si>
    <t>176150</t>
  </si>
  <si>
    <t>76150</t>
  </si>
  <si>
    <t>BATRAFEN</t>
  </si>
  <si>
    <t>CRM 1X20GM</t>
  </si>
  <si>
    <t>127429</t>
  </si>
  <si>
    <t>27429</t>
  </si>
  <si>
    <t>CANCIDAS 50 MG</t>
  </si>
  <si>
    <t>INF PLV SOL 1X50MG</t>
  </si>
  <si>
    <t>129428</t>
  </si>
  <si>
    <t>500720</t>
  </si>
  <si>
    <t>MYCAMINE 100 MG</t>
  </si>
  <si>
    <t>INF PLV SOL 1X100MG</t>
  </si>
  <si>
    <t>27431</t>
  </si>
  <si>
    <t>CANCIDAS 70 MG</t>
  </si>
  <si>
    <t>INF PLV CSL 1X70MG</t>
  </si>
  <si>
    <t>165989</t>
  </si>
  <si>
    <t>65989</t>
  </si>
  <si>
    <t>MYCOMAX « INF. INFUZ</t>
  </si>
  <si>
    <t>126902</t>
  </si>
  <si>
    <t>26902</t>
  </si>
  <si>
    <t>VFEND 200 MG</t>
  </si>
  <si>
    <t>INF PLV SOL 1X200MG</t>
  </si>
  <si>
    <t>850734</t>
  </si>
  <si>
    <t>149384</t>
  </si>
  <si>
    <t>ECALTA 100 MG</t>
  </si>
  <si>
    <t>INF PLV CSL 100MG+30ML</t>
  </si>
  <si>
    <t>50113008</t>
  </si>
  <si>
    <t>6480</t>
  </si>
  <si>
    <t>Ocplex 20ml 500 I.U. Phoenix</t>
  </si>
  <si>
    <t>97910</t>
  </si>
  <si>
    <t>Human Albumin 20% 100 ml GRIFOLS</t>
  </si>
  <si>
    <t>29980</t>
  </si>
  <si>
    <t>FLEBOGAMMA 10g DIF Grifols</t>
  </si>
  <si>
    <t>0129056</t>
  </si>
  <si>
    <t>ATENATIV 500 I.U. Phoenix</t>
  </si>
  <si>
    <t>0062464</t>
  </si>
  <si>
    <t>Haemocomplettan P 1000mg</t>
  </si>
  <si>
    <t>97909</t>
  </si>
  <si>
    <t>Human Albumin 20% 50 ml GRIFOLS</t>
  </si>
  <si>
    <t>0129057</t>
  </si>
  <si>
    <t>ATENATIV</t>
  </si>
  <si>
    <t>INF PSO LQF 1X1000UT</t>
  </si>
  <si>
    <t>129027</t>
  </si>
  <si>
    <t>PROPOFOL-LIPURO 1 % (10MG/ML)</t>
  </si>
  <si>
    <t>INJ+INF EML 10X100ML/1000MG</t>
  </si>
  <si>
    <t>849310</t>
  </si>
  <si>
    <t>126689</t>
  </si>
  <si>
    <t>PROPOFOL-LIPURO 0,5% (5MG/ML) 5X20ML</t>
  </si>
  <si>
    <t>INJ+INF EML 5X20ML/100MG</t>
  </si>
  <si>
    <t>101125</t>
  </si>
  <si>
    <t>1125</t>
  </si>
  <si>
    <t>INJ 10X1ML/10MG</t>
  </si>
  <si>
    <t>102486</t>
  </si>
  <si>
    <t>2486</t>
  </si>
  <si>
    <t>KALIUM CHLORATUM LECIVA 7.5%</t>
  </si>
  <si>
    <t>INJ 5X10ML 7.5%</t>
  </si>
  <si>
    <t>186990</t>
  </si>
  <si>
    <t>86990</t>
  </si>
  <si>
    <t>ARDEAOSMOSOL MA 15 (Mannitol)</t>
  </si>
  <si>
    <t>395997</t>
  </si>
  <si>
    <t>DZ SOFTASEPT N BEZBARVÝ 250 ml</t>
  </si>
  <si>
    <t>905098</t>
  </si>
  <si>
    <t>23989</t>
  </si>
  <si>
    <t>DZ OCTENISEPT 1 l</t>
  </si>
  <si>
    <t>100394</t>
  </si>
  <si>
    <t>394</t>
  </si>
  <si>
    <t>ATROPIN BIOTIKA 1MG</t>
  </si>
  <si>
    <t>INJ 10X1ML/1MG</t>
  </si>
  <si>
    <t>395851</t>
  </si>
  <si>
    <t>OptiLube Active lubrikační gel</t>
  </si>
  <si>
    <t>stříkačka 11ml</t>
  </si>
  <si>
    <t>396554</t>
  </si>
  <si>
    <t>185352</t>
  </si>
  <si>
    <t>NALOXON HCL B. BRAUN 0,4 MG/ML</t>
  </si>
  <si>
    <t>INJ+INF SOL 5X1ML/0.4MG</t>
  </si>
  <si>
    <t>930043</t>
  </si>
  <si>
    <t>DZ TRIXO LIND 100 ml</t>
  </si>
  <si>
    <t>843996</t>
  </si>
  <si>
    <t>100191</t>
  </si>
  <si>
    <t>VOLUVEN  6%</t>
  </si>
  <si>
    <t>INF SOL 20X500MLVAK+P</t>
  </si>
  <si>
    <t>447</t>
  </si>
  <si>
    <t>EPHEDRIN BIOTIKA</t>
  </si>
  <si>
    <t>INJ SOL 10X1ML/50MG</t>
  </si>
  <si>
    <t>113441</t>
  </si>
  <si>
    <t>13441</t>
  </si>
  <si>
    <t>118656</t>
  </si>
  <si>
    <t>NALBUPHIN ORPHA</t>
  </si>
  <si>
    <t>INJ SOL 10X2ML</t>
  </si>
  <si>
    <t>184471</t>
  </si>
  <si>
    <t>XOMOLIX 2,5 MG/ML INJEKČNÍ ROZTOK</t>
  </si>
  <si>
    <t>INJ SOL 10X2,5MG/ML</t>
  </si>
  <si>
    <t>103761</t>
  </si>
  <si>
    <t>3761</t>
  </si>
  <si>
    <t>CHIROCAINE 5 MG/ML</t>
  </si>
  <si>
    <t>INJ CNC SOL 10X10ML</t>
  </si>
  <si>
    <t>190021</t>
  </si>
  <si>
    <t>90021</t>
  </si>
  <si>
    <t>MARCAINE SPINAL O.5%</t>
  </si>
  <si>
    <t>INJ 5X4ML 5MG/ML</t>
  </si>
  <si>
    <t>162189</t>
  </si>
  <si>
    <t>62189</t>
  </si>
  <si>
    <t>NASIVIN</t>
  </si>
  <si>
    <t>GTT NAS 1X5ML 0.01%</t>
  </si>
  <si>
    <t>177201</t>
  </si>
  <si>
    <t>SUXAMETHONIUM JODID VUAB 250 MG</t>
  </si>
  <si>
    <t>INJ PLV SOL 1X250MG</t>
  </si>
  <si>
    <t>187721</t>
  </si>
  <si>
    <t>87721</t>
  </si>
  <si>
    <t>RAPIFEN</t>
  </si>
  <si>
    <t>192836</t>
  </si>
  <si>
    <t>92836</t>
  </si>
  <si>
    <t>MARCAINE SPINAL O.5% HEAVY</t>
  </si>
  <si>
    <t>INJ 5X4ML/20MG</t>
  </si>
  <si>
    <t>193632</t>
  </si>
  <si>
    <t>93632</t>
  </si>
  <si>
    <t>FORANE</t>
  </si>
  <si>
    <t>INH 100ML</t>
  </si>
  <si>
    <t>194763</t>
  </si>
  <si>
    <t>94763</t>
  </si>
  <si>
    <t>NALOXONE POLFA</t>
  </si>
  <si>
    <t>INJ 10X1ML/0.4MG</t>
  </si>
  <si>
    <t>196869</t>
  </si>
  <si>
    <t>96869</t>
  </si>
  <si>
    <t>CERUCAL</t>
  </si>
  <si>
    <t>INJ SOL10X2ML/10MG</t>
  </si>
  <si>
    <t>847482</t>
  </si>
  <si>
    <t>Sofnolime - absorpční vápno</t>
  </si>
  <si>
    <t>901148</t>
  </si>
  <si>
    <t>IR SOL.MORPH.CHLOR.0.1%</t>
  </si>
  <si>
    <t>IR 1 ml</t>
  </si>
  <si>
    <t>846853</t>
  </si>
  <si>
    <t>124418</t>
  </si>
  <si>
    <t>ROCURONIUM B. BRAUN 10 MG/ML</t>
  </si>
  <si>
    <t xml:space="preserve">INJ+INF SOL 10X5ML </t>
  </si>
  <si>
    <t>501068</t>
  </si>
  <si>
    <t>160185</t>
  </si>
  <si>
    <t>IR  INFUSIO MANNITOLI 15% 250 ml</t>
  </si>
  <si>
    <t>INF 30x250 ml vak viaflo</t>
  </si>
  <si>
    <t>107678</t>
  </si>
  <si>
    <t>INF CNC SOL 20X20ML</t>
  </si>
  <si>
    <t>125034</t>
  </si>
  <si>
    <t>25034</t>
  </si>
  <si>
    <t>INJ SOL 10X1ML/5MG</t>
  </si>
  <si>
    <t>131934</t>
  </si>
  <si>
    <t>31934</t>
  </si>
  <si>
    <t>VENTOLIN INHALER N</t>
  </si>
  <si>
    <t>INHSUSPSS200X100RG</t>
  </si>
  <si>
    <t>118167</t>
  </si>
  <si>
    <t>18167</t>
  </si>
  <si>
    <t>INJ EML 5X20ML</t>
  </si>
  <si>
    <t>849266</t>
  </si>
  <si>
    <t>162444</t>
  </si>
  <si>
    <t xml:space="preserve">SUFENTANIL TORREX 5 MCG/ML </t>
  </si>
  <si>
    <t>INJ SOL 5X2ML/10RG</t>
  </si>
  <si>
    <t>140361</t>
  </si>
  <si>
    <t>40361</t>
  </si>
  <si>
    <t>NIMBEX</t>
  </si>
  <si>
    <t>INJ SOL 5X2.5ML/5MG</t>
  </si>
  <si>
    <t>140362</t>
  </si>
  <si>
    <t>40362</t>
  </si>
  <si>
    <t>INJ SOL 5X10ML/20MG</t>
  </si>
  <si>
    <t>160319</t>
  </si>
  <si>
    <t>SEVOFLURANE BAXTER 100 %</t>
  </si>
  <si>
    <t>INH LIQ VAP 1X250ML</t>
  </si>
  <si>
    <t>844242</t>
  </si>
  <si>
    <t>105937</t>
  </si>
  <si>
    <t>TETRASPAN 6%</t>
  </si>
  <si>
    <t>845151</t>
  </si>
  <si>
    <t>Poštovné - doprava 21%</t>
  </si>
  <si>
    <t>NELECIVA</t>
  </si>
  <si>
    <t>110820</t>
  </si>
  <si>
    <t>10820</t>
  </si>
  <si>
    <t>ZOFRAN</t>
  </si>
  <si>
    <t>INJ SOL 5X4ML/8MG</t>
  </si>
  <si>
    <t>156993</t>
  </si>
  <si>
    <t>56993</t>
  </si>
  <si>
    <t>CODEIN SLOVAKOFARMA 30MG</t>
  </si>
  <si>
    <t>TBL 10X30MG-BLISTR</t>
  </si>
  <si>
    <t>196696</t>
  </si>
  <si>
    <t>96696</t>
  </si>
  <si>
    <t>INDAP</t>
  </si>
  <si>
    <t>CPS 30X2.5MG</t>
  </si>
  <si>
    <t>132090</t>
  </si>
  <si>
    <t>32090</t>
  </si>
  <si>
    <t>TRALGIT 50 INJ</t>
  </si>
  <si>
    <t>INJ SOL 5X1ML/50MG</t>
  </si>
  <si>
    <t>113024</t>
  </si>
  <si>
    <t>13024</t>
  </si>
  <si>
    <t>SEVORANE</t>
  </si>
  <si>
    <t>INH SOL 1X250ML</t>
  </si>
  <si>
    <t>842125</t>
  </si>
  <si>
    <t>DZ SOFTASEPT N BAREVNÝ 250 ml</t>
  </si>
  <si>
    <t>146125</t>
  </si>
  <si>
    <t>46125</t>
  </si>
  <si>
    <t>LIDOCAIN 10%</t>
  </si>
  <si>
    <t>SPR 1X38GM</t>
  </si>
  <si>
    <t>Klinika anesteziologie a resuscitace a intenzivní medicíny</t>
  </si>
  <si>
    <t>Klinika anesteziologie a resuscitace, ambulance</t>
  </si>
  <si>
    <t>Klinika anesteziologie a resuscitace, JIP</t>
  </si>
  <si>
    <t>Klinika anesteziologie a resuscitace, operační sál</t>
  </si>
  <si>
    <t>Klinika anesteziologie a resuscitace, pracoviště C</t>
  </si>
  <si>
    <t>KAR dospávací hala KAR</t>
  </si>
  <si>
    <t>KAR - pracoviště DK COS</t>
  </si>
  <si>
    <t>Lékárna - léčiva</t>
  </si>
  <si>
    <t>Lékárna - enterární výživa</t>
  </si>
  <si>
    <t>Lékárna - trombolýza</t>
  </si>
  <si>
    <t>Lékárna - antibiotika</t>
  </si>
  <si>
    <t>Lékárna - antimykotika</t>
  </si>
  <si>
    <t>393 TO krevní deriváty IVLP (112 01 003)</t>
  </si>
  <si>
    <t>0731 - Klinika anesteziologie a resuscitace, JIP</t>
  </si>
  <si>
    <t>0766 - KAR - pracoviště DK COS</t>
  </si>
  <si>
    <t>0762 - Klinika anesteziologie a resuscitace, operační sál</t>
  </si>
  <si>
    <t>0764 - Klinika anesteziologie a resuscitace, pracoviště C</t>
  </si>
  <si>
    <t>0765 - KAR dospávací hala KAR</t>
  </si>
  <si>
    <t>N01AB08 - Sevofluran</t>
  </si>
  <si>
    <t>V06XX - Potraviny pro zvláštní lékařské účely (PZLÚ)</t>
  </si>
  <si>
    <t>N03AX14 - Levetiracetam</t>
  </si>
  <si>
    <t>N06AB04 - Citalopram</t>
  </si>
  <si>
    <t>N01AX10 - Propofol</t>
  </si>
  <si>
    <t>J01DD01 - Cefotaxim</t>
  </si>
  <si>
    <t>N06AB06 - Sertralin</t>
  </si>
  <si>
    <t>H03AA01 - Levothyroxin, sodná sůl</t>
  </si>
  <si>
    <t>J01MA01 - Ofloxacin</t>
  </si>
  <si>
    <t>M03AC11 - Cisatrakurium</t>
  </si>
  <si>
    <t>J02AC03 - Vorikonazol</t>
  </si>
  <si>
    <t>C07AG02 - Karvedilol</t>
  </si>
  <si>
    <t>C07AB07 - Bisoprolol</t>
  </si>
  <si>
    <t>C09AA02 - Enalapril</t>
  </si>
  <si>
    <t>J01XA01 - Vankomycin</t>
  </si>
  <si>
    <t>H01CB02 - Oktreotid</t>
  </si>
  <si>
    <t>J05AB11 - Valaciklovir</t>
  </si>
  <si>
    <t>H02AB04 - Methylprednisolon</t>
  </si>
  <si>
    <t>N01AH03 - Sufentanyl</t>
  </si>
  <si>
    <t>N02AX02 - Tramadol</t>
  </si>
  <si>
    <t>N03AX09 - Lamotrigin</t>
  </si>
  <si>
    <t>C01BD01 - Amiodaron</t>
  </si>
  <si>
    <t>J01AA12 - Tigecyklin</t>
  </si>
  <si>
    <t>J01MA02 - Ciprofloxacin</t>
  </si>
  <si>
    <t>J01CR01 - Ampicilin a enzymový inhibitor</t>
  </si>
  <si>
    <t>J02AC01 - Flukonazol</t>
  </si>
  <si>
    <t>J01CR02 - Amoxicilin a enzymový inhibitor</t>
  </si>
  <si>
    <t>J02AX06 - Anidulafungin</t>
  </si>
  <si>
    <t>J01DB04 - Cefazolin</t>
  </si>
  <si>
    <t>M03AC04 - Atrakurium</t>
  </si>
  <si>
    <t>J01DC02 - Cefuroxim</t>
  </si>
  <si>
    <t>A06AD11 - Laktulóza</t>
  </si>
  <si>
    <t>B01AB06 - Nadroparin</t>
  </si>
  <si>
    <t>B02BD08 - Eptakog alfa (aktivovaný)</t>
  </si>
  <si>
    <t>N05CD08 - Midazolam</t>
  </si>
  <si>
    <t>N03AG01 - Kyselina valproová</t>
  </si>
  <si>
    <t>N05BA12 - Alprazolam</t>
  </si>
  <si>
    <t>A10AB05 - Inzulin aspart</t>
  </si>
  <si>
    <t>A16AA02 - Ademethionin</t>
  </si>
  <si>
    <t>A04AA01 - Ondansetron</t>
  </si>
  <si>
    <t>R06AE07 - Cetirizin</t>
  </si>
  <si>
    <t>J01DD12 - Cefoperazon</t>
  </si>
  <si>
    <t>R03AC02 - Salbutamol</t>
  </si>
  <si>
    <t>J01DH51 - Imipenem a enzymový inhibitor</t>
  </si>
  <si>
    <t>S01EE01 - Latanoprost</t>
  </si>
  <si>
    <t>J01FA09 - Klarithromycin</t>
  </si>
  <si>
    <t>A02BC02 - Pantoprazol</t>
  </si>
  <si>
    <t>J01FF01 - Klindamycin</t>
  </si>
  <si>
    <t>A02BC02</t>
  </si>
  <si>
    <t>A06AD11</t>
  </si>
  <si>
    <t>A10AB05</t>
  </si>
  <si>
    <t>A16AA02</t>
  </si>
  <si>
    <t>TRANSMETIL 500 MG INJEKCE</t>
  </si>
  <si>
    <t>INJ PSO LQF 5X500MG</t>
  </si>
  <si>
    <t>B01AB06</t>
  </si>
  <si>
    <t>INJ SOL 10X5ML/47.5KU</t>
  </si>
  <si>
    <t>B02BD08</t>
  </si>
  <si>
    <t>C01BD01</t>
  </si>
  <si>
    <t>POR TBL NOB 60X200MG</t>
  </si>
  <si>
    <t>C07AB07</t>
  </si>
  <si>
    <t>C07AG02</t>
  </si>
  <si>
    <t>C09AA02</t>
  </si>
  <si>
    <t>INJ SOL 5X1ML/1.25MG</t>
  </si>
  <si>
    <t>H01CB02</t>
  </si>
  <si>
    <t>SANDOSTATIN 0,1 MG/ML</t>
  </si>
  <si>
    <t>INJ SOL+INF CNC SOL5X1ML/0.1MG</t>
  </si>
  <si>
    <t>H02AB04</t>
  </si>
  <si>
    <t>SOLU-MEDROL 40 MG/ML</t>
  </si>
  <si>
    <t>INJ PSO LQF 40MG+1ML</t>
  </si>
  <si>
    <t>SOLU-MEDROL 62,5 MG/ML</t>
  </si>
  <si>
    <t>INJ PSO LQF 500MG+8ML</t>
  </si>
  <si>
    <t>H03AA01</t>
  </si>
  <si>
    <t>POR TBL NOB 100X100RG I</t>
  </si>
  <si>
    <t>J01AA12</t>
  </si>
  <si>
    <t>J01CR01</t>
  </si>
  <si>
    <t>J01CR02</t>
  </si>
  <si>
    <t>AMOKSIKLAV 1,2 G</t>
  </si>
  <si>
    <t>INJ PLV SOL 5X1.2GM</t>
  </si>
  <si>
    <t>J01DB04</t>
  </si>
  <si>
    <t>J01DC02</t>
  </si>
  <si>
    <t>ZINACEF 1,5 G</t>
  </si>
  <si>
    <t>J01DD01</t>
  </si>
  <si>
    <t>J01DD12</t>
  </si>
  <si>
    <t>J01DH51</t>
  </si>
  <si>
    <t>J01FA09</t>
  </si>
  <si>
    <t>INF PLV SOL 1X500MG</t>
  </si>
  <si>
    <t>J01FF01</t>
  </si>
  <si>
    <t>INJ SOL 1X4ML/600MG</t>
  </si>
  <si>
    <t>J01MA01</t>
  </si>
  <si>
    <t>INF SOL 1X100ML/200MG</t>
  </si>
  <si>
    <t>J01MA02</t>
  </si>
  <si>
    <t>CIPHIN PRO INFUSIONE 200 MG/100 ML</t>
  </si>
  <si>
    <t>J01XA01</t>
  </si>
  <si>
    <t>EDICIN 0,5 G</t>
  </si>
  <si>
    <t>INJ PLV SOL 1X500MG</t>
  </si>
  <si>
    <t>EDICIN 1 G</t>
  </si>
  <si>
    <t>J02AC01</t>
  </si>
  <si>
    <t>MYCOMAX INF</t>
  </si>
  <si>
    <t>INF SOL 100ML/200MG</t>
  </si>
  <si>
    <t>J02AC03</t>
  </si>
  <si>
    <t>J02AX06</t>
  </si>
  <si>
    <t>J05AB11</t>
  </si>
  <si>
    <t>POR TBL FLM 42X500MG</t>
  </si>
  <si>
    <t>M03AC04</t>
  </si>
  <si>
    <t>N01AH03</t>
  </si>
  <si>
    <t>N01AX10</t>
  </si>
  <si>
    <t>N03AG01</t>
  </si>
  <si>
    <t>N03AX09</t>
  </si>
  <si>
    <t>N03AX14</t>
  </si>
  <si>
    <t>POR TBL FLM 100X500MG</t>
  </si>
  <si>
    <t>INF CNC SOL 10X5ML/500MG</t>
  </si>
  <si>
    <t>N05BA12</t>
  </si>
  <si>
    <t>XANAX 0,5 MG</t>
  </si>
  <si>
    <t>POR TBL NOB 30X0.5MG</t>
  </si>
  <si>
    <t>N05CD08</t>
  </si>
  <si>
    <t>MIDAZOLAM TORREX 1 MG/ML</t>
  </si>
  <si>
    <t>INJ SOL 10X2ML/2MG</t>
  </si>
  <si>
    <t>INJ SOL 10X5ML/5MG</t>
  </si>
  <si>
    <t>MIDAZOLAM TORREX 5 MG/ML</t>
  </si>
  <si>
    <t>INJ SOL 10X10ML/50MG</t>
  </si>
  <si>
    <t>N06AB04</t>
  </si>
  <si>
    <t>N06AB06</t>
  </si>
  <si>
    <t>R03AC02</t>
  </si>
  <si>
    <t>R06AE07</t>
  </si>
  <si>
    <t>POR TBL FLM 60X10MG</t>
  </si>
  <si>
    <t>S01EE01</t>
  </si>
  <si>
    <t>OPH GTT SOL 1X2.5ML I</t>
  </si>
  <si>
    <t>V06XX</t>
  </si>
  <si>
    <t>NUTRISON PROTEIN PLUS MULTI FIBRE</t>
  </si>
  <si>
    <t>NUTRISON ADVANCED DIASON LOW ENERGY</t>
  </si>
  <si>
    <t>M03AC11</t>
  </si>
  <si>
    <t>N01AB08</t>
  </si>
  <si>
    <t>PROPOFOL-LIPURO 0,5% (5MG/ML)</t>
  </si>
  <si>
    <t>INH SUS PSS 200X100RG</t>
  </si>
  <si>
    <t>A04AA01</t>
  </si>
  <si>
    <t>N02AX02</t>
  </si>
  <si>
    <t>Přehled plnění pozitivního listu - spotřeba léčivých přípravků - orientační přehled</t>
  </si>
  <si>
    <t>HVLP</t>
  </si>
  <si>
    <t>PZT</t>
  </si>
  <si>
    <t>7</t>
  </si>
  <si>
    <t>89301072</t>
  </si>
  <si>
    <t>Příjmová ambulance Celkem</t>
  </si>
  <si>
    <t>89301074</t>
  </si>
  <si>
    <t>Ambulance bolestivých stavů při KAR Celkem</t>
  </si>
  <si>
    <t>Klinika anesteziologie a resuscitace a intenzivní medicíny Celkem</t>
  </si>
  <si>
    <t>Axmann Karel</t>
  </si>
  <si>
    <t>Cvrkal Pavel</t>
  </si>
  <si>
    <t>Částková Adéla</t>
  </si>
  <si>
    <t>Dobeš Oldřich</t>
  </si>
  <si>
    <t>Dostálová Kateřina</t>
  </si>
  <si>
    <t>Doubravská Lenka</t>
  </si>
  <si>
    <t>Fritscherová Šárka</t>
  </si>
  <si>
    <t>Gabrhelík Tomáš</t>
  </si>
  <si>
    <t>Hložková Jarmila</t>
  </si>
  <si>
    <t>Hrnčířová Michaela</t>
  </si>
  <si>
    <t>Kirchnerová Martina</t>
  </si>
  <si>
    <t>Koutná Jiřina</t>
  </si>
  <si>
    <t>Matlochová Judit</t>
  </si>
  <si>
    <t>Mrozek Zdenek</t>
  </si>
  <si>
    <t>Obare Pyszková Lenka</t>
  </si>
  <si>
    <t>Peter Martin</t>
  </si>
  <si>
    <t>Petrová Jana</t>
  </si>
  <si>
    <t>Petrová Zbynka</t>
  </si>
  <si>
    <t>Pieran Marek</t>
  </si>
  <si>
    <t>Pomajbíková Hana</t>
  </si>
  <si>
    <t>Prášil Petr</t>
  </si>
  <si>
    <t>Rešková Ivana</t>
  </si>
  <si>
    <t>Sedlák Ctirad</t>
  </si>
  <si>
    <t>Vlček Jiří</t>
  </si>
  <si>
    <t>Vychodilová Ivana</t>
  </si>
  <si>
    <t>Drašková Michaela</t>
  </si>
  <si>
    <t>Pospíšilová Libuše</t>
  </si>
  <si>
    <t>Amanatidu Anny</t>
  </si>
  <si>
    <t>Klementa Bronislav</t>
  </si>
  <si>
    <t>Mometason</t>
  </si>
  <si>
    <t>16456</t>
  </si>
  <si>
    <t>NASONEX</t>
  </si>
  <si>
    <t>NAS SPR SUS 60X50RG</t>
  </si>
  <si>
    <t>Salmeterol a flutikason</t>
  </si>
  <si>
    <t>45961</t>
  </si>
  <si>
    <t>SERETIDE DISKUS 50/100</t>
  </si>
  <si>
    <t>INH PLV 1X60X50/100RG</t>
  </si>
  <si>
    <t>Perindopril a amlodipin</t>
  </si>
  <si>
    <t>124091</t>
  </si>
  <si>
    <t>PRESTANCE 5 MG/5 MG</t>
  </si>
  <si>
    <t>POR TBL NOB 90</t>
  </si>
  <si>
    <t>Azithromycin</t>
  </si>
  <si>
    <t>45011</t>
  </si>
  <si>
    <t>AZITROMYCIN SANDOZ 500 MG</t>
  </si>
  <si>
    <t>POR TBL FLM 6X500MG</t>
  </si>
  <si>
    <t>Nadroparin</t>
  </si>
  <si>
    <t>32059</t>
  </si>
  <si>
    <t>FRAXIPARINE</t>
  </si>
  <si>
    <t>INJ SOL 10X0.4ML</t>
  </si>
  <si>
    <t>Telmisartan a amlodipin</t>
  </si>
  <si>
    <t>167862</t>
  </si>
  <si>
    <t>TWYNSTA 80 MG/10 MG</t>
  </si>
  <si>
    <t>POR TBL NOB 90X1</t>
  </si>
  <si>
    <t>Zolpidem</t>
  </si>
  <si>
    <t>16285</t>
  </si>
  <si>
    <t>STILNOX</t>
  </si>
  <si>
    <t>POR TBL FLM 10X10MG</t>
  </si>
  <si>
    <t>Sodná sůl metamizolu</t>
  </si>
  <si>
    <t>NOVALGIN TABLETY</t>
  </si>
  <si>
    <t>POR TBL FLM 20X500MG</t>
  </si>
  <si>
    <t>Tramadol</t>
  </si>
  <si>
    <t>59673</t>
  </si>
  <si>
    <t>TRALGIT SR 100</t>
  </si>
  <si>
    <t>POR TBL PRO 50X100MG</t>
  </si>
  <si>
    <t>Bisoprolol</t>
  </si>
  <si>
    <t>94164</t>
  </si>
  <si>
    <t>CONCOR 5</t>
  </si>
  <si>
    <t>Cefuroxim</t>
  </si>
  <si>
    <t>47727</t>
  </si>
  <si>
    <t>ZINNAT 500 MG</t>
  </si>
  <si>
    <t>POR TBL FLM 10X500MG</t>
  </si>
  <si>
    <t>Celekoxib</t>
  </si>
  <si>
    <t>199111</t>
  </si>
  <si>
    <t>CELEBREX 200 MG</t>
  </si>
  <si>
    <t>POR CPS DUR 10X200MG III</t>
  </si>
  <si>
    <t>Chinapril a diuretika</t>
  </si>
  <si>
    <t>76710</t>
  </si>
  <si>
    <t>ACCUZIDE 10</t>
  </si>
  <si>
    <t>POR TBL FLM 100</t>
  </si>
  <si>
    <t>Kodein</t>
  </si>
  <si>
    <t>90</t>
  </si>
  <si>
    <t>CODEIN SLOVAKOFARMA 30 MG</t>
  </si>
  <si>
    <t>POR TBL NOB 10X30MG</t>
  </si>
  <si>
    <t>Metronidazol</t>
  </si>
  <si>
    <t>2430</t>
  </si>
  <si>
    <t>VAG TBL 10X500MG</t>
  </si>
  <si>
    <t>Naftifin</t>
  </si>
  <si>
    <t>72927</t>
  </si>
  <si>
    <t>EXODERIL</t>
  </si>
  <si>
    <t>DRM CRM 1X15GM</t>
  </si>
  <si>
    <t>72928</t>
  </si>
  <si>
    <t>DRM SOL 1X10ML/100MG</t>
  </si>
  <si>
    <t>Nimesulid</t>
  </si>
  <si>
    <t>12895</t>
  </si>
  <si>
    <t>AULIN</t>
  </si>
  <si>
    <t>POR GRA SUS 30SÁČ I</t>
  </si>
  <si>
    <t>Pitofenon a analgetika</t>
  </si>
  <si>
    <t>Prednisolon a antiseptika</t>
  </si>
  <si>
    <t>16467</t>
  </si>
  <si>
    <t>IMACORT</t>
  </si>
  <si>
    <t>DRM CRM 1X20GM</t>
  </si>
  <si>
    <t>Pseudoefedrin, kombinace</t>
  </si>
  <si>
    <t>83059</t>
  </si>
  <si>
    <t>CLARINASE REPETABS</t>
  </si>
  <si>
    <t>POR TBL RET 14</t>
  </si>
  <si>
    <t>Hydrokortison a antibiotika</t>
  </si>
  <si>
    <t>61980</t>
  </si>
  <si>
    <t>PIMAFUCORT</t>
  </si>
  <si>
    <t>DRM UNG 1X15GM</t>
  </si>
  <si>
    <t>Citalopram</t>
  </si>
  <si>
    <t>94948</t>
  </si>
  <si>
    <t>SEROPRAM 20 MG</t>
  </si>
  <si>
    <t>POR TBL FLM 28X20MG</t>
  </si>
  <si>
    <t>Esomeprazol</t>
  </si>
  <si>
    <t>180079</t>
  </si>
  <si>
    <t>HELIDES 40 MG ENTEROSOLVENTNÍ TVRDÉ TOBOLKY</t>
  </si>
  <si>
    <t>POR CPS ETD 98X40MG</t>
  </si>
  <si>
    <t>Fenofibrát</t>
  </si>
  <si>
    <t>11014</t>
  </si>
  <si>
    <t>LIPANTHYL 267 M</t>
  </si>
  <si>
    <t>POR CPS DUR 90X267MG</t>
  </si>
  <si>
    <t>Omeprazol</t>
  </si>
  <si>
    <t>122114</t>
  </si>
  <si>
    <t>APO-OME 20</t>
  </si>
  <si>
    <t>POR CPS ETD 100X20MG</t>
  </si>
  <si>
    <t>POR CPS ETD 90X20MG SKLO</t>
  </si>
  <si>
    <t>Pantoprazol</t>
  </si>
  <si>
    <t>119688</t>
  </si>
  <si>
    <t>CONTROLOC 40 MG</t>
  </si>
  <si>
    <t>POR TBL ENT 100X40MG I</t>
  </si>
  <si>
    <t>Prednison</t>
  </si>
  <si>
    <t>PREDNISON 20 LÉČIVA</t>
  </si>
  <si>
    <t>POR TBL NOB 20X20MG</t>
  </si>
  <si>
    <t>Prokinetika</t>
  </si>
  <si>
    <t>166760</t>
  </si>
  <si>
    <t>KINITO 50 MG, POTAHOVANÉ TABLETY</t>
  </si>
  <si>
    <t>POR TBL FLM 100X50MG</t>
  </si>
  <si>
    <t>Sumatriptan</t>
  </si>
  <si>
    <t>107758</t>
  </si>
  <si>
    <t>ROSEMIG 20 MG</t>
  </si>
  <si>
    <t>NAS SPR SOL 2X0.1ML</t>
  </si>
  <si>
    <t>115447</t>
  </si>
  <si>
    <t>SUMATRIPTAN ACTAVIS 50 MG</t>
  </si>
  <si>
    <t>POR TBL OBD 3X50MG</t>
  </si>
  <si>
    <t>56844</t>
  </si>
  <si>
    <t>TRAMAL RETARD TABLETY 150 MG</t>
  </si>
  <si>
    <t>POR TBL PRO 30X150MG</t>
  </si>
  <si>
    <t>Tramadol, kombinace</t>
  </si>
  <si>
    <t>17926</t>
  </si>
  <si>
    <t>ZALDIAR</t>
  </si>
  <si>
    <t>Vápník, kombinace s vitaminem D a/nebo jinými léčivy</t>
  </si>
  <si>
    <t>164888</t>
  </si>
  <si>
    <t>CALTRATE 600 MG/400 IU D3 POTAHOVANÁ TABLETA</t>
  </si>
  <si>
    <t>POR TBL FLM 90</t>
  </si>
  <si>
    <t>Vinpocetin</t>
  </si>
  <si>
    <t>10253</t>
  </si>
  <si>
    <t>CAVINTON FORTE</t>
  </si>
  <si>
    <t>POR TBL NOB 90X10MG</t>
  </si>
  <si>
    <t>4063</t>
  </si>
  <si>
    <t>CAVINTON</t>
  </si>
  <si>
    <t>POR TBL NOB 50X5MG</t>
  </si>
  <si>
    <t>16286</t>
  </si>
  <si>
    <t>POR TBL FLM 20X10MG</t>
  </si>
  <si>
    <t>132603</t>
  </si>
  <si>
    <t>Alopurinol</t>
  </si>
  <si>
    <t>132670</t>
  </si>
  <si>
    <t>MILURIT 100</t>
  </si>
  <si>
    <t>POR TBL NOB 50X100MG</t>
  </si>
  <si>
    <t>Amoxicilin a enzymový inhibitor</t>
  </si>
  <si>
    <t>99366</t>
  </si>
  <si>
    <t>AMOKSIKLAV 457 MG/5 ML</t>
  </si>
  <si>
    <t>POR PLV SUS 70ML</t>
  </si>
  <si>
    <t>Erdostein</t>
  </si>
  <si>
    <t>47033</t>
  </si>
  <si>
    <t>ERDOMED</t>
  </si>
  <si>
    <t>POR PLV SUS 1X100ML</t>
  </si>
  <si>
    <t>Hydrokortison-butyrát</t>
  </si>
  <si>
    <t>9305</t>
  </si>
  <si>
    <t>LOCOID 0,1%</t>
  </si>
  <si>
    <t>DRM CRM 1X30GM</t>
  </si>
  <si>
    <t>Jiná antibiotika pro lokální aplikaci</t>
  </si>
  <si>
    <t>DRM UNG 1X10GM</t>
  </si>
  <si>
    <t>55759</t>
  </si>
  <si>
    <t>PAMYCON NA PŘÍPRAVU KAPEK</t>
  </si>
  <si>
    <t>DRM PLV SOL 1X1LAH</t>
  </si>
  <si>
    <t>Levocetirizin</t>
  </si>
  <si>
    <t>62806</t>
  </si>
  <si>
    <t>XYZAL 0,5 MG/ML PERORÁLNÍ ROZTOK</t>
  </si>
  <si>
    <t>POR SOL 1X200ML</t>
  </si>
  <si>
    <t>Urea</t>
  </si>
  <si>
    <t>16462</t>
  </si>
  <si>
    <t>EXCIPIAL U LIPOLOTIO</t>
  </si>
  <si>
    <t>DRM EML 1X200ML</t>
  </si>
  <si>
    <t>Ambroxol</t>
  </si>
  <si>
    <t>180549</t>
  </si>
  <si>
    <t>MUCOSOLVAN LONG EFFECT</t>
  </si>
  <si>
    <t>POR CPS PRO 10X75MG</t>
  </si>
  <si>
    <t>5951</t>
  </si>
  <si>
    <t>AMOKSIKLAV 1 G</t>
  </si>
  <si>
    <t>POR TBL FLM 14X1GM</t>
  </si>
  <si>
    <t>Desloratadin</t>
  </si>
  <si>
    <t>26329</t>
  </si>
  <si>
    <t>AERIUS 5 MG</t>
  </si>
  <si>
    <t>Dexamethason a antiinfektiva</t>
  </si>
  <si>
    <t>OPH GTT SUS 1X5ML</t>
  </si>
  <si>
    <t>87076</t>
  </si>
  <si>
    <t>POR CPS DUR 20X300MG</t>
  </si>
  <si>
    <t>Klarithromycin</t>
  </si>
  <si>
    <t>53853</t>
  </si>
  <si>
    <t>KLACID 500</t>
  </si>
  <si>
    <t>POR TBL FLM 14X500MG</t>
  </si>
  <si>
    <t>Klíšťová encefalitida, inaktivovaný celý virus</t>
  </si>
  <si>
    <t>55106</t>
  </si>
  <si>
    <t>FSME-IMMUN 0,25 ML BAXTER</t>
  </si>
  <si>
    <t>INJ SUS ISP 1X0.25ML/DÁV+INTJ</t>
  </si>
  <si>
    <t>Pomůcky ortopedickoprotetické</t>
  </si>
  <si>
    <t>93530</t>
  </si>
  <si>
    <t>ORTÉZA ZÁDOVÁ LOMBAX DORSO 0845</t>
  </si>
  <si>
    <t>VYSOKÁ ZÁDOVÁ ORTÉZA (ROZSAH TH-LS),KOVOVÉ DLAHY A DOPÍNACÍ TAHY</t>
  </si>
  <si>
    <t>Alprazolam</t>
  </si>
  <si>
    <t>96977</t>
  </si>
  <si>
    <t>XANAX 1 MG</t>
  </si>
  <si>
    <t>POR TBL NOB 30X1MG</t>
  </si>
  <si>
    <t>Dihydrokodein</t>
  </si>
  <si>
    <t>41821</t>
  </si>
  <si>
    <t>DHC CONTINUS 120 MG</t>
  </si>
  <si>
    <t>POR TBL RET 60X120MG</t>
  </si>
  <si>
    <t>Antibiotika v kombinaci s ostatními léčivy</t>
  </si>
  <si>
    <t>1077</t>
  </si>
  <si>
    <t>OPHTHALMO-FRAMYKOIN COMP.</t>
  </si>
  <si>
    <t>Dexamethason</t>
  </si>
  <si>
    <t>21698</t>
  </si>
  <si>
    <t>DEXAMETHASONE WZF POLFA</t>
  </si>
  <si>
    <t>OPH GTT SUS 1X5ML 0.1%</t>
  </si>
  <si>
    <t>Diosmin, kombinace</t>
  </si>
  <si>
    <t>14075</t>
  </si>
  <si>
    <t>DETRALEX</t>
  </si>
  <si>
    <t>POR TBL FLM 60X500MG</t>
  </si>
  <si>
    <t>Drospirenon a ethinylestradiol</t>
  </si>
  <si>
    <t>129841</t>
  </si>
  <si>
    <t>YAZ 0,02 MG/3 MG POTAHOVANÉ TABLETY</t>
  </si>
  <si>
    <t>174974</t>
  </si>
  <si>
    <t>HELIDES 20 MG ENTEROSOLVENTNÍ TABLETY</t>
  </si>
  <si>
    <t>POR TBL ENT 90X20MG</t>
  </si>
  <si>
    <t>Kyselina listová</t>
  </si>
  <si>
    <t>76064</t>
  </si>
  <si>
    <t>ACIDUM FOLICUM LÉČIVA</t>
  </si>
  <si>
    <t>POR TBL OBD 30X10MG</t>
  </si>
  <si>
    <t>Lansoprazol</t>
  </si>
  <si>
    <t>17121</t>
  </si>
  <si>
    <t>LANZUL 30 MG</t>
  </si>
  <si>
    <t>POR CPS DUR 28X30MG</t>
  </si>
  <si>
    <t>Metoprolol</t>
  </si>
  <si>
    <t>132559</t>
  </si>
  <si>
    <t>VASOCARDIN 50</t>
  </si>
  <si>
    <t>POR TBL NOB 50X50MG</t>
  </si>
  <si>
    <t>12892</t>
  </si>
  <si>
    <t>POR TBL NOB 30X100MG</t>
  </si>
  <si>
    <t>132531</t>
  </si>
  <si>
    <t>HELICID 20</t>
  </si>
  <si>
    <t>Oxazepam</t>
  </si>
  <si>
    <t>OXAZEPAM LÉČIVA</t>
  </si>
  <si>
    <t>POR TBL NOB 20X10MG</t>
  </si>
  <si>
    <t>146897</t>
  </si>
  <si>
    <t>ZOLPIDEM MYLAN</t>
  </si>
  <si>
    <t>POR TBL FLM 30X10MG</t>
  </si>
  <si>
    <t>Acebutolol</t>
  </si>
  <si>
    <t>125523</t>
  </si>
  <si>
    <t>APO-ACEBUTOL</t>
  </si>
  <si>
    <t>Atorvastatin</t>
  </si>
  <si>
    <t>93013</t>
  </si>
  <si>
    <t>SORTIS 10 MG</t>
  </si>
  <si>
    <t>26331</t>
  </si>
  <si>
    <t>POR TBL FLM 100X5MG</t>
  </si>
  <si>
    <t>174984</t>
  </si>
  <si>
    <t>HELIDES 40 MG ENTEROSOLVENTNÍ TABLETY</t>
  </si>
  <si>
    <t>POR TBL ENT 90X40MG</t>
  </si>
  <si>
    <t>Nitrofurantoin</t>
  </si>
  <si>
    <t>154748</t>
  </si>
  <si>
    <t>NITROFURANTOIN - RATIOPHARM 100 MG</t>
  </si>
  <si>
    <t>POR CPS PRO 50X100MG</t>
  </si>
  <si>
    <t>Ramipril</t>
  </si>
  <si>
    <t>51657</t>
  </si>
  <si>
    <t>RAMIPRIL ACTAVIS 5 MG</t>
  </si>
  <si>
    <t>POR TBL NOB 30X5MG</t>
  </si>
  <si>
    <t>Amitriptylin</t>
  </si>
  <si>
    <t>87167</t>
  </si>
  <si>
    <t>AMITRIPTYLIN-SLOVAKOFARMA</t>
  </si>
  <si>
    <t>POR TBL FLM 50X28.3MG</t>
  </si>
  <si>
    <t>Eletriptan</t>
  </si>
  <si>
    <t>59768</t>
  </si>
  <si>
    <t>RELPAX 80 MG</t>
  </si>
  <si>
    <t>POR TBL FLM 2X80MG-ACL</t>
  </si>
  <si>
    <t>Fentanyl</t>
  </si>
  <si>
    <t>24790</t>
  </si>
  <si>
    <t>MATRIFEN 75 MCG/H</t>
  </si>
  <si>
    <t>DRM EMP TDR 5X8,25MG</t>
  </si>
  <si>
    <t>Morfin</t>
  </si>
  <si>
    <t>164740</t>
  </si>
  <si>
    <t>VENDAL RETARD 200 MG</t>
  </si>
  <si>
    <t>POR TBL PRO 30X200MG</t>
  </si>
  <si>
    <t>80406</t>
  </si>
  <si>
    <t>VENDAL RETARD 30 MG</t>
  </si>
  <si>
    <t>POR TBL PRO 30X30MG</t>
  </si>
  <si>
    <t>80407</t>
  </si>
  <si>
    <t>VENDAL RETARD 60 MG</t>
  </si>
  <si>
    <t>POR TBL PRO 30X60MG</t>
  </si>
  <si>
    <t>80408</t>
  </si>
  <si>
    <t>VENDAL RETARD 100 MG</t>
  </si>
  <si>
    <t>POR TBL PRO 30X100MG</t>
  </si>
  <si>
    <t>Tapentadol</t>
  </si>
  <si>
    <t>153758</t>
  </si>
  <si>
    <t>PALEXIA RETARD 200 MG TABLETY S PRODLOUŽENÝM UVOLŇOVÁNÍM</t>
  </si>
  <si>
    <t>POR TBL PRO 60X200MG</t>
  </si>
  <si>
    <t>24737</t>
  </si>
  <si>
    <t>TRAMADOL SANDOZ RETARD 200 MG</t>
  </si>
  <si>
    <t>42780</t>
  </si>
  <si>
    <t>TRALGIT SR 200</t>
  </si>
  <si>
    <t>166984</t>
  </si>
  <si>
    <t>ZALDIAR EFFERVESCENS 37,5 MG/325 MG ŠUMIVÉ TABLETY</t>
  </si>
  <si>
    <t>POR TBL EFF 10</t>
  </si>
  <si>
    <t>146877</t>
  </si>
  <si>
    <t>APO-ZOLPIDEM 10 MG</t>
  </si>
  <si>
    <t>POR TBL FLM 100X10MG</t>
  </si>
  <si>
    <t>Fexofenadin</t>
  </si>
  <si>
    <t>164037</t>
  </si>
  <si>
    <t>FEXIGRA TABLETY 120 MG</t>
  </si>
  <si>
    <t>POR TBL FLM 50X120MG</t>
  </si>
  <si>
    <t>Jodová terapie</t>
  </si>
  <si>
    <t>61158</t>
  </si>
  <si>
    <t>JODID 100</t>
  </si>
  <si>
    <t>POR TBL NOB 100</t>
  </si>
  <si>
    <t>Betamethason</t>
  </si>
  <si>
    <t>17166</t>
  </si>
  <si>
    <t>BELOSALIC</t>
  </si>
  <si>
    <t>DRM UNG 1X30GM</t>
  </si>
  <si>
    <t>Bromazepam</t>
  </si>
  <si>
    <t>132728</t>
  </si>
  <si>
    <t>LEXAURIN 3</t>
  </si>
  <si>
    <t>POR TBL NOB 30X3MG</t>
  </si>
  <si>
    <t>132523</t>
  </si>
  <si>
    <t>CITALEC 20 ZENTIVA</t>
  </si>
  <si>
    <t>59769</t>
  </si>
  <si>
    <t>POR TBL FLM 2X80MG-AL</t>
  </si>
  <si>
    <t>46980</t>
  </si>
  <si>
    <t>BETALOC SR 200 MG</t>
  </si>
  <si>
    <t>POR TBL PRO 100X200MG</t>
  </si>
  <si>
    <t>Perindopril a diuretika</t>
  </si>
  <si>
    <t>162012</t>
  </si>
  <si>
    <t>84798</t>
  </si>
  <si>
    <t>ZOLPIDEM-RATIOPHARM 10 MG</t>
  </si>
  <si>
    <t>Ibuprofen</t>
  </si>
  <si>
    <t>11063</t>
  </si>
  <si>
    <t>IBALGIN 600</t>
  </si>
  <si>
    <t>POR TBL FLM 30X600MG</t>
  </si>
  <si>
    <t>Indapamid</t>
  </si>
  <si>
    <t>POR CPS DUR 30X2.5MG</t>
  </si>
  <si>
    <t>Meloxikam</t>
  </si>
  <si>
    <t>112562</t>
  </si>
  <si>
    <t>RECOXA 15</t>
  </si>
  <si>
    <t>POR TBL NOB 60X15MG</t>
  </si>
  <si>
    <t>167852</t>
  </si>
  <si>
    <t>TWYNSTA 80 MG/5 MG</t>
  </si>
  <si>
    <t>POR TBL NOB 28</t>
  </si>
  <si>
    <t>167847</t>
  </si>
  <si>
    <t>TWYNSTA 40 MG/10 MG</t>
  </si>
  <si>
    <t>POR TBL NOB 56</t>
  </si>
  <si>
    <t>Tiotropium-bromid</t>
  </si>
  <si>
    <t>109811</t>
  </si>
  <si>
    <t>SPIRIVA RESPIMAT 2,5 MIKROGRAMU</t>
  </si>
  <si>
    <t>INH SOL 2X60DÁV</t>
  </si>
  <si>
    <t>119773</t>
  </si>
  <si>
    <t>POR TBL NOB 100X100MG</t>
  </si>
  <si>
    <t>Dimetinden</t>
  </si>
  <si>
    <t>169883</t>
  </si>
  <si>
    <t>FENISTIL</t>
  </si>
  <si>
    <t>DRM GEL 1X100GM/100MG</t>
  </si>
  <si>
    <t>Enoxaparin</t>
  </si>
  <si>
    <t>115401</t>
  </si>
  <si>
    <t>CLEXANE</t>
  </si>
  <si>
    <t>INJ SOL ISP 10X0.4ML/4KU</t>
  </si>
  <si>
    <t>125287</t>
  </si>
  <si>
    <t>INJ SOL ISP 50X0.4ML/4KU</t>
  </si>
  <si>
    <t>Furosemid</t>
  </si>
  <si>
    <t>56804</t>
  </si>
  <si>
    <t>FURORESE 40</t>
  </si>
  <si>
    <t>POR TBL NOB 50X40MG</t>
  </si>
  <si>
    <t>32081</t>
  </si>
  <si>
    <t>IBALGIN 400</t>
  </si>
  <si>
    <t>Karvedilol</t>
  </si>
  <si>
    <t>102597</t>
  </si>
  <si>
    <t>POR TBL NOB 50X6,25MG</t>
  </si>
  <si>
    <t>Laktulóza</t>
  </si>
  <si>
    <t>42547</t>
  </si>
  <si>
    <t>POR SIR 1X500ML</t>
  </si>
  <si>
    <t>Memantin</t>
  </si>
  <si>
    <t>26506</t>
  </si>
  <si>
    <t>EBIXA 10 MG</t>
  </si>
  <si>
    <t>26504</t>
  </si>
  <si>
    <t>26505</t>
  </si>
  <si>
    <t>POR TBL FLM 50X10MG</t>
  </si>
  <si>
    <t>29458</t>
  </si>
  <si>
    <t>POR TBL FLM 42X10MG</t>
  </si>
  <si>
    <t>Mesalazin</t>
  </si>
  <si>
    <t>132519</t>
  </si>
  <si>
    <t>PENTASA SLOW RELEASE TABLETS 500 MG</t>
  </si>
  <si>
    <t>POR TBL RET 100X500MG</t>
  </si>
  <si>
    <t>Naltrexon</t>
  </si>
  <si>
    <t>150953</t>
  </si>
  <si>
    <t>NALTREXONE AOP 50 MG</t>
  </si>
  <si>
    <t>POR TBL FLM 56X50MG</t>
  </si>
  <si>
    <t>Piracetam</t>
  </si>
  <si>
    <t>64864</t>
  </si>
  <si>
    <t>PIRACETAM AL 1200</t>
  </si>
  <si>
    <t>POR TBL FLM 30X1200MG</t>
  </si>
  <si>
    <t>Spironolakton</t>
  </si>
  <si>
    <t>46755</t>
  </si>
  <si>
    <t>VEROSPIRON 50 MG</t>
  </si>
  <si>
    <t>POR CPS DUR 30X50MG</t>
  </si>
  <si>
    <t>Tolperison</t>
  </si>
  <si>
    <t>MYDOCALM 150 MG</t>
  </si>
  <si>
    <t>POR TBL FLM 30X150MG</t>
  </si>
  <si>
    <t>163146</t>
  </si>
  <si>
    <t>HYPNOGEN</t>
  </si>
  <si>
    <t>163145</t>
  </si>
  <si>
    <t>Cetirizin</t>
  </si>
  <si>
    <t>66263</t>
  </si>
  <si>
    <t>ZYRTEC</t>
  </si>
  <si>
    <t>POR TBL FLM 90X10MG</t>
  </si>
  <si>
    <t>85142</t>
  </si>
  <si>
    <t>XYZAL</t>
  </si>
  <si>
    <t>POR TBL FLM 90X5MG</t>
  </si>
  <si>
    <t>Jiná antiemetika</t>
  </si>
  <si>
    <t>17996</t>
  </si>
  <si>
    <t>KINEDRYL</t>
  </si>
  <si>
    <t>POR TBL NOB 10</t>
  </si>
  <si>
    <t>Kombinace různých antibiotik</t>
  </si>
  <si>
    <t>OPH UNG 1X5GM</t>
  </si>
  <si>
    <t>Norgestimát a ethinylestradiol</t>
  </si>
  <si>
    <t>182635</t>
  </si>
  <si>
    <t>NORGESTIMATE/ETHINYLESTRADIOL FAMYCARE 0,25 MG/0,035 MG TABLETY</t>
  </si>
  <si>
    <t>POR TBL NOB 21</t>
  </si>
  <si>
    <t>Levothyroxin, sodná sůl</t>
  </si>
  <si>
    <t>30018</t>
  </si>
  <si>
    <t>POR TBL NOB 100X75MCG I</t>
  </si>
  <si>
    <t>10382</t>
  </si>
  <si>
    <t>AZITROX 500</t>
  </si>
  <si>
    <t>POR TBL FLM 3X500MG</t>
  </si>
  <si>
    <t>45010</t>
  </si>
  <si>
    <t>28839</t>
  </si>
  <si>
    <t>AERIUS 0,5 MG/ML</t>
  </si>
  <si>
    <t>POR SOL 1X120ML LŽIČKA</t>
  </si>
  <si>
    <t>Escitalopram</t>
  </si>
  <si>
    <t>20132</t>
  </si>
  <si>
    <t>CIPRALEX 10 MG</t>
  </si>
  <si>
    <t>POR TBL FLM 28X10MG I</t>
  </si>
  <si>
    <t>Gestoden a ethinylestradiol</t>
  </si>
  <si>
    <t>46707</t>
  </si>
  <si>
    <t>LOGEST</t>
  </si>
  <si>
    <t>POR TBL OBD 3X21</t>
  </si>
  <si>
    <t>Dienogest a ethinylestradiol</t>
  </si>
  <si>
    <t>58138</t>
  </si>
  <si>
    <t>JEANINE</t>
  </si>
  <si>
    <t>200928</t>
  </si>
  <si>
    <t>Diklofenak</t>
  </si>
  <si>
    <t>75632</t>
  </si>
  <si>
    <t>DICLOFENAC AL RETARD</t>
  </si>
  <si>
    <t>POR TBL RET 50X100MG</t>
  </si>
  <si>
    <t>Aceklofenak</t>
  </si>
  <si>
    <t>160838</t>
  </si>
  <si>
    <t>BIOFENAC 100 MG POTAHOVANÉ TABLETY</t>
  </si>
  <si>
    <t>POR TBL FLM 20X100MG</t>
  </si>
  <si>
    <t>160839</t>
  </si>
  <si>
    <t>POR TBL FLM 60X100MG</t>
  </si>
  <si>
    <t>191730</t>
  </si>
  <si>
    <t>Baklofen</t>
  </si>
  <si>
    <t>40274</t>
  </si>
  <si>
    <t>BACLOFEN-POLPHARMA 10 MG</t>
  </si>
  <si>
    <t>POR TBL NOB 50X10MG</t>
  </si>
  <si>
    <t>Bisakodyl</t>
  </si>
  <si>
    <t>96620</t>
  </si>
  <si>
    <t>BISACODYL-K</t>
  </si>
  <si>
    <t>POR TBL OBD 105X5MG</t>
  </si>
  <si>
    <t>Buprenorfin</t>
  </si>
  <si>
    <t>42755</t>
  </si>
  <si>
    <t>TRANSTEC 35 MCG/H</t>
  </si>
  <si>
    <t>DRM EMP TDR 5X20MG</t>
  </si>
  <si>
    <t>17431</t>
  </si>
  <si>
    <t>POR TBL FLM 30X20 MG</t>
  </si>
  <si>
    <t>41823</t>
  </si>
  <si>
    <t>DHC CONTINUS 60 MG</t>
  </si>
  <si>
    <t>POR TBL RET 60X60MG</t>
  </si>
  <si>
    <t>Dosulepin</t>
  </si>
  <si>
    <t>4207</t>
  </si>
  <si>
    <t>PROTHIADEN 25</t>
  </si>
  <si>
    <t>POR TBL OBD 30X25MG</t>
  </si>
  <si>
    <t>77047</t>
  </si>
  <si>
    <t>PROTHIADEN 75</t>
  </si>
  <si>
    <t>POR TBL FLM 30X75MG</t>
  </si>
  <si>
    <t>Drotaverin</t>
  </si>
  <si>
    <t>NO-SPA</t>
  </si>
  <si>
    <t>POR TBL NOB 24X40MG</t>
  </si>
  <si>
    <t>Famotidin</t>
  </si>
  <si>
    <t>95249</t>
  </si>
  <si>
    <t>QUAMATEL 20 MG</t>
  </si>
  <si>
    <t>POR TBL FLM 56X20MG</t>
  </si>
  <si>
    <t>11955</t>
  </si>
  <si>
    <t>DUROGESIC 12 MCG/H</t>
  </si>
  <si>
    <t>DRM EMP TDR 5X2.1MG</t>
  </si>
  <si>
    <t>149298</t>
  </si>
  <si>
    <t>INSTANYL 100 MIKROGRAMŮ/DÁVKU</t>
  </si>
  <si>
    <t>NAS SPR SOL 1X5.0ML/40DÁVEK</t>
  </si>
  <si>
    <t>24785</t>
  </si>
  <si>
    <t>MATRIFEN 50 MCG/H</t>
  </si>
  <si>
    <t>DRM EMP TDR 5X5,5MG</t>
  </si>
  <si>
    <t>24795</t>
  </si>
  <si>
    <t>MATRIFEN 100 MCG/H</t>
  </si>
  <si>
    <t>DRM EMP TDR 5X11MG</t>
  </si>
  <si>
    <t>46929</t>
  </si>
  <si>
    <t>DUROGESIC 100 MCG/H</t>
  </si>
  <si>
    <t>DRM EMP TDR 5X16.8MG</t>
  </si>
  <si>
    <t>47285</t>
  </si>
  <si>
    <t>DUROGESIC 75 MCG/H</t>
  </si>
  <si>
    <t>DRM EMP TDR 5X12.6MG</t>
  </si>
  <si>
    <t>59449</t>
  </si>
  <si>
    <t>DUROGESIC 50 MCG/H</t>
  </si>
  <si>
    <t>DRM EMP TDR 5X8.4MG</t>
  </si>
  <si>
    <t>24780</t>
  </si>
  <si>
    <t>MATRIFEN 25 MCG/H</t>
  </si>
  <si>
    <t>DRM EMP TDR 5X2,75MG</t>
  </si>
  <si>
    <t>122600</t>
  </si>
  <si>
    <t>FENTALIS 50 MCG/H TRANSDERMÁLNÍ NÁPLAST</t>
  </si>
  <si>
    <t>DRM EMP TDR 5X11.56MG</t>
  </si>
  <si>
    <t>24775</t>
  </si>
  <si>
    <t>MATRIFEN 12 MCG/H</t>
  </si>
  <si>
    <t>DRM EMP TDR 5X1,38MG</t>
  </si>
  <si>
    <t>122588</t>
  </si>
  <si>
    <t>FENTALIS 12,5 MCG/H TRANSDERMÁLNÍ NÁPLAST</t>
  </si>
  <si>
    <t>DRM EMP TDR 5X2.89MG</t>
  </si>
  <si>
    <t>Gabapentin</t>
  </si>
  <si>
    <t>40777</t>
  </si>
  <si>
    <t>NEURONTIN 600 MG</t>
  </si>
  <si>
    <t>POR TBL FLM 50X600MG</t>
  </si>
  <si>
    <t>84399</t>
  </si>
  <si>
    <t>NEURONTIN 300 MG</t>
  </si>
  <si>
    <t>POR CPS DUR 50X300MG</t>
  </si>
  <si>
    <t>84400</t>
  </si>
  <si>
    <t>POR CPS DUR 100X300MG</t>
  </si>
  <si>
    <t>84401</t>
  </si>
  <si>
    <t>NEURONTIN 400 MG</t>
  </si>
  <si>
    <t>POR CPS DUR 50X400MG</t>
  </si>
  <si>
    <t>Hydromorfon</t>
  </si>
  <si>
    <t>10843</t>
  </si>
  <si>
    <t>PALLADONE-SR 8 MG</t>
  </si>
  <si>
    <t>POR CPS PRO 30X8MG</t>
  </si>
  <si>
    <t>Karbamazepin</t>
  </si>
  <si>
    <t>96305</t>
  </si>
  <si>
    <t>NEUROTOP RETARD 300</t>
  </si>
  <si>
    <t>POR TBL PRO 50X300MG</t>
  </si>
  <si>
    <t>Klonazepam</t>
  </si>
  <si>
    <t>14958</t>
  </si>
  <si>
    <t>RIVOTRIL 2 MG</t>
  </si>
  <si>
    <t>POR TBL NOB 30X2MG</t>
  </si>
  <si>
    <t>17122</t>
  </si>
  <si>
    <t>POR CPS DUR 56X30MG</t>
  </si>
  <si>
    <t>Loratadin</t>
  </si>
  <si>
    <t>83397</t>
  </si>
  <si>
    <t>FLONIDAN 10 MG DISTAB</t>
  </si>
  <si>
    <t>POR TBL DIS 30X10MG</t>
  </si>
  <si>
    <t>Mefenoxalon</t>
  </si>
  <si>
    <t>3645</t>
  </si>
  <si>
    <t>DIMEXOL</t>
  </si>
  <si>
    <t>POR TBL NOB 30X200MG</t>
  </si>
  <si>
    <t>85656</t>
  </si>
  <si>
    <t>DORSIFLEX 200 MG</t>
  </si>
  <si>
    <t>112561</t>
  </si>
  <si>
    <t>POR TBL NOB 30X15MG</t>
  </si>
  <si>
    <t>Methylprednisolon</t>
  </si>
  <si>
    <t>158814</t>
  </si>
  <si>
    <t>METYPRED 16 MG</t>
  </si>
  <si>
    <t>POR TBL NOB 30X16MG</t>
  </si>
  <si>
    <t>Metoklopramid</t>
  </si>
  <si>
    <t>187983</t>
  </si>
  <si>
    <t>41727</t>
  </si>
  <si>
    <t>SEVREDOL 10 MG</t>
  </si>
  <si>
    <t>41737</t>
  </si>
  <si>
    <t>SEVREDOL 20 MG</t>
  </si>
  <si>
    <t>Naratriptan</t>
  </si>
  <si>
    <t>53136</t>
  </si>
  <si>
    <t>NARAMIG 2,5 MG</t>
  </si>
  <si>
    <t>POR TBL FLM 4X2.5MG</t>
  </si>
  <si>
    <t>53137</t>
  </si>
  <si>
    <t>POR TBL FLM 6X2.5MG</t>
  </si>
  <si>
    <t>Oxykodon</t>
  </si>
  <si>
    <t>11035</t>
  </si>
  <si>
    <t>OXYCONTIN 80 MG</t>
  </si>
  <si>
    <t>POR TBL PRO 30X80MG</t>
  </si>
  <si>
    <t>11045</t>
  </si>
  <si>
    <t>POR TBL PRO 60X80MG</t>
  </si>
  <si>
    <t>11062</t>
  </si>
  <si>
    <t>OXYCONTIN 20 MG</t>
  </si>
  <si>
    <t>POR TBL PRO 30X20MG</t>
  </si>
  <si>
    <t>11106</t>
  </si>
  <si>
    <t>OXYCONTIN 40 MG</t>
  </si>
  <si>
    <t>POR TBL PRO 30X40MG</t>
  </si>
  <si>
    <t>112314</t>
  </si>
  <si>
    <t>OXYCODON SANDOZ RETARD 80 MG</t>
  </si>
  <si>
    <t>Oxykodon, kombinace</t>
  </si>
  <si>
    <t>138530</t>
  </si>
  <si>
    <t>TARGIN 10/5 MG TABLETY S PRODLOUŽENÝM UVOLŇOVÁNÍM</t>
  </si>
  <si>
    <t>POR TBL PRO 60X10/5MG</t>
  </si>
  <si>
    <t>138541</t>
  </si>
  <si>
    <t>TARGIN 20/10 MG TABLETY S PRODLOUŽENÝM UVOLŇOVÁNÍM</t>
  </si>
  <si>
    <t>POR TBL PRO 60X20/10MG</t>
  </si>
  <si>
    <t>138552</t>
  </si>
  <si>
    <t>TARGIN 40/20 MG TABLETY S PRODLOUŽENÝM UVOLŇOVÁNÍM</t>
  </si>
  <si>
    <t>POR TBL PRO 60X40/20MG</t>
  </si>
  <si>
    <t>138538</t>
  </si>
  <si>
    <t>POR TBL PRO 30X20/10MG</t>
  </si>
  <si>
    <t>138549</t>
  </si>
  <si>
    <t>POR TBL PRO 30X40/20MG</t>
  </si>
  <si>
    <t>Paracetamol, kombinace kromě psycholeptik</t>
  </si>
  <si>
    <t>48888</t>
  </si>
  <si>
    <t>ATARALGIN</t>
  </si>
  <si>
    <t>POR TBL NOB 20</t>
  </si>
  <si>
    <t>269</t>
  </si>
  <si>
    <t>PREDNISON 5 LÉČIVA</t>
  </si>
  <si>
    <t>POR TBL NOB 20X5MG</t>
  </si>
  <si>
    <t>Pregabalin</t>
  </si>
  <si>
    <t>28217</t>
  </si>
  <si>
    <t>LYRICA 75 MG</t>
  </si>
  <si>
    <t>POR CPS DUR 56X75MG</t>
  </si>
  <si>
    <t>28223</t>
  </si>
  <si>
    <t>LYRICA 150 MG</t>
  </si>
  <si>
    <t>POR CPS DUR 56X150MG</t>
  </si>
  <si>
    <t>22094</t>
  </si>
  <si>
    <t>ROSEMIG SPRINTAB 50 MG</t>
  </si>
  <si>
    <t>POR TBL SUS 6X50MG</t>
  </si>
  <si>
    <t>153626</t>
  </si>
  <si>
    <t>PALEXIA 50 MG POTAHOVANÉ TABLETY</t>
  </si>
  <si>
    <t>POR TBL FLM 60X50MG</t>
  </si>
  <si>
    <t>153731</t>
  </si>
  <si>
    <t>PALEXIA RETARD 150 MG TABLETY S PRODLOUŽENÝM UVOLŇOVÁNÍM</t>
  </si>
  <si>
    <t>POR TBL PRO 28X150MG</t>
  </si>
  <si>
    <t>153666</t>
  </si>
  <si>
    <t>PALEXIA 100 MG POTAHOVANÉ TABLETY</t>
  </si>
  <si>
    <t>POR TBL FLM 30X100MG</t>
  </si>
  <si>
    <t>Theofylin</t>
  </si>
  <si>
    <t>POR CPS PRO 50X200MG</t>
  </si>
  <si>
    <t>101783</t>
  </si>
  <si>
    <t>NOAX UNO 100 MG</t>
  </si>
  <si>
    <t>32083</t>
  </si>
  <si>
    <t>TRALGIT GTT.</t>
  </si>
  <si>
    <t>POR GTT SOL 1X10ML</t>
  </si>
  <si>
    <t>42776</t>
  </si>
  <si>
    <t>TRALGIT SR 150</t>
  </si>
  <si>
    <t>59672</t>
  </si>
  <si>
    <t>84262</t>
  </si>
  <si>
    <t>POR GTT SOL 1X96ML</t>
  </si>
  <si>
    <t>192721</t>
  </si>
  <si>
    <t>TRAMYLPA 37,5 MG/325 MG</t>
  </si>
  <si>
    <t>Trazodon</t>
  </si>
  <si>
    <t>54094</t>
  </si>
  <si>
    <t>TRITTICO AC 75</t>
  </si>
  <si>
    <t>POR TBL RET 30X75MG</t>
  </si>
  <si>
    <t>10252</t>
  </si>
  <si>
    <t>POR TBL NOB 30X10MG</t>
  </si>
  <si>
    <t>163149</t>
  </si>
  <si>
    <t>Fenoterol a ipratropium-bromid</t>
  </si>
  <si>
    <t>2679</t>
  </si>
  <si>
    <t>BERODUAL N</t>
  </si>
  <si>
    <t>INH SOL PSS 200DÁV</t>
  </si>
  <si>
    <t>87168</t>
  </si>
  <si>
    <t>POR TBL FLM 100X28.3MG</t>
  </si>
  <si>
    <t>42758</t>
  </si>
  <si>
    <t>TRANSTEC 52,5 MCG/H</t>
  </si>
  <si>
    <t>DRM EMP TDR 5X30MG</t>
  </si>
  <si>
    <t>42761</t>
  </si>
  <si>
    <t>TRANSTEC 70 MCG/H</t>
  </si>
  <si>
    <t>DRM EMP TDR 5X40MG</t>
  </si>
  <si>
    <t>192999</t>
  </si>
  <si>
    <t>BUPRENORPHINE ACTAVIS 35 MIKROGRAMŮ/H TRANSDERMÁLNÍ NÁPLAST</t>
  </si>
  <si>
    <t>DRM EMP TDR 5X35RG/H</t>
  </si>
  <si>
    <t>17425</t>
  </si>
  <si>
    <t>CITALEC 10 ZENTIVA</t>
  </si>
  <si>
    <t>POR TBL FLM 30X10 MG</t>
  </si>
  <si>
    <t>94945</t>
  </si>
  <si>
    <t>SEROPRAM 10 MG</t>
  </si>
  <si>
    <t>POR TBL FLM 28X10MG</t>
  </si>
  <si>
    <t>199252</t>
  </si>
  <si>
    <t>41800</t>
  </si>
  <si>
    <t>DHC CONTINUS 90 MG</t>
  </si>
  <si>
    <t>POR TBL RET 30X90MG</t>
  </si>
  <si>
    <t>41825</t>
  </si>
  <si>
    <t>POR TBL RET 60X90MG</t>
  </si>
  <si>
    <t>41801</t>
  </si>
  <si>
    <t>POR TBL RET 30X90MG B</t>
  </si>
  <si>
    <t>Domperidon</t>
  </si>
  <si>
    <t>Duloxetin</t>
  </si>
  <si>
    <t>28388</t>
  </si>
  <si>
    <t>CYMBALTA 30 MG</t>
  </si>
  <si>
    <t>POR CPS ETD 28X30MG</t>
  </si>
  <si>
    <t>28389</t>
  </si>
  <si>
    <t>CYMBALTA 60 MG</t>
  </si>
  <si>
    <t>POR CPS ETD 28X60MG</t>
  </si>
  <si>
    <t>25432</t>
  </si>
  <si>
    <t>POR CPS ETD 56X60MG</t>
  </si>
  <si>
    <t>135928</t>
  </si>
  <si>
    <t>ESOPREX 10 MG</t>
  </si>
  <si>
    <t>124569</t>
  </si>
  <si>
    <t>DOLFORIN 50 MCG/H</t>
  </si>
  <si>
    <t>DRM EMP TDR 5X9.6MG</t>
  </si>
  <si>
    <t>124572</t>
  </si>
  <si>
    <t>DOLFORIN 75 MCG/H</t>
  </si>
  <si>
    <t>DRM EMP TDR 5X14.4MG</t>
  </si>
  <si>
    <t>124575</t>
  </si>
  <si>
    <t>DOLFORIN 100 MCG/H</t>
  </si>
  <si>
    <t>DRM EMP TDR 5X19.2MG</t>
  </si>
  <si>
    <t>155382</t>
  </si>
  <si>
    <t>LUNALDIN 100 MIKROGRAMŮ SUBLINGVÁLNÍ TABLETY</t>
  </si>
  <si>
    <t>ORM TBL SLG 10X100RG</t>
  </si>
  <si>
    <t>155385</t>
  </si>
  <si>
    <t>LUNALDIN 200 MIKROGRAMŮ SUBLINGVÁLNÍ TABLETY</t>
  </si>
  <si>
    <t>ORM TBL SLG 30X200RG</t>
  </si>
  <si>
    <t>155387</t>
  </si>
  <si>
    <t>LUNALDIN 300 MIKROGRAMŮ SUBLINGVÁLNÍ TABLETY</t>
  </si>
  <si>
    <t>ORM TBL SLG 30X300RG</t>
  </si>
  <si>
    <t>59448</t>
  </si>
  <si>
    <t>DUROGESIC 25 MCG/H</t>
  </si>
  <si>
    <t>DRM EMP TDR 5X4.2MG</t>
  </si>
  <si>
    <t>124566</t>
  </si>
  <si>
    <t>DOLFORIN 25 MCG/H</t>
  </si>
  <si>
    <t>DRM EMP TDR 5X4.8MG</t>
  </si>
  <si>
    <t>122580</t>
  </si>
  <si>
    <t>FENTALIS 75 MCG/H TRANSDERMÁLNÍ NÁPLAST</t>
  </si>
  <si>
    <t>DRM EMP TDR 5X17.34MG</t>
  </si>
  <si>
    <t>124570</t>
  </si>
  <si>
    <t>DRM EMP TDR 10X9.6MG</t>
  </si>
  <si>
    <t>84398</t>
  </si>
  <si>
    <t>NEURONTIN 100 MG</t>
  </si>
  <si>
    <t>POR CPS DUR 100X100MG</t>
  </si>
  <si>
    <t>Hydrogenované námelové alkaloidy</t>
  </si>
  <si>
    <t>91032</t>
  </si>
  <si>
    <t>SECATOXIN FORTE</t>
  </si>
  <si>
    <t>62047</t>
  </si>
  <si>
    <t>LOCOID LIPOCREAM 0,1%</t>
  </si>
  <si>
    <t>10825</t>
  </si>
  <si>
    <t>PALLADONE-SR 2 MG</t>
  </si>
  <si>
    <t>POR CPS PRO 30X2MG</t>
  </si>
  <si>
    <t>21579</t>
  </si>
  <si>
    <t>PALLADONE-SR 16 MG</t>
  </si>
  <si>
    <t>POR CPS PRO 30X16MG</t>
  </si>
  <si>
    <t>21597</t>
  </si>
  <si>
    <t>PALLADONE-SR 4 MG</t>
  </si>
  <si>
    <t>POR CPS PRO 30X4MG</t>
  </si>
  <si>
    <t>21566</t>
  </si>
  <si>
    <t>PALLADONE-SR 24 MG</t>
  </si>
  <si>
    <t>POR CPS PRO 30X24MG</t>
  </si>
  <si>
    <t>24684</t>
  </si>
  <si>
    <t>JURNISTA 32 MG</t>
  </si>
  <si>
    <t>POR TBL PRO 30X32MG</t>
  </si>
  <si>
    <t>Indometacin</t>
  </si>
  <si>
    <t>RCT SUP 10X100MG</t>
  </si>
  <si>
    <t>163877</t>
  </si>
  <si>
    <t>NEUROTOP 200 MG</t>
  </si>
  <si>
    <t>POR TBL NOB 50X200MG</t>
  </si>
  <si>
    <t>14957</t>
  </si>
  <si>
    <t>RIVOTRIL 0,5 MG</t>
  </si>
  <si>
    <t>POR TBL NOB 50X0.5MG</t>
  </si>
  <si>
    <t>164734</t>
  </si>
  <si>
    <t>164738</t>
  </si>
  <si>
    <t>80409</t>
  </si>
  <si>
    <t>Naftidrofuryl</t>
  </si>
  <si>
    <t>100338</t>
  </si>
  <si>
    <t>ENELBIN 100 RETARD</t>
  </si>
  <si>
    <t>POR TBL PRO 100X100MG</t>
  </si>
  <si>
    <t>17187</t>
  </si>
  <si>
    <t>NIMESIL</t>
  </si>
  <si>
    <t>POR GRA SUS 30X100MG</t>
  </si>
  <si>
    <t>11076</t>
  </si>
  <si>
    <t>POR TBL PRO 60X20MG</t>
  </si>
  <si>
    <t>11084</t>
  </si>
  <si>
    <t>OXYCONTIN 10 MG</t>
  </si>
  <si>
    <t>POR TBL PRO 30X10MG</t>
  </si>
  <si>
    <t>156305</t>
  </si>
  <si>
    <t>DOLOCODON 20 MG</t>
  </si>
  <si>
    <t>156325</t>
  </si>
  <si>
    <t>DOLOCODON 40 MG</t>
  </si>
  <si>
    <t>5935</t>
  </si>
  <si>
    <t>POR TBL PRO 28X10MG</t>
  </si>
  <si>
    <t>145899</t>
  </si>
  <si>
    <t>OXYCODON LANNACHER 20 MG TABLETY S PRODLOUŽENÝM UVOLŇOVÁNÍM</t>
  </si>
  <si>
    <t>145918</t>
  </si>
  <si>
    <t>OXYCODON LANNACHER 40 MG TABLETY S PRODLOUŽENÝM UVOLŇOVÁNÍM</t>
  </si>
  <si>
    <t>156282</t>
  </si>
  <si>
    <t>DOLOCODON 10 MG</t>
  </si>
  <si>
    <t>POR TBL PRO 10X10MG</t>
  </si>
  <si>
    <t>176954</t>
  </si>
  <si>
    <t>POR GTT SOL 1X50ML</t>
  </si>
  <si>
    <t>28222</t>
  </si>
  <si>
    <t>POR CPS DUR 14X150MG</t>
  </si>
  <si>
    <t>28224</t>
  </si>
  <si>
    <t>POR CPS DUR 100X150MG</t>
  </si>
  <si>
    <t>28211</t>
  </si>
  <si>
    <t>LYRICA 50 MG</t>
  </si>
  <si>
    <t>POR CPS DUR 14X50MG</t>
  </si>
  <si>
    <t>153736</t>
  </si>
  <si>
    <t>POR TBL PRO 60X150MG</t>
  </si>
  <si>
    <t>153732</t>
  </si>
  <si>
    <t>12473</t>
  </si>
  <si>
    <t>TRAMABENE KAPKY</t>
  </si>
  <si>
    <t>POR GTT SOL 1X100ML/10GM</t>
  </si>
  <si>
    <t>56845</t>
  </si>
  <si>
    <t>POR TBL PRO 50X150MG</t>
  </si>
  <si>
    <t>57793</t>
  </si>
  <si>
    <t>TRAMAL KAPKY 100 MG/1 ML</t>
  </si>
  <si>
    <t>67570</t>
  </si>
  <si>
    <t>MABRON 50 MG</t>
  </si>
  <si>
    <t>201609</t>
  </si>
  <si>
    <t>Venlafaxin</t>
  </si>
  <si>
    <t>130172</t>
  </si>
  <si>
    <t>APO-VENLAFAXIN PROLONG 75 MG</t>
  </si>
  <si>
    <t>POR CPS PRO 30X75MG</t>
  </si>
  <si>
    <t>146893</t>
  </si>
  <si>
    <t>Amidy</t>
  </si>
  <si>
    <t>URT GEL 1X20GM/200MG</t>
  </si>
  <si>
    <t>132620</t>
  </si>
  <si>
    <t>198016</t>
  </si>
  <si>
    <t>BUPRENORPHINE ACTAVIS 52,5 MIKROGRAMŮ/H TRANSDERMÁLNÍ NÁPLAST</t>
  </si>
  <si>
    <t>DRM EMP TDR 5X52.5RG/H</t>
  </si>
  <si>
    <t>85021</t>
  </si>
  <si>
    <t>CELEBREX 100 MG</t>
  </si>
  <si>
    <t>POR CPS DUR 50X100MG I</t>
  </si>
  <si>
    <t>28835</t>
  </si>
  <si>
    <t>AERIUS 2,5 MG</t>
  </si>
  <si>
    <t>POR TBL DIS 100X2.5MG</t>
  </si>
  <si>
    <t>10111</t>
  </si>
  <si>
    <t>POR TBL RET 56X120MG B</t>
  </si>
  <si>
    <t>41799</t>
  </si>
  <si>
    <t>POR TBL RET 30X60MG B</t>
  </si>
  <si>
    <t>41795</t>
  </si>
  <si>
    <t>POR TBL RET 30X120MG</t>
  </si>
  <si>
    <t>122575</t>
  </si>
  <si>
    <t>FENTALIS 100 MCG/H TRANSDERMÁLNÍ NÁPLAST</t>
  </si>
  <si>
    <t>DRM EMP TDR 5X23.12MG HOSP</t>
  </si>
  <si>
    <t>149303</t>
  </si>
  <si>
    <t>INSTANYL 200 MIKROGRAMŮ/DÁVKU</t>
  </si>
  <si>
    <t>155383</t>
  </si>
  <si>
    <t>ORM TBL SLG 30X100RG</t>
  </si>
  <si>
    <t>24870</t>
  </si>
  <si>
    <t>FENTANYL-RATIOPHARM 100 MCG/H</t>
  </si>
  <si>
    <t>DRM EMP TDR 5X16.5MG</t>
  </si>
  <si>
    <t>185071</t>
  </si>
  <si>
    <t>INSTANYL 200 MIKROGRAMŮ</t>
  </si>
  <si>
    <t>NAS SPR SOL 10X0.1ML/200RG MDC</t>
  </si>
  <si>
    <t>185062</t>
  </si>
  <si>
    <t>INSTANYL 50 MIKROGRAMŮ</t>
  </si>
  <si>
    <t>NAS SPR SOL 8X0.1ML/50RG MDC</t>
  </si>
  <si>
    <t>107855</t>
  </si>
  <si>
    <t>APO-GAB 400</t>
  </si>
  <si>
    <t>POR CPS DUR 100X400MG</t>
  </si>
  <si>
    <t>107859</t>
  </si>
  <si>
    <t>APO-GAB 300</t>
  </si>
  <si>
    <t>162231</t>
  </si>
  <si>
    <t>GRIMODIN 600 MG</t>
  </si>
  <si>
    <t>POR TBL FLM 120X600MG</t>
  </si>
  <si>
    <t>Hořčík (různé sole v kombinaci)</t>
  </si>
  <si>
    <t>POR GRA SOL 30</t>
  </si>
  <si>
    <t>47028</t>
  </si>
  <si>
    <t>10848</t>
  </si>
  <si>
    <t>POR CPS PRO 60X8MG</t>
  </si>
  <si>
    <t>RCT SUP 10X50MG</t>
  </si>
  <si>
    <t>Jiná antihistaminika pro systémovou aplikaci</t>
  </si>
  <si>
    <t>2479</t>
  </si>
  <si>
    <t>POR TBL NOB 20X2MG</t>
  </si>
  <si>
    <t>14961</t>
  </si>
  <si>
    <t>POR TBL NOB 100X2MG</t>
  </si>
  <si>
    <t>Kodein, kombinace kromě psycholeptik</t>
  </si>
  <si>
    <t>109799</t>
  </si>
  <si>
    <t>ULTRACOD</t>
  </si>
  <si>
    <t>POR TBL NOB 30</t>
  </si>
  <si>
    <t>86023</t>
  </si>
  <si>
    <t>TALVOSILEN FORTE</t>
  </si>
  <si>
    <t>POR CPS DUR 20</t>
  </si>
  <si>
    <t>124343</t>
  </si>
  <si>
    <t>CEZERA 5 MG</t>
  </si>
  <si>
    <t>Lidokain</t>
  </si>
  <si>
    <t>158838</t>
  </si>
  <si>
    <t>VERSATIS 5% LÉČIVÁ NÁPLAST</t>
  </si>
  <si>
    <t>DRM EMP MED 20</t>
  </si>
  <si>
    <t>Lornoxikam</t>
  </si>
  <si>
    <t>119899</t>
  </si>
  <si>
    <t>XEFO RAPID 8 MG</t>
  </si>
  <si>
    <t>POR TBL FLM 30X8MG</t>
  </si>
  <si>
    <t>96974</t>
  </si>
  <si>
    <t>Mirtazapin</t>
  </si>
  <si>
    <t>105845</t>
  </si>
  <si>
    <t>MIRTAZAPIN ORION 15 MG</t>
  </si>
  <si>
    <t>POR TBL DIS 90X15MG</t>
  </si>
  <si>
    <t>66015</t>
  </si>
  <si>
    <t>Ondansetron</t>
  </si>
  <si>
    <t>97563</t>
  </si>
  <si>
    <t>ZOFRAN ZYDIS 8 MG</t>
  </si>
  <si>
    <t>ORM TBL BUC 10X8MG</t>
  </si>
  <si>
    <t>99589</t>
  </si>
  <si>
    <t>ZOFRAN 8 MG</t>
  </si>
  <si>
    <t>POR TBL FLM 10X8MG</t>
  </si>
  <si>
    <t>11110</t>
  </si>
  <si>
    <t>POR TBL PRO 60X40MG</t>
  </si>
  <si>
    <t>156285</t>
  </si>
  <si>
    <t>156287</t>
  </si>
  <si>
    <t>POR TBL PRO 60X10MG</t>
  </si>
  <si>
    <t>156307</t>
  </si>
  <si>
    <t>5941</t>
  </si>
  <si>
    <t>POR TBL PRO 28X80MG</t>
  </si>
  <si>
    <t>112294</t>
  </si>
  <si>
    <t>OXYCODON SANDOZ RETARD 20 MG</t>
  </si>
  <si>
    <t>138551</t>
  </si>
  <si>
    <t>POR TBL PRO 56X40/20MG</t>
  </si>
  <si>
    <t>138527</t>
  </si>
  <si>
    <t>POR TBL PRO 30X10/5MG</t>
  </si>
  <si>
    <t>138548</t>
  </si>
  <si>
    <t>POR TBL PRO 28X40/20MG</t>
  </si>
  <si>
    <t>115449</t>
  </si>
  <si>
    <t>POR TBL OBD 6X50MG</t>
  </si>
  <si>
    <t>146273</t>
  </si>
  <si>
    <t>SUMATRIPTAN MYLAN 100 MG</t>
  </si>
  <si>
    <t>POR TBL FLM 6X100MG</t>
  </si>
  <si>
    <t>153670</t>
  </si>
  <si>
    <t>153768</t>
  </si>
  <si>
    <t>POR TBL PRO 60X1X200MG</t>
  </si>
  <si>
    <t>153757</t>
  </si>
  <si>
    <t>POR TBL PRO 56X200MG</t>
  </si>
  <si>
    <t>31962</t>
  </si>
  <si>
    <t>TRAMUNDIN RETARD 100 MG</t>
  </si>
  <si>
    <t>POR TBL PRO 20X100MG</t>
  </si>
  <si>
    <t>54237</t>
  </si>
  <si>
    <t>17927</t>
  </si>
  <si>
    <t>POR TBL FLM 40</t>
  </si>
  <si>
    <t>166986</t>
  </si>
  <si>
    <t>POR TBL EFF 30</t>
  </si>
  <si>
    <t>166990</t>
  </si>
  <si>
    <t>POR TBL RET 60X150MG</t>
  </si>
  <si>
    <t>130175</t>
  </si>
  <si>
    <t>POR CPS PRO 100X75MG</t>
  </si>
  <si>
    <t>130193</t>
  </si>
  <si>
    <t>APO-VENLAFAXIN PROLONG 150 MG</t>
  </si>
  <si>
    <t>POR CPS PRO 100X150MG</t>
  </si>
  <si>
    <t>146894</t>
  </si>
  <si>
    <t>146898</t>
  </si>
  <si>
    <t>198051</t>
  </si>
  <si>
    <t>SANVAL 10 MG</t>
  </si>
  <si>
    <t>85030</t>
  </si>
  <si>
    <t>POR CPS DUR 30X200MG I</t>
  </si>
  <si>
    <t>85033</t>
  </si>
  <si>
    <t>POR CPS DUR 60X200MG I</t>
  </si>
  <si>
    <t>132524</t>
  </si>
  <si>
    <t>POR TBL FLM 60X20MG</t>
  </si>
  <si>
    <t>41796</t>
  </si>
  <si>
    <t>POR TBL RET 30X120MG B</t>
  </si>
  <si>
    <t>149297</t>
  </si>
  <si>
    <t>INSTANYL 50 MIKROGRAMŮ/DÁVKU</t>
  </si>
  <si>
    <t>163754</t>
  </si>
  <si>
    <t>109801</t>
  </si>
  <si>
    <t>109800</t>
  </si>
  <si>
    <t>POR TBL NOB 60</t>
  </si>
  <si>
    <t>Latanoprost</t>
  </si>
  <si>
    <t>58892</t>
  </si>
  <si>
    <t>OPH GTT SOL 3X2.5ML I</t>
  </si>
  <si>
    <t>119901</t>
  </si>
  <si>
    <t>POR TBL FLM 100X8MG</t>
  </si>
  <si>
    <t>41730</t>
  </si>
  <si>
    <t>Nifuratel</t>
  </si>
  <si>
    <t>70498</t>
  </si>
  <si>
    <t>MACMIROR</t>
  </si>
  <si>
    <t>POR TBL OBD 20X200MG</t>
  </si>
  <si>
    <t>12893</t>
  </si>
  <si>
    <t>POR TBL NOB 60X100MG</t>
  </si>
  <si>
    <t>11094</t>
  </si>
  <si>
    <t>156337</t>
  </si>
  <si>
    <t>21415</t>
  </si>
  <si>
    <t>POR TBL PRO 40X100MG</t>
  </si>
  <si>
    <t>54236</t>
  </si>
  <si>
    <t>17929</t>
  </si>
  <si>
    <t>POR TBL FLM 60</t>
  </si>
  <si>
    <t>192727</t>
  </si>
  <si>
    <t>192722</t>
  </si>
  <si>
    <t>Flukonazol</t>
  </si>
  <si>
    <t>47439</t>
  </si>
  <si>
    <t>MYCOMAX 150</t>
  </si>
  <si>
    <t>POR CPS DUR 3X150MG</t>
  </si>
  <si>
    <t>LEXAURIN 1,5</t>
  </si>
  <si>
    <t>POR TBL NOB 30X1.5MG</t>
  </si>
  <si>
    <t>132600</t>
  </si>
  <si>
    <t>132676</t>
  </si>
  <si>
    <t>198022</t>
  </si>
  <si>
    <t>BUPRENORPHINE ACTAVIS 70 MIKROGRAMŮ/H TRANSDERMÁLNÍ NÁPLAST</t>
  </si>
  <si>
    <t>DRM EMP TDR 5X70RG/H</t>
  </si>
  <si>
    <t>41826</t>
  </si>
  <si>
    <t>POR TBL RET 60X90MG B</t>
  </si>
  <si>
    <t>41822</t>
  </si>
  <si>
    <t>POR TBL RET 60X120MG B</t>
  </si>
  <si>
    <t>119672</t>
  </si>
  <si>
    <t>DICLOFENAC DUO PHARMASWISS 75 MG</t>
  </si>
  <si>
    <t>POR CPS RDR 30X75MG</t>
  </si>
  <si>
    <t>137770</t>
  </si>
  <si>
    <t>ESCITIL 10 MG</t>
  </si>
  <si>
    <t>163007</t>
  </si>
  <si>
    <t>ADOLOR 25 MCG/H</t>
  </si>
  <si>
    <t>DRM EMP TDR 5X4.125MG</t>
  </si>
  <si>
    <t>155999</t>
  </si>
  <si>
    <t>ADOLOR 50 MCG/H</t>
  </si>
  <si>
    <t>DRM EMP TDR 5X8.25MG</t>
  </si>
  <si>
    <t>124576</t>
  </si>
  <si>
    <t>DRM EMP TDR 10X19.2MG</t>
  </si>
  <si>
    <t>Frovatriptan</t>
  </si>
  <si>
    <t>49337</t>
  </si>
  <si>
    <t>FROMEN</t>
  </si>
  <si>
    <t>POR TBL FLM 2X2.5 MG</t>
  </si>
  <si>
    <t>48404</t>
  </si>
  <si>
    <t>GABAPENTIN-TEVA 600 MG</t>
  </si>
  <si>
    <t>Kapsaicin</t>
  </si>
  <si>
    <t>149227</t>
  </si>
  <si>
    <t>QUTENZA 179 MG</t>
  </si>
  <si>
    <t>DRM EMP MED 1X179MG</t>
  </si>
  <si>
    <t>191382</t>
  </si>
  <si>
    <t>50080</t>
  </si>
  <si>
    <t>INJ SOL 10X1ML/10MG</t>
  </si>
  <si>
    <t>97026</t>
  </si>
  <si>
    <t>112308</t>
  </si>
  <si>
    <t>OXYCODON SANDOZ RETARD 40 MG</t>
  </si>
  <si>
    <t>156315</t>
  </si>
  <si>
    <t>156327</t>
  </si>
  <si>
    <t>156335</t>
  </si>
  <si>
    <t>112298</t>
  </si>
  <si>
    <t>88708</t>
  </si>
  <si>
    <t>ALGIFEN</t>
  </si>
  <si>
    <t>Salbutamol</t>
  </si>
  <si>
    <t>10142</t>
  </si>
  <si>
    <t>ECOSAL INHALER</t>
  </si>
  <si>
    <t>102500</t>
  </si>
  <si>
    <t>CINIE 100</t>
  </si>
  <si>
    <t>POR TBL NOB 6X100MG</t>
  </si>
  <si>
    <t>107759</t>
  </si>
  <si>
    <t>ROSEMIG 10 MG</t>
  </si>
  <si>
    <t>153636</t>
  </si>
  <si>
    <t>POR TBL FLM 60X1X50MG</t>
  </si>
  <si>
    <t>153692</t>
  </si>
  <si>
    <t>PALEXIA RETARD 50 MG TABLETY S PRODLOUŽENÝM UVOLŇOVÁNÍM</t>
  </si>
  <si>
    <t>POR TBL PRO 60X50MG</t>
  </si>
  <si>
    <t>153714</t>
  </si>
  <si>
    <t>PALEXIA RETARD 100 MG TABLETY S PRODLOUŽENÝM UVOLŇOVÁNÍM</t>
  </si>
  <si>
    <t>POR TBL PRO 60X100MG</t>
  </si>
  <si>
    <t>184538</t>
  </si>
  <si>
    <t>184560</t>
  </si>
  <si>
    <t>184604</t>
  </si>
  <si>
    <t>184621</t>
  </si>
  <si>
    <t>PALEXIA RETARD 250 MG TABLETY S PRODLOUŽENÝM UVOLŇOVÁNÍM</t>
  </si>
  <si>
    <t>POR TBL PRO 60X250MG</t>
  </si>
  <si>
    <t>184734</t>
  </si>
  <si>
    <t>184744</t>
  </si>
  <si>
    <t>153780</t>
  </si>
  <si>
    <t>184631</t>
  </si>
  <si>
    <t>POR TBL PRO 60X1X250MG</t>
  </si>
  <si>
    <t>184783</t>
  </si>
  <si>
    <t>POR TBL FLM 60X1X100MG</t>
  </si>
  <si>
    <t>184582</t>
  </si>
  <si>
    <t>153702</t>
  </si>
  <si>
    <t>POR TBL PRO 60X1X50MG</t>
  </si>
  <si>
    <t>153724</t>
  </si>
  <si>
    <t>POR TBL PRO 60X1X100MG</t>
  </si>
  <si>
    <t>184614</t>
  </si>
  <si>
    <t>184570</t>
  </si>
  <si>
    <t>101782</t>
  </si>
  <si>
    <t>172017</t>
  </si>
  <si>
    <t>TRALGIT OROTAB 50 MG</t>
  </si>
  <si>
    <t>POR TBL DIS 60X50MG</t>
  </si>
  <si>
    <t>17924</t>
  </si>
  <si>
    <t>POR TBL FLM 10</t>
  </si>
  <si>
    <t>201613</t>
  </si>
  <si>
    <t>162842</t>
  </si>
  <si>
    <t>VENLAFAXIN MYLAN 75 MG</t>
  </si>
  <si>
    <t>115551</t>
  </si>
  <si>
    <t>Diazepam</t>
  </si>
  <si>
    <t>2477</t>
  </si>
  <si>
    <t>DIAZEPAM SLOVAKOFARMA 5 MG</t>
  </si>
  <si>
    <t>Dienogest</t>
  </si>
  <si>
    <t>145646</t>
  </si>
  <si>
    <t>VISANNE 2 MG TABLETY</t>
  </si>
  <si>
    <t>POR TBL NOB 28X2MG</t>
  </si>
  <si>
    <t>Ranitidin</t>
  </si>
  <si>
    <t>47471</t>
  </si>
  <si>
    <t>RANISAN 150 MG</t>
  </si>
  <si>
    <t>POR TBL FLM 60X150MG</t>
  </si>
  <si>
    <t>91280</t>
  </si>
  <si>
    <t>RANITAL 150 MG POTAHOVANÉ TABLETY</t>
  </si>
  <si>
    <t>Příjmová ambulance</t>
  </si>
  <si>
    <t>Ambulance bolestivých stavů při KAR</t>
  </si>
  <si>
    <t>Preskripce a záchyt receptů a poukazů - orientační přehled</t>
  </si>
  <si>
    <t>Přehled plnění pozitivního listu (PL) - 
   preskripce léčivých přípravků dle objemu Kč mimo PL</t>
  </si>
  <si>
    <t>N02AE01 - Buprenorfin</t>
  </si>
  <si>
    <t>N03AX12 - Gabapentin</t>
  </si>
  <si>
    <t>R06AE09 - Levocetirizin</t>
  </si>
  <si>
    <t>N02CC01 - Sumatriptan</t>
  </si>
  <si>
    <t>M01AX17 - Nimesulid</t>
  </si>
  <si>
    <t>J01FA10 - Azithromycin</t>
  </si>
  <si>
    <t>N06AB10 - Escitalopram</t>
  </si>
  <si>
    <t>C07AB02 - Metoprolol</t>
  </si>
  <si>
    <t>N06AX16 - Venlafaxin</t>
  </si>
  <si>
    <t>C09AA05 - Ramipril</t>
  </si>
  <si>
    <t>A02BA02 - Ranitidin</t>
  </si>
  <si>
    <t>M04AA01 - Alopurinol</t>
  </si>
  <si>
    <t>C09BA06 - Chinapril a diuretika</t>
  </si>
  <si>
    <t>C10AB05 - Fenofibrát</t>
  </si>
  <si>
    <t>M01AC06 - Meloxikam</t>
  </si>
  <si>
    <t>C10AA05 - Atorvastatin</t>
  </si>
  <si>
    <t>N06AX11 - Mirtazapin</t>
  </si>
  <si>
    <t>A02BC03 - Lansoprazol</t>
  </si>
  <si>
    <t>N06BX18 - Vinpocetin</t>
  </si>
  <si>
    <t>A02BC05 - Esomeprazol</t>
  </si>
  <si>
    <t>R06AX13 - Loratadin</t>
  </si>
  <si>
    <t>A03FA - Prokinetika</t>
  </si>
  <si>
    <t>R03AK06 - Salmeterol a flutikason</t>
  </si>
  <si>
    <t>N03AX16 - Pregabalin</t>
  </si>
  <si>
    <t>R03AK06</t>
  </si>
  <si>
    <t>J01FA10</t>
  </si>
  <si>
    <t>N06AB10</t>
  </si>
  <si>
    <t>C09BA06</t>
  </si>
  <si>
    <t>A02BC03</t>
  </si>
  <si>
    <t>M01AC06</t>
  </si>
  <si>
    <t>M01AX17</t>
  </si>
  <si>
    <t>N02AE01</t>
  </si>
  <si>
    <t>N02CC01</t>
  </si>
  <si>
    <t>N03AX12</t>
  </si>
  <si>
    <t>N03AX16</t>
  </si>
  <si>
    <t>N06BX18</t>
  </si>
  <si>
    <t>R06AX13</t>
  </si>
  <si>
    <t>A02BC05</t>
  </si>
  <si>
    <t>A03FA</t>
  </si>
  <si>
    <t>C10AB05</t>
  </si>
  <si>
    <t>N06AX16</t>
  </si>
  <si>
    <t>M04AA01</t>
  </si>
  <si>
    <t>R06AE09</t>
  </si>
  <si>
    <t>N06AX11</t>
  </si>
  <si>
    <t>C07AB02</t>
  </si>
  <si>
    <t>C09AA05</t>
  </si>
  <si>
    <t>C10AA05</t>
  </si>
  <si>
    <t>A02BA02</t>
  </si>
  <si>
    <t>Přehled plnění PL - Preskripce léčivých přípravků - orientační přehled</t>
  </si>
  <si>
    <t>ZA319</t>
  </si>
  <si>
    <t>Náplast durapore 2,50 cm x 9,14 m bal. á 12 ks 1538-1</t>
  </si>
  <si>
    <t>ZA542</t>
  </si>
  <si>
    <t>Náplast wet pruf voduvzd. 1,25 cm x 9,14 m bal. á 24 ks K00-3063C</t>
  </si>
  <si>
    <t>ZA571</t>
  </si>
  <si>
    <t>Mediset pro anestezii 4706312</t>
  </si>
  <si>
    <t>ZA593</t>
  </si>
  <si>
    <t>Tampon stáčený sterilní 20 x 20 cm / 5 ks 28003</t>
  </si>
  <si>
    <t>ZD111</t>
  </si>
  <si>
    <t>Náplast omnifix E 5 cm x 10 m 9006493</t>
  </si>
  <si>
    <t>ZA471</t>
  </si>
  <si>
    <t>Náplast curaplast poinjekční bal. á 250 ks 30625</t>
  </si>
  <si>
    <t>ZA787</t>
  </si>
  <si>
    <t>Stříkačka injekční 2-dílná 10 ml L Inject Solo 4606108V</t>
  </si>
  <si>
    <t>ZA788</t>
  </si>
  <si>
    <t>Stříkačka injekční 2-dílná 20 ml L Inject Solo 4606205V</t>
  </si>
  <si>
    <t>ZA789</t>
  </si>
  <si>
    <t>Stříkačka injekční 2-dílná 2 ml L Inject Solo 4606027V</t>
  </si>
  <si>
    <t>ZA790</t>
  </si>
  <si>
    <t>Stříkačka injekční 2-dílná 5 ml L Inject Solo4606051V</t>
  </si>
  <si>
    <t>ZC648</t>
  </si>
  <si>
    <t>Elektroda EKG s gelem ovál 51 x 33 mm pro dospělé H-108006</t>
  </si>
  <si>
    <t>ZC769</t>
  </si>
  <si>
    <t>Hadička spojovací HS 1,8 x 450LL 606301</t>
  </si>
  <si>
    <t>ZD808</t>
  </si>
  <si>
    <t>Kanyla vasofix 22G modrá safety 4269098S-01</t>
  </si>
  <si>
    <t>ZF159</t>
  </si>
  <si>
    <t>Nádoba na kontaminovaný odpad 1 l 15-0002</t>
  </si>
  <si>
    <t>ZK799</t>
  </si>
  <si>
    <t>Zátka combi červená 4495101</t>
  </si>
  <si>
    <t>ZA786</t>
  </si>
  <si>
    <t>Jehla 30° stimuplex-A 0,7 x 50 mm á 25 ks 4894502</t>
  </si>
  <si>
    <t>ZA834</t>
  </si>
  <si>
    <t>Jehla injekční 0,7 x   40 mm černá 4660021</t>
  </si>
  <si>
    <t>ZB556</t>
  </si>
  <si>
    <t>Jehla injekční 1,2 x   40 mm růžová 4665120</t>
  </si>
  <si>
    <t>ZH201</t>
  </si>
  <si>
    <t>Jehla injekční 0,8 x 120 mm zelená 4665643</t>
  </si>
  <si>
    <t>ZL949</t>
  </si>
  <si>
    <t>Rukavice nitril promedica bez p. L bílé 6N á 100 ks 9399W4</t>
  </si>
  <si>
    <t>ZL948</t>
  </si>
  <si>
    <t>Rukavice nitril promedica bez p. M bílé 6N á 100 ks 9399W3</t>
  </si>
  <si>
    <t>ZM292</t>
  </si>
  <si>
    <t>Rukavice nitril sempercare bez p. M bal. á 200 ks 30 803</t>
  </si>
  <si>
    <t>ZM293</t>
  </si>
  <si>
    <t>Rukavice nitril sempercare bez p. L bal. á 200 ks 30 804</t>
  </si>
  <si>
    <t>ZA008</t>
  </si>
  <si>
    <t>Obinadlo pruban č.10 4273101</t>
  </si>
  <si>
    <t>ZA333</t>
  </si>
  <si>
    <t>Krytí aquacel Ag hydrofibre 10 x 10 cm á 10 ks 403708</t>
  </si>
  <si>
    <t>ZA338</t>
  </si>
  <si>
    <t>Obinadlo hydrofilní   6 cm x   5 m 13005</t>
  </si>
  <si>
    <t>ZA418</t>
  </si>
  <si>
    <t>Náplast metaline pod TS 8 x 9 cm 23094</t>
  </si>
  <si>
    <t>ZA421</t>
  </si>
  <si>
    <t>Obinadlo elastické idealtex 10 cm x 5 m 931062</t>
  </si>
  <si>
    <t>ZA424</t>
  </si>
  <si>
    <t>Obinadlo elastické idealtex 14 cm x 5 m 9310643</t>
  </si>
  <si>
    <t>ZA425</t>
  </si>
  <si>
    <t>Obinadlo hydrofilní 10 cm x   5 m 13007</t>
  </si>
  <si>
    <t>ZA446</t>
  </si>
  <si>
    <t>Vata buničitá přířezy 20 x 30 cm 1230200129</t>
  </si>
  <si>
    <t>ZA476</t>
  </si>
  <si>
    <t>Krytí mepilex border lite 10 x 10 cm bal. á 5 ks 281300-00</t>
  </si>
  <si>
    <t>ZA478</t>
  </si>
  <si>
    <t>Krytí actisorb plus 10,5 x 10,5 cm bal. á 10 ks SYSMAP105_1/5</t>
  </si>
  <si>
    <t>ZA498</t>
  </si>
  <si>
    <t>Krytí bactigras 10 x 10 cm bal. á 10 ks 7457</t>
  </si>
  <si>
    <t>ZA527</t>
  </si>
  <si>
    <t>Mediset pro malé chir.výkony  4709673</t>
  </si>
  <si>
    <t>ZA537</t>
  </si>
  <si>
    <t>Krytí mepilex heel 13 x 20 cm bal. á 5 ks 288100-01</t>
  </si>
  <si>
    <t>ZA544</t>
  </si>
  <si>
    <t>Krytí inadine nepřilnavé 5,0 x 5,0 cm 1/10 SYS01481EE</t>
  </si>
  <si>
    <t>ZA547</t>
  </si>
  <si>
    <t>Krytí inadine nepřilnavé 9,5 x 9,5 cm 1/10 SYS01512EE</t>
  </si>
  <si>
    <t>ZA561</t>
  </si>
  <si>
    <t>Kompresa AB 20 x 40 cm / 1 ks sterilní NT savá 1230114051</t>
  </si>
  <si>
    <t>ZA562</t>
  </si>
  <si>
    <t>Náplast cosmopor i. v. 6 x 8 cm 9008054</t>
  </si>
  <si>
    <t>ZA563</t>
  </si>
  <si>
    <t>Kompresa AB 20 x 20 cm / 1 ks sterilní NT savá 1230114041</t>
  </si>
  <si>
    <t>ZA572</t>
  </si>
  <si>
    <t>Mediset pro přev.rány 4706321</t>
  </si>
  <si>
    <t>ZA576</t>
  </si>
  <si>
    <t>Mediset pro močovou katetriz. á 20 ks 4552710</t>
  </si>
  <si>
    <t>ZA583</t>
  </si>
  <si>
    <t>Čtverečky desinfekční Webcol 3,5 x 3,5 cm 70% á 4000 ks 6818-1 Offer kód CZ 140028</t>
  </si>
  <si>
    <t>ZA595</t>
  </si>
  <si>
    <t>Náplast tegaderm 6,0 cm x 7,0 cm bal. á 100 ks s výřezem 1623W</t>
  </si>
  <si>
    <t>ZA617</t>
  </si>
  <si>
    <t>Tampon TC-OC k ošetření dutiny ústní á 250 ks 12240</t>
  </si>
  <si>
    <t>ZA637</t>
  </si>
  <si>
    <t>Set subclavia ARO karton á 30 ks 41024</t>
  </si>
  <si>
    <t>ZB084</t>
  </si>
  <si>
    <t>Náplast transpore 2,50 cm x 9,14 m 1527-1</t>
  </si>
  <si>
    <t>ZC100</t>
  </si>
  <si>
    <t>Vata buničitá dělená 2 role / 500 ks 40 x 50 mm 1230200310</t>
  </si>
  <si>
    <t>ZC550</t>
  </si>
  <si>
    <t>Krytí mepilex silikonový Ag 10 x 10 cm bal. á 5 ks 287110-00</t>
  </si>
  <si>
    <t>ZC701</t>
  </si>
  <si>
    <t>Náplast tegaderm 10,0 cm x 11,5 cm bal. á 50 ks oválný 9546HP</t>
  </si>
  <si>
    <t>ZC845</t>
  </si>
  <si>
    <t>Kompresa NT 10 x 20 cm / 5 ks sterilní 26621</t>
  </si>
  <si>
    <t>ZC885</t>
  </si>
  <si>
    <t>Náplast omnifix E 10 cm x 10 m 900650</t>
  </si>
  <si>
    <t>ZD633</t>
  </si>
  <si>
    <t>Krytí mepilex border sacrum 18 x 18 cm bal. á 5 ks 282000-01</t>
  </si>
  <si>
    <t>ZD668</t>
  </si>
  <si>
    <t>Kompresa gáza 10 x 10 cm / 5 ks sterilní 1325019275</t>
  </si>
  <si>
    <t>ZD770</t>
  </si>
  <si>
    <t>Krytí tubifast 7,5 x 10 m 2438</t>
  </si>
  <si>
    <t>ZE748</t>
  </si>
  <si>
    <t>Krytí melgisorb Ag alginátové absorpční 10 x 10 cm bal. á 10 ks 256100-00</t>
  </si>
  <si>
    <t>ZG613</t>
  </si>
  <si>
    <t>Krytí mepitel one 8 x 10 cm  bal. á 5 ks 289200-00</t>
  </si>
  <si>
    <t>ZH012</t>
  </si>
  <si>
    <t>Náplast micropore 2,50 cm x 5,00 m 840W</t>
  </si>
  <si>
    <t>ZI558</t>
  </si>
  <si>
    <t>Náplast curapor   7 x   5 cm 22 120 ( náhrada za cosmopor )</t>
  </si>
  <si>
    <t>ZI599</t>
  </si>
  <si>
    <t>Náplast curapor 10 x   8 cm 22121 ( náhrada za cosmopor )</t>
  </si>
  <si>
    <t>ZI974</t>
  </si>
  <si>
    <t>Pěna střední V.A.C M8275052</t>
  </si>
  <si>
    <t>ZJ730</t>
  </si>
  <si>
    <t>Krytí granuflex extra thin 10 x 10 cm á 5 ks 187954</t>
  </si>
  <si>
    <t>ZG078</t>
  </si>
  <si>
    <t>Krytí xeroform 10,2 x 10,2 cm bal. á 25 ks 8884433500</t>
  </si>
  <si>
    <t>ZK646</t>
  </si>
  <si>
    <t>Náplast tegaderm CHG 8,5 cm x 11,5 cm na CŽK-antibakt. bal. á 25 ks 1657R</t>
  </si>
  <si>
    <t>ZL667</t>
  </si>
  <si>
    <t>Náplast tegaderm i.v. advanced 6,5 cm x 7 cm bal. á 400 ks 1683</t>
  </si>
  <si>
    <t>ZL684</t>
  </si>
  <si>
    <t>Náplast santiband standard poinjekční jednotl. baleno 19 mm x 72 mm 652</t>
  </si>
  <si>
    <t>ZL976</t>
  </si>
  <si>
    <t>Kanystr renasys EZ 800 ml 66800912</t>
  </si>
  <si>
    <t>ZL975</t>
  </si>
  <si>
    <t>Pěna renasys-F malý set 66800794</t>
  </si>
  <si>
    <t>ZL974</t>
  </si>
  <si>
    <t>Pěna renasys-F velký set 66800796</t>
  </si>
  <si>
    <t>ZF042</t>
  </si>
  <si>
    <t>Krytí mastný tyl jelonet 10 x 10 cm á 10 ks 7404</t>
  </si>
  <si>
    <t>ZD634</t>
  </si>
  <si>
    <t>Krytí mepilex border sacrum 23 x 23 cm bal. á 5 ks 282400-01</t>
  </si>
  <si>
    <t>ZD819</t>
  </si>
  <si>
    <t xml:space="preserve">Krytí debrisoft 10 x 10 cm bal. á 5 ks 31222   </t>
  </si>
  <si>
    <t>ZD599</t>
  </si>
  <si>
    <t>Krytí atrauman 7,5 x 10 cm bal. á 10 ks 499513</t>
  </si>
  <si>
    <t>ZA428</t>
  </si>
  <si>
    <t>Systém odsávací uzavřený CH14 jednocestný 57 cm 72 hod. bal. á 20 ks Z110-14</t>
  </si>
  <si>
    <t>ZA688</t>
  </si>
  <si>
    <t>Sáček močový curity s hod.diurézou 400 ml hadička 150 cm 8150</t>
  </si>
  <si>
    <t>ZA691</t>
  </si>
  <si>
    <t>Rampa 3 kohouty discofix 16600C/4085434/</t>
  </si>
  <si>
    <t>ZA727</t>
  </si>
  <si>
    <t>Kontejner 30 ml sterilní 331690251750</t>
  </si>
  <si>
    <t>ZA728</t>
  </si>
  <si>
    <t>Lopatka lékařská nesterilní 1320100655</t>
  </si>
  <si>
    <t>ZA738</t>
  </si>
  <si>
    <t>Filtr mini spike zelený 4550242</t>
  </si>
  <si>
    <t>ZA812</t>
  </si>
  <si>
    <t>Uzávěr do katetrů 4435001</t>
  </si>
  <si>
    <t>ZA860</t>
  </si>
  <si>
    <t>Spojka dvojitá otočná čistá á 20 ks 23412</t>
  </si>
  <si>
    <t>ZA883</t>
  </si>
  <si>
    <t>Rourka rektální CH18 délka 40 cm 19-18.100</t>
  </si>
  <si>
    <t>ZA884</t>
  </si>
  <si>
    <t>Rourka rektální CH22 délka 40 cm 19-22.100</t>
  </si>
  <si>
    <t>ZA964</t>
  </si>
  <si>
    <t>Stříkačka janett 3-dílná 60 ml vyplachovací MRG564</t>
  </si>
  <si>
    <t>ZB006</t>
  </si>
  <si>
    <t>Teploměr digitální thermoval basic 9250391</t>
  </si>
  <si>
    <t>ZB080</t>
  </si>
  <si>
    <t>Souprava TS č.7 100/561/070</t>
  </si>
  <si>
    <t>ZB103</t>
  </si>
  <si>
    <t>Láhev k odsávačce flovac 2l hadice 1,8 m 000-036-021</t>
  </si>
  <si>
    <t>ZB249</t>
  </si>
  <si>
    <t>Sáček močový s křížovou výpustí sterilní 2000 ml ZAR-TNU201601</t>
  </si>
  <si>
    <t>ZB295</t>
  </si>
  <si>
    <t>Filtr iso-gard hepa čistý bal. á 20 ks 28012</t>
  </si>
  <si>
    <t>ZB301</t>
  </si>
  <si>
    <t>Rampa 5 kohoutů bal. á 20 ks RP 5000 M</t>
  </si>
  <si>
    <t>ZB314</t>
  </si>
  <si>
    <t>Kanyla TS 8,0 s manžetou bal. á 2 ks 100/523/080</t>
  </si>
  <si>
    <t>ZB372</t>
  </si>
  <si>
    <t>Ambuvak pro dospělé vak 1,0 l 7153000</t>
  </si>
  <si>
    <t>ZB387</t>
  </si>
  <si>
    <t xml:space="preserve">Kanyla ET 8,0 s manžetou 9480E </t>
  </si>
  <si>
    <t>ZB439</t>
  </si>
  <si>
    <t>Odstraňovač náplastí Convacare, á 100 ks, 37443</t>
  </si>
  <si>
    <t>ZB449</t>
  </si>
  <si>
    <t>Kanyla ET 7,0 s manžetou 9570E</t>
  </si>
  <si>
    <t>ZB476</t>
  </si>
  <si>
    <t>Kompresa terumo TR BAND bal. á 5 ks 1XXRF 06 0023393</t>
  </si>
  <si>
    <t>ZB543</t>
  </si>
  <si>
    <t>Souprava odběrová tracheální G05206</t>
  </si>
  <si>
    <t>ZB598</t>
  </si>
  <si>
    <t>Spojka přímá symetrická 7 x 7 mm 120 430</t>
  </si>
  <si>
    <t>ZB751</t>
  </si>
  <si>
    <t>Hadice PVC 8/12 á 30 m P00468</t>
  </si>
  <si>
    <t>ZB756</t>
  </si>
  <si>
    <t>Zkumavka 3 ml K3 edta fialová 454086</t>
  </si>
  <si>
    <t>ZB757</t>
  </si>
  <si>
    <t>Zkumavka 6 ml K3 edta fialová 456036</t>
  </si>
  <si>
    <t>ZB761</t>
  </si>
  <si>
    <t>Zkumavka červená 4 ml 454092</t>
  </si>
  <si>
    <t>ZB774</t>
  </si>
  <si>
    <t>Zkumavka červená 5 ml gel 456071</t>
  </si>
  <si>
    <t>ZB775</t>
  </si>
  <si>
    <t>Zkumavka koagulace 4 ml modrá 454328</t>
  </si>
  <si>
    <t>ZB794</t>
  </si>
  <si>
    <t>Lžíce laryngoskopická 4 bal. á 10 ks DS.2940.150.25</t>
  </si>
  <si>
    <t>ZB893</t>
  </si>
  <si>
    <t>Stříkačka inzulinová omnican 0,5 ml 100j s jehlou 30 G 9151125S</t>
  </si>
  <si>
    <t>ZB901</t>
  </si>
  <si>
    <t>Infudrop air M-P 175 cm bal. á 100 ks 2886362</t>
  </si>
  <si>
    <t>ZB994</t>
  </si>
  <si>
    <t>Stříkačka injekční arteriální 3 ml bez jehly s heparinem á 100 ks 275603</t>
  </si>
  <si>
    <t>ZC059</t>
  </si>
  <si>
    <t>Láhev redon drenofast 400 ml-kompletní bal. á 40 ks 28 400</t>
  </si>
  <si>
    <t>ZC262</t>
  </si>
  <si>
    <t>Převodník tlakový PX2X2 bal. á 10 ks T001741A</t>
  </si>
  <si>
    <t>ZC366</t>
  </si>
  <si>
    <t>Převodník tlakový PX260 bal. 150 cm bal. á 20 ks T100209A</t>
  </si>
  <si>
    <t>ZC640</t>
  </si>
  <si>
    <t>Senzor flotrac s hadicí 213 cm MHD8R</t>
  </si>
  <si>
    <t>ZC740</t>
  </si>
  <si>
    <t>Maska tracheostomická bal.á 50 ks 1075</t>
  </si>
  <si>
    <t>ZC751</t>
  </si>
  <si>
    <t>Čepelka skalpelová 11 BB511</t>
  </si>
  <si>
    <t>ZC753</t>
  </si>
  <si>
    <t>Čepelka skalpelová 20 BB520</t>
  </si>
  <si>
    <t>ZC772</t>
  </si>
  <si>
    <t>Maska aerosolová pro dospělé 13101</t>
  </si>
  <si>
    <t>ZC777</t>
  </si>
  <si>
    <t>Filtr sací MSF 271-022-001</t>
  </si>
  <si>
    <t>ZC798</t>
  </si>
  <si>
    <t>Fonendoskop oboustranný 47 mm pro dospělé KVS-30L</t>
  </si>
  <si>
    <t>ZC863</t>
  </si>
  <si>
    <t>Hadička spojovací HS 1,8 x 1800LL 606304</t>
  </si>
  <si>
    <t>ZC906</t>
  </si>
  <si>
    <t>Škrtidlo se sponou pro dospělé 25 x 500 mm KVS25500</t>
  </si>
  <si>
    <t>ZC948</t>
  </si>
  <si>
    <t>Páska bepa clip pro TS kanylu s háčky 31-43 cm á 12 ks NKS:200443</t>
  </si>
  <si>
    <t>ZC968</t>
  </si>
  <si>
    <t>Filtrate bag 5029011</t>
  </si>
  <si>
    <t>ZC969</t>
  </si>
  <si>
    <t>Kit Multifiltrate 4CVVHDF 600 5038931</t>
  </si>
  <si>
    <t>ZD040</t>
  </si>
  <si>
    <t>Páska bepa clip vario pro TS kanylu 25/V á 12 ks NKS:200502</t>
  </si>
  <si>
    <t>ZD053</t>
  </si>
  <si>
    <t>Čidlo ICP neurovent pro měření nitrolebního tlaku 092946</t>
  </si>
  <si>
    <t>ZD458</t>
  </si>
  <si>
    <t>Spojka vrapovaná roztaž.rovná 15F bal. á 50 ks 038-61-311</t>
  </si>
  <si>
    <t>ZD702</t>
  </si>
  <si>
    <t>Kit Multifiltrate Ci-Ca CVVHD 1000 5039011</t>
  </si>
  <si>
    <t>ZD765</t>
  </si>
  <si>
    <t>Adaptér HF-female/spike 5016351</t>
  </si>
  <si>
    <t>ZD809</t>
  </si>
  <si>
    <t>Kanyla vasofix 20G růžová safety 4269110S-01</t>
  </si>
  <si>
    <t>ZD853</t>
  </si>
  <si>
    <t>Systém hrudní drenáže Aqua Seal á 5 ks 8888571299</t>
  </si>
  <si>
    <t>ZD962</t>
  </si>
  <si>
    <t>Systém hrudní drenážní altitude 8888571370</t>
  </si>
  <si>
    <t>ZD980</t>
  </si>
  <si>
    <t>Kanyla vasofix 18G zelená safety 4269136S-01</t>
  </si>
  <si>
    <t>ZE146</t>
  </si>
  <si>
    <t>Micro mist nebulizer bal. á 50 ks 41745</t>
  </si>
  <si>
    <t>ZE159</t>
  </si>
  <si>
    <t>Nádoba na kontaminovaný odpad 2 l 15-0003</t>
  </si>
  <si>
    <t>ZG132</t>
  </si>
  <si>
    <t>Katetr močový nelaton pro měření teploty CH16 bal. á 5 ks 179360-000160</t>
  </si>
  <si>
    <t>ZG515</t>
  </si>
  <si>
    <t>Zkumavka močová vacuette 10,5 ml bal. á 50 ks 331980455007</t>
  </si>
  <si>
    <t>ZH168</t>
  </si>
  <si>
    <t>Stříkačka injekční 3-dílná 1 ml L tuberculin KD-JECT III 831786</t>
  </si>
  <si>
    <t>ZH491</t>
  </si>
  <si>
    <t>Stříkačka injekční 3-dílná 50 - 60 ml LL MRG00711</t>
  </si>
  <si>
    <t>ZH493</t>
  </si>
  <si>
    <t>Katetr močový foley CH16 180605-000160</t>
  </si>
  <si>
    <t>ZH816</t>
  </si>
  <si>
    <t>Katetr močový foley CH14 180605-000140</t>
  </si>
  <si>
    <t>ZH845</t>
  </si>
  <si>
    <t>Tyčinka vatová medcomfort + glyc. citónová příchuť bal. á 75 ks 09157-100</t>
  </si>
  <si>
    <t>ZI180</t>
  </si>
  <si>
    <t>Zkumavka s mediem+ flovakovaný tampon eSwab minitip oranžový 491CE.A</t>
  </si>
  <si>
    <t>ZI182</t>
  </si>
  <si>
    <t>Zkumavka + aplikátor s chem.stabilizátorem UriSwab žlutá 802CE.A</t>
  </si>
  <si>
    <t>ZI553</t>
  </si>
  <si>
    <t>Rampa 3 cestná 9211 3001 E</t>
  </si>
  <si>
    <t>ZJ312</t>
  </si>
  <si>
    <t>Sonda žaludeční CH16 1200 mm s RTG linkou bal. á 50 ks 412016</t>
  </si>
  <si>
    <t>ZJ695</t>
  </si>
  <si>
    <t>Sonda žaludeční CH14 1200 mm s RTG linkou bal. á 50 ks 412014</t>
  </si>
  <si>
    <t>ZJ729</t>
  </si>
  <si>
    <t>Roztok dermacyn 500 ml 11A0031</t>
  </si>
  <si>
    <t>ZK693</t>
  </si>
  <si>
    <t>Aquapak - sterilní voda 1070 ml + adaptér 404128</t>
  </si>
  <si>
    <t>ZK798</t>
  </si>
  <si>
    <t xml:space="preserve">Zátka combi modrá 4495152 </t>
  </si>
  <si>
    <t>ZK884</t>
  </si>
  <si>
    <t>Kohout trojcestný discofix modrý 4095111</t>
  </si>
  <si>
    <t>ZK976</t>
  </si>
  <si>
    <t>Cévka odsávací CH12 s přerušovačem sání P01171a</t>
  </si>
  <si>
    <t>ZK977</t>
  </si>
  <si>
    <t>Cévka odsávací CH14 s přerušovačem sání P01173a</t>
  </si>
  <si>
    <t>ZK978</t>
  </si>
  <si>
    <t>Cévka odsávací CH16 s přerušovačem sání P01175a</t>
  </si>
  <si>
    <t>ZL249</t>
  </si>
  <si>
    <t>Hadice vrapovaná bal. á 50 m 038-01-228</t>
  </si>
  <si>
    <t>ZA799</t>
  </si>
  <si>
    <t>Trokar hrudní redax F20 s ostrým koncem bal. á 10 ks 11220</t>
  </si>
  <si>
    <t>ZA938</t>
  </si>
  <si>
    <t>Senzor lidco á 5 ks CM10</t>
  </si>
  <si>
    <t>ZB105</t>
  </si>
  <si>
    <t>Kanyla TS 7,5 s manžetou 100/800/075</t>
  </si>
  <si>
    <t>ZB263</t>
  </si>
  <si>
    <t>Kanyla TS 9,0 s manžetou bal. á 2 ks 100/523/090</t>
  </si>
  <si>
    <t>ZB318</t>
  </si>
  <si>
    <t>Maska resuscitační nafuk.dosp.velká bal. á 20 ks 41282</t>
  </si>
  <si>
    <t>ZB322</t>
  </si>
  <si>
    <t>Maska resuscitační nafuk.dosp.střed bal. á 20 ks 41281</t>
  </si>
  <si>
    <t>ZB647</t>
  </si>
  <si>
    <t>Minitrach seldinger kit 100/461/000</t>
  </si>
  <si>
    <t>ZB689</t>
  </si>
  <si>
    <t>Trokar hrudní redax F18 atraumatický bal. á 10 ks 21118</t>
  </si>
  <si>
    <t>ZB811</t>
  </si>
  <si>
    <t>Manžeta fixační Ute-Fix bal. á 20 ks NKS:40-01</t>
  </si>
  <si>
    <t>ZB864</t>
  </si>
  <si>
    <t>Kit lidco injectate 50 cm á 5 ks CM50</t>
  </si>
  <si>
    <t>ZC351</t>
  </si>
  <si>
    <t>Systém odsávací uzavřený CH14 jednocestný 30 cm 72 hod. bal. á 20 ks Z115-14</t>
  </si>
  <si>
    <t>ZC490</t>
  </si>
  <si>
    <t>Kartáček zubní s odsáváním 220x</t>
  </si>
  <si>
    <t>ZD454</t>
  </si>
  <si>
    <t>Filtr pro dospělé s HME a portem 038-41-355</t>
  </si>
  <si>
    <t>ZF046</t>
  </si>
  <si>
    <t>Katetr rektální Actiflo 4 cm 32010</t>
  </si>
  <si>
    <t>ZI344</t>
  </si>
  <si>
    <t>Sáček vypouštěcí natura pr. 70 mm ,á 10 ks, 416423</t>
  </si>
  <si>
    <t>ZJ728</t>
  </si>
  <si>
    <t>Roztok dermacyn 5000 ml 11C0083</t>
  </si>
  <si>
    <t>ZK735</t>
  </si>
  <si>
    <t>Konektor bezjehlový caresite bal. á 200 ks 415122</t>
  </si>
  <si>
    <t>ZL671</t>
  </si>
  <si>
    <t>Sonda Freka CH/FR 12, 120cm LL 7981811</t>
  </si>
  <si>
    <t>ZL781</t>
  </si>
  <si>
    <t>Konektor bezjehlový K-NECT 7 denní M79400845</t>
  </si>
  <si>
    <t>ZL952</t>
  </si>
  <si>
    <t>Stříkačka injekční 3-dílná 50 ml LL light protected bal.á 60 ks 2022920A</t>
  </si>
  <si>
    <t>ZL951</t>
  </si>
  <si>
    <t xml:space="preserve">Hadička prodlužovací PVC 150 cm pro světlocitlivé léky NO DOP bal. á 20  ks V686423 </t>
  </si>
  <si>
    <t>ZB793</t>
  </si>
  <si>
    <t>Lžíce laryngoskopická 3 bal. á 10 ks DS.2940.150.20</t>
  </si>
  <si>
    <t>ZD424</t>
  </si>
  <si>
    <t>Sáček kolostomický 80 mm 037880U</t>
  </si>
  <si>
    <t>ZF425</t>
  </si>
  <si>
    <t>Podložka almarys 036280U</t>
  </si>
  <si>
    <t>ZB505</t>
  </si>
  <si>
    <t>Tubo-fix pro ET rourky á 8 ks komplet NKS:20-10</t>
  </si>
  <si>
    <t>ZB899</t>
  </si>
  <si>
    <t>Senzor spirologický bal. á 5 ks 8403735-03</t>
  </si>
  <si>
    <t>ZI346</t>
  </si>
  <si>
    <t>Podložka natura flexibilní pr. 70 mm, á 5 ks, 125904</t>
  </si>
  <si>
    <t>ZD854</t>
  </si>
  <si>
    <t>Systém hrudní drenáže Aqua Seal dual 8888571406</t>
  </si>
  <si>
    <t>ZD534</t>
  </si>
  <si>
    <t>Okruh dýchací compact II 2,0 m 2151000/W</t>
  </si>
  <si>
    <t>ZM085</t>
  </si>
  <si>
    <t xml:space="preserve">Konektor bezjehlový k vakům Viaflo CytoLuer GMC7405    </t>
  </si>
  <si>
    <t>ZI554</t>
  </si>
  <si>
    <t>Rampa 5 cestná 9211 5001 E</t>
  </si>
  <si>
    <t>ZC499</t>
  </si>
  <si>
    <t>Souprava nebulizační pro dýchání 2505000/L</t>
  </si>
  <si>
    <t>ZA685</t>
  </si>
  <si>
    <t>Sonda pro tamponádu jícnu č.7 699021PHX</t>
  </si>
  <si>
    <t>ZA364</t>
  </si>
  <si>
    <t>Sáček kolostomický draina S mini á 30 ks H08560U</t>
  </si>
  <si>
    <t>ZF089</t>
  </si>
  <si>
    <t>Souprava ekonokit W-ABV301 (pův.k.č.W-ABV601)</t>
  </si>
  <si>
    <t>ZB873</t>
  </si>
  <si>
    <t>Souprava tracheostomická č. 8 100/561/080</t>
  </si>
  <si>
    <t>ZH870</t>
  </si>
  <si>
    <t>Hadice spojovací kyslíková trychtýř-závit 213 cm á 50 ks 01.000.02.099</t>
  </si>
  <si>
    <t>ZA188</t>
  </si>
  <si>
    <t>Vak odpadní  2 x 10 l PD2120A</t>
  </si>
  <si>
    <t>ZB238</t>
  </si>
  <si>
    <t>Kapsle BLS 819G BLS-IBP4079</t>
  </si>
  <si>
    <t>ZF196</t>
  </si>
  <si>
    <t>Kanyla ET se sáním nad manžetou SACETT I.D. 8,0 mm 100/189/080</t>
  </si>
  <si>
    <t>ZB874</t>
  </si>
  <si>
    <t>Souprava tracheostomická č. 9 100/561/090</t>
  </si>
  <si>
    <t>ZA189</t>
  </si>
  <si>
    <t>Filtr ochranný K34/3/LL</t>
  </si>
  <si>
    <t>ZE572</t>
  </si>
  <si>
    <t>Filtr hydrofobní 5015911</t>
  </si>
  <si>
    <t>ZA936</t>
  </si>
  <si>
    <t>Kit Multifiltrate 16 MPS P2dry 5038951</t>
  </si>
  <si>
    <t>ZE800</t>
  </si>
  <si>
    <t>Set enterální dvojitý s proplachem a vakem 1000 ml 777405</t>
  </si>
  <si>
    <t>ZM314</t>
  </si>
  <si>
    <t>Vak jednorázový k odsávačce flovac 2l hadice 1,8 m 000-036-031</t>
  </si>
  <si>
    <t>ZC052</t>
  </si>
  <si>
    <t>Tlouček drsný 24 x 115 mm 641331213100</t>
  </si>
  <si>
    <t>ZC054</t>
  </si>
  <si>
    <t>Válec odměrný vysoký sklo 100 ml 713880</t>
  </si>
  <si>
    <t>ZC081</t>
  </si>
  <si>
    <t>Močoměr bez teploměru 710363</t>
  </si>
  <si>
    <t>ZC048</t>
  </si>
  <si>
    <t>Miska třecí drsná 211a/0 6,0 cm 641331211000</t>
  </si>
  <si>
    <t>ZC615</t>
  </si>
  <si>
    <t>Katetr CVC 3 lumen certofix trio V720 bal. á 10 ks 4163214P</t>
  </si>
  <si>
    <t>ZC637</t>
  </si>
  <si>
    <t>Arteriofix bal. á 20 ks 20G 5206324</t>
  </si>
  <si>
    <t>ZD827</t>
  </si>
  <si>
    <t>Katetr CVC 3 lumen certofix trio SB720 bal. á 10 ks 4163206E</t>
  </si>
  <si>
    <t>ZC587</t>
  </si>
  <si>
    <t>Katetr hemodialyzační 2 lumen 14Fr bal. á 5 ks CV-15142-UF</t>
  </si>
  <si>
    <t>ZL697</t>
  </si>
  <si>
    <t>Katetr dialyzační 2 lumen 14,5 F 15 cm bal. á 5 ks A40-145215SS</t>
  </si>
  <si>
    <t>ZA187</t>
  </si>
  <si>
    <t>Set dialyzační KH240</t>
  </si>
  <si>
    <t>ZA206</t>
  </si>
  <si>
    <t>Set perkutální PEG-24-PULL-I-S</t>
  </si>
  <si>
    <t>ZB161</t>
  </si>
  <si>
    <t>Set ohřívací s Y portem DI-50</t>
  </si>
  <si>
    <t>ZB209</t>
  </si>
  <si>
    <t>Set transfúzní BLLP pro přetlakovou transfuzi bez vzdušného filtru hemomed 05123</t>
  </si>
  <si>
    <t>ZD207</t>
  </si>
  <si>
    <t>Set line for aquarius á 5 ks AQUASET 12</t>
  </si>
  <si>
    <t>ZD852</t>
  </si>
  <si>
    <t>Set spike univ. na enterální. výživu bal. á 30 ks 777007</t>
  </si>
  <si>
    <t>Set spike univ. pro enterální výživu s trnem EN plus bal. á 30 ks 777401</t>
  </si>
  <si>
    <t>ZA185</t>
  </si>
  <si>
    <t>Set filtrační KH220</t>
  </si>
  <si>
    <t>ZA186</t>
  </si>
  <si>
    <t>Set substituční KH230</t>
  </si>
  <si>
    <t>ZE079</t>
  </si>
  <si>
    <t>Set transfúzní non PVC s odvzdušněním a bakteriálním filtrem ZAR-I-TS</t>
  </si>
  <si>
    <t>ZA184</t>
  </si>
  <si>
    <t>Set venozní KH215</t>
  </si>
  <si>
    <t>ZA183</t>
  </si>
  <si>
    <t>Set venózní KH205</t>
  </si>
  <si>
    <t>ZB134</t>
  </si>
  <si>
    <t>Šití dafilon modrý 3/0 bal. á 36 ks C0932213</t>
  </si>
  <si>
    <t>ZB641</t>
  </si>
  <si>
    <t>Šití merslen zelený 0 bal. á 12 ks  L154_1/6</t>
  </si>
  <si>
    <t>ZC135</t>
  </si>
  <si>
    <t>Šití safil fialový 2/0 bal. á 36 ks C1048031</t>
  </si>
  <si>
    <t>ZA832</t>
  </si>
  <si>
    <t>Jehla injekční 0,9 x   40 mm žlutá 4657519</t>
  </si>
  <si>
    <t>ZA833</t>
  </si>
  <si>
    <t>Jehla injekční 0,8 x   40 mm zelená 4657527</t>
  </si>
  <si>
    <t>ZB478</t>
  </si>
  <si>
    <t>Jehla chirurgická B11</t>
  </si>
  <si>
    <t>ZB479</t>
  </si>
  <si>
    <t>Jehla chirurgická B12</t>
  </si>
  <si>
    <t>ZB417</t>
  </si>
  <si>
    <t>Jehla vacutainer BD eclipse 21 g s držákem bal. á 100 ks 368650</t>
  </si>
  <si>
    <t>ZL071</t>
  </si>
  <si>
    <t>Rukavice operační gammex bez pudru PF EnLite vel. 6,5 353383</t>
  </si>
  <si>
    <t>ZL072</t>
  </si>
  <si>
    <t>Rukavice operační gammex bez pudru PF EnLite vel. 7,0 353384</t>
  </si>
  <si>
    <t>ZL073</t>
  </si>
  <si>
    <t>Rukavice operační gammex bez pudru PF EnLite vel. 7,5 353385</t>
  </si>
  <si>
    <t>ZL074</t>
  </si>
  <si>
    <t>Rukavice operační gammex bez pudru PF EnLite vel. 8,0 353386</t>
  </si>
  <si>
    <t>ZM051</t>
  </si>
  <si>
    <t>Rukavice nitril promedica bez p. S bílé 6N á 100 ks 9399W2</t>
  </si>
  <si>
    <t>ZM291</t>
  </si>
  <si>
    <t>Rukavice nitril sempercare bez p. S bal. á 200 ks 30 802</t>
  </si>
  <si>
    <t>DG382</t>
  </si>
  <si>
    <t>Bactec Plus Aerobic</t>
  </si>
  <si>
    <t>DG385</t>
  </si>
  <si>
    <t>Bactec Plus Anaerobic</t>
  </si>
  <si>
    <t>DA866</t>
  </si>
  <si>
    <t>Calibrator Cartridge CCX4</t>
  </si>
  <si>
    <t>DG388</t>
  </si>
  <si>
    <t>Játrový bujon (10ml)</t>
  </si>
  <si>
    <t>DG395</t>
  </si>
  <si>
    <t>Diagnostická souprava ABO set monoklonální na 30</t>
  </si>
  <si>
    <t>DG384</t>
  </si>
  <si>
    <t>Bactec Mycosis IC/F</t>
  </si>
  <si>
    <t>DA001</t>
  </si>
  <si>
    <t>PROUZKY DIAPHAN pro samotestování 50ks</t>
  </si>
  <si>
    <t>DG393</t>
  </si>
  <si>
    <t>Ethanol 96%</t>
  </si>
  <si>
    <t>DG416</t>
  </si>
  <si>
    <t>S1 Rinse Solution, 2 Pcs</t>
  </si>
  <si>
    <t>DG417</t>
  </si>
  <si>
    <t>S2 Fluid pack, 1 Pc</t>
  </si>
  <si>
    <t>DG418</t>
  </si>
  <si>
    <t>S3 Fluid pack, 1 Pc</t>
  </si>
  <si>
    <t>DG426</t>
  </si>
  <si>
    <t>Clot Catcher 250 Pc</t>
  </si>
  <si>
    <t>DC236</t>
  </si>
  <si>
    <t>DIETHYLETER P.A. NESTAB.</t>
  </si>
  <si>
    <t>DG427</t>
  </si>
  <si>
    <t>Printer paper OMNI/OMNI S, 6 Pcs</t>
  </si>
  <si>
    <t>DG424</t>
  </si>
  <si>
    <t>Autotrol plus B, level 2, 40 pcs</t>
  </si>
  <si>
    <t>DG423</t>
  </si>
  <si>
    <t>Autotrol plus B, level 1, 40 pcs</t>
  </si>
  <si>
    <t>DG422</t>
  </si>
  <si>
    <t>Sensor GLU/LAC</t>
  </si>
  <si>
    <t>DG419</t>
  </si>
  <si>
    <t>W Waste container, 2 Pcs</t>
  </si>
  <si>
    <t>DG425</t>
  </si>
  <si>
    <t>Autotrol plus B, level 3, 40 pcs</t>
  </si>
  <si>
    <t>ZA429</t>
  </si>
  <si>
    <t>Obinadlo elastické idealtex   8 cm x 5 m 931061</t>
  </si>
  <si>
    <t>ZA450</t>
  </si>
  <si>
    <t>Náplast omniplast hospital 1,25 cm x 9,1 m 9004520</t>
  </si>
  <si>
    <t>ZA635</t>
  </si>
  <si>
    <t>Set pro močovou katetrizaci karton á 20 ks 41034</t>
  </si>
  <si>
    <t>ZD103</t>
  </si>
  <si>
    <t>Náplast omniplast   2,5 cm x 9,2 m 9004530</t>
  </si>
  <si>
    <t>ZF351</t>
  </si>
  <si>
    <t>Náplast transpore bílá 1,25 cm x 9,14 m bal. á 24 ks 1534-0</t>
  </si>
  <si>
    <t>ZF352</t>
  </si>
  <si>
    <t>Náplast transpore bílá 2,50 cm x 9,14 m bal. á 12 ks 1534-1</t>
  </si>
  <si>
    <t>ZH011</t>
  </si>
  <si>
    <t>Náplast micropore 1,25 cm x 9,14 m bal. á 24 ks 1530-0</t>
  </si>
  <si>
    <t>ZL996</t>
  </si>
  <si>
    <t>Obinadlo hyrofilní sterilní  8 cm x 5 m  004310182</t>
  </si>
  <si>
    <t>ZL999</t>
  </si>
  <si>
    <t>Rychloobvaz 8 x 4 cm / 3 ks ( pro obj. 1 kus = 3 náplasti) 001445510</t>
  </si>
  <si>
    <t>ZA839</t>
  </si>
  <si>
    <t xml:space="preserve">Kanyla ET 4,0 s manžetou 9440E </t>
  </si>
  <si>
    <t>ZA841</t>
  </si>
  <si>
    <t>Kanyla ET 4,5 s manž. M300-45</t>
  </si>
  <si>
    <t>ZA842</t>
  </si>
  <si>
    <t xml:space="preserve">Kanyla ET 6,5 s manžetou 9465E </t>
  </si>
  <si>
    <t>ZA921</t>
  </si>
  <si>
    <t>Lžíce laryngoskopická 4 bal. á 10 ks DS.3940.150.25</t>
  </si>
  <si>
    <t>ZA922</t>
  </si>
  <si>
    <t>Lžíce laryngoskopická 3 bal. á 10 ks DS.3940.150.20</t>
  </si>
  <si>
    <t>ZA931</t>
  </si>
  <si>
    <t>Okruh ventilační 15 mm 1,6 m pediatrický 2142</t>
  </si>
  <si>
    <t>ZB173</t>
  </si>
  <si>
    <t>Maska kyslíková s hadičkou a nosní svorkou dospělá H-103013</t>
  </si>
  <si>
    <t>Maska kyslíková s hadičkou a nosní svorkou dospělá H-103013, OS/100</t>
  </si>
  <si>
    <t>ZB199</t>
  </si>
  <si>
    <t>Kanyla neoflon 26G fialová BDC391349</t>
  </si>
  <si>
    <t>ZB232</t>
  </si>
  <si>
    <t>Maska anesteziologická č.4 7194</t>
  </si>
  <si>
    <t>ZB386</t>
  </si>
  <si>
    <t xml:space="preserve">Kanyla ET 7,5 s manžetou 9475E </t>
  </si>
  <si>
    <t>ZB388</t>
  </si>
  <si>
    <t xml:space="preserve">Kanyla ET 8,5 s manžetou 9485E </t>
  </si>
  <si>
    <t>ZB414</t>
  </si>
  <si>
    <t xml:space="preserve">Kanyla ET 6,0 s manžetou 9460E </t>
  </si>
  <si>
    <t>ZB429</t>
  </si>
  <si>
    <t xml:space="preserve">Kanyla ET 5,0 s manžetou 9450E </t>
  </si>
  <si>
    <t>ZB750</t>
  </si>
  <si>
    <t>Hadice vrapovaná metráž á 50 m 1574000/W</t>
  </si>
  <si>
    <t>ZB825</t>
  </si>
  <si>
    <t>Perifix 421 kompletní set 4514211C</t>
  </si>
  <si>
    <t>ZB844</t>
  </si>
  <si>
    <t>Esmarch 60 x 1250 KVS 06125</t>
  </si>
  <si>
    <t>ZB867</t>
  </si>
  <si>
    <t>Maska anesteziologická č.3 7193</t>
  </si>
  <si>
    <t>ZC770</t>
  </si>
  <si>
    <t>Hadička spojovací HS 3,0 x 2500LL 606347</t>
  </si>
  <si>
    <t>ZD945</t>
  </si>
  <si>
    <t>Filtr bakteriální a virový 1544</t>
  </si>
  <si>
    <t>ZD979</t>
  </si>
  <si>
    <t>Kanyla vasofix 17G bílá safety 4269152S-01</t>
  </si>
  <si>
    <t>ZE177</t>
  </si>
  <si>
    <t>Filtr iso-gard dětský bal. á 50 ks 19511</t>
  </si>
  <si>
    <t>ZE368</t>
  </si>
  <si>
    <t>Elektroda EKG dětská 32 x 36 mm á 30 ks FSTC1</t>
  </si>
  <si>
    <t>ZF018</t>
  </si>
  <si>
    <t>Kanyla vasofix 16G šedá safety 4269179S-01</t>
  </si>
  <si>
    <t>ZH450</t>
  </si>
  <si>
    <t>Maska laryngeální Sure Seal LM Cuff Pilot 105200-000040</t>
  </si>
  <si>
    <t>ZH451</t>
  </si>
  <si>
    <t>Maska laryngeální Sure Seal LM Cuff Pilot 105200-000050</t>
  </si>
  <si>
    <t>ZH789</t>
  </si>
  <si>
    <t>Okruh anesteziologický 22 mm Compact II 2 l vak  2154</t>
  </si>
  <si>
    <t>ZK979</t>
  </si>
  <si>
    <t>Cévka odsávací CH18 s přerušovačem sání P01177a</t>
  </si>
  <si>
    <t>ZA843</t>
  </si>
  <si>
    <t xml:space="preserve">Kanyla ET 3,0 s manžetou bal. á 10 ks 9430E </t>
  </si>
  <si>
    <t>ZA923</t>
  </si>
  <si>
    <t>Lžíce laryngoskopická 2 bal. á 10 ks DS.3940.150.15</t>
  </si>
  <si>
    <t>ZB116</t>
  </si>
  <si>
    <t>Filtr neonatální kombinovaný 1441000/L</t>
  </si>
  <si>
    <t>ZB121</t>
  </si>
  <si>
    <t>Rourka tracheální nasální 6.5 mm 100/133/065</t>
  </si>
  <si>
    <t>ZB233</t>
  </si>
  <si>
    <t>Maska anesteziologická obličej.č.5 7095000</t>
  </si>
  <si>
    <t>ZD151</t>
  </si>
  <si>
    <t>Ambuvak pro dospělé vak 1,5 l 7152000</t>
  </si>
  <si>
    <t>ZD907</t>
  </si>
  <si>
    <t>Zavaděč vzdušný bal.á 10 ks, C-CAE-14.0-70-FIC</t>
  </si>
  <si>
    <t>ZE785</t>
  </si>
  <si>
    <t>Manžeta přetlaková 1000 ml classic P01269</t>
  </si>
  <si>
    <t>ZF668</t>
  </si>
  <si>
    <t>Manžeta přetlaková 500 ml classic P01268</t>
  </si>
  <si>
    <t>ZF798</t>
  </si>
  <si>
    <t>Rourka tracheální nasální č.8,0 100/133/080</t>
  </si>
  <si>
    <t>ZH459</t>
  </si>
  <si>
    <t>Maska laryngeální LM PVC silikonová manžeta 105300-000060</t>
  </si>
  <si>
    <t>ZJ096</t>
  </si>
  <si>
    <t>Vzduchovod nosní 6,0 bal. á 10 ks 321060</t>
  </si>
  <si>
    <t>ZJ097</t>
  </si>
  <si>
    <t>Vzduchovod nosní 6,5 bal. á 10 ks 321065</t>
  </si>
  <si>
    <t>ZJ098</t>
  </si>
  <si>
    <t>Vzduchovod nosní 7,0 bal. á 10 ks 321070</t>
  </si>
  <si>
    <t>ZJ099</t>
  </si>
  <si>
    <t>Vzduchovod nosní 7,5 bal. á 10 ks 321075</t>
  </si>
  <si>
    <t>ZJ100</t>
  </si>
  <si>
    <t>Vzduchovod nosní 8,0 bal. á 10 ks 321080</t>
  </si>
  <si>
    <t>ZJ101</t>
  </si>
  <si>
    <t>Vzduchovod nosní 8,5 bal. á 10 ks 321085</t>
  </si>
  <si>
    <t>ZJ102</t>
  </si>
  <si>
    <t>Vzduchovod nosní 9,0 bal. á 10 ks 321090</t>
  </si>
  <si>
    <t>ZJ110</t>
  </si>
  <si>
    <t>Vzduchovod ústní guedel / 70 mm bal. á 10 ks 311070</t>
  </si>
  <si>
    <t>ZJ112</t>
  </si>
  <si>
    <t>Vzduchovod ústní guedel / 90 mm bal. á 10 ks 311090</t>
  </si>
  <si>
    <t>ZJ113</t>
  </si>
  <si>
    <t>Vzduchovod ústní guedel / 100 mm bal. á 10 ks 311100</t>
  </si>
  <si>
    <t>ZL717</t>
  </si>
  <si>
    <t>Kanyla introcan safety 3 modrá 22G bal. á 50 ks 4251128-01</t>
  </si>
  <si>
    <t>ZL718</t>
  </si>
  <si>
    <t>Kanyla introcan safety 3 růžová 20G bal. á 50 ks 4251130-01</t>
  </si>
  <si>
    <t>ZL719</t>
  </si>
  <si>
    <t>Kanyla introcan safety 3 zelená 18G bal. á 50 ks 4251132-01</t>
  </si>
  <si>
    <t>ZC001</t>
  </si>
  <si>
    <t>Zavaděč ETK 5F bal. á 25 ks 5-15102</t>
  </si>
  <si>
    <t>ZJ111</t>
  </si>
  <si>
    <t>Vzduchovod ústní guedel / 80 mm bal. á 10 ks 311080</t>
  </si>
  <si>
    <t>ZD007</t>
  </si>
  <si>
    <t>Rourka tracheální nasální 6.0 mm 100/133/060</t>
  </si>
  <si>
    <t>ZJ107</t>
  </si>
  <si>
    <t>Vzduchovod ústní guedel / 40 mm bal. á 10 ks 311040</t>
  </si>
  <si>
    <t>ZM010</t>
  </si>
  <si>
    <t>Kanyla ET 3,5 s manž. S107-35</t>
  </si>
  <si>
    <t>ZA769</t>
  </si>
  <si>
    <t>Lžíce laryngoskopická 0 bal. á 10 ks DS.3940.185.05</t>
  </si>
  <si>
    <t>ZA773</t>
  </si>
  <si>
    <t>Lžíce laryngoskopická 1 bal. á 10 ks DS.3940.185.10</t>
  </si>
  <si>
    <t>ZB119</t>
  </si>
  <si>
    <t>Rourka tracheální nasální 7.0 mm 100/133/070</t>
  </si>
  <si>
    <t>ZH159</t>
  </si>
  <si>
    <t>Spojka katetru přímá 15 cm bal. á 50 ks  430-005-015</t>
  </si>
  <si>
    <t>ZK975</t>
  </si>
  <si>
    <t>Cévka odsávací CH10 s přerušovačem sání P01169a</t>
  </si>
  <si>
    <t>ZB415</t>
  </si>
  <si>
    <t xml:space="preserve">Kanyla ET 5,5 s manžetou 9555E </t>
  </si>
  <si>
    <t>ZB398</t>
  </si>
  <si>
    <t>Maska supraglotická č. 4 8204</t>
  </si>
  <si>
    <t>ZJ109</t>
  </si>
  <si>
    <t>Vzduchovod ústní guedel 60 mm bal. á 10 ks 311060</t>
  </si>
  <si>
    <t>ZB389</t>
  </si>
  <si>
    <t xml:space="preserve">Kanyla ET 9,0 s manžetou bal. á 10 ks 9590E </t>
  </si>
  <si>
    <t>ZD008</t>
  </si>
  <si>
    <t>Rourka tracheální nasální 7.5 mm 100/133/075</t>
  </si>
  <si>
    <t>ZL716</t>
  </si>
  <si>
    <t>Kanyla introcan safety 3 žlutá 24G bal. á 50 ks 4251127-01</t>
  </si>
  <si>
    <t>ZA872</t>
  </si>
  <si>
    <t>Zavaděč trach. rourek ET extra-dlouhý bal. á 10 ks 100/121/200</t>
  </si>
  <si>
    <t>ZJ108</t>
  </si>
  <si>
    <t>Vzduchovod ústní guedel 50 mm bal. á 10 ks 311050</t>
  </si>
  <si>
    <t>ZJ114</t>
  </si>
  <si>
    <t>Vzduchovod ústní guedel / 110 mm bal. á 10 ks 311110</t>
  </si>
  <si>
    <t>ZB989</t>
  </si>
  <si>
    <t>Kanyla ET 3,5 s manžetou 112482-000035</t>
  </si>
  <si>
    <t>ZM315</t>
  </si>
  <si>
    <t>Vak jednorázový k odsávačce flovac 1l hadice 1,8 m 000-036-030</t>
  </si>
  <si>
    <t>ZA715</t>
  </si>
  <si>
    <t>Set infuzní intrafix 4062957</t>
  </si>
  <si>
    <t>Set infuzní intrafix primeline classic 150 cm 4062957</t>
  </si>
  <si>
    <t>ZB291</t>
  </si>
  <si>
    <t>Jehla spinocan G25 88 mm oranžová 4505905-01</t>
  </si>
  <si>
    <t>ZC006</t>
  </si>
  <si>
    <t>Jehla spinocan G25 75 mm oranžová 4505751-01</t>
  </si>
  <si>
    <t>ZB272</t>
  </si>
  <si>
    <t>Jehla spinocan G22 88 mm černá 4507908-01</t>
  </si>
  <si>
    <t>ZH432</t>
  </si>
  <si>
    <t>Jehla spinální-qunckeho hrot G22/38 á 25 ks 76.111.22.015</t>
  </si>
  <si>
    <t>ZD621</t>
  </si>
  <si>
    <t>Jehla spinální pencan G27/88 s vodící jehlou šedá 4502051-13</t>
  </si>
  <si>
    <t>ZB342</t>
  </si>
  <si>
    <t>Jehla spinální atraucan hnědý G 26,88 mm 4504739</t>
  </si>
  <si>
    <t>ZA784</t>
  </si>
  <si>
    <t>Jehla spinocan G22 75 mm černá 4507754-13</t>
  </si>
  <si>
    <t>ZH439</t>
  </si>
  <si>
    <t>Jehla spinální pencil-point G25/90 á 25 ks 76.222.25.035</t>
  </si>
  <si>
    <t>ZH437</t>
  </si>
  <si>
    <t>Jehla spinální-qunckeho hrot G25/89 á 25 ks 76.111.25.035</t>
  </si>
  <si>
    <t>ZH434</t>
  </si>
  <si>
    <t>Jehla spinální-qunckeho hrot G22/89 á 25 ks 76.111.22.035</t>
  </si>
  <si>
    <t>ZE668</t>
  </si>
  <si>
    <t>Rukavice latex bez p.zdrsněné L 9421625</t>
  </si>
  <si>
    <t>ZB418</t>
  </si>
  <si>
    <t>Kanyla endobronchiální levá 35FG 198-35L</t>
  </si>
  <si>
    <t>ZB539</t>
  </si>
  <si>
    <t>Kanyla endobronchiální levá 37FG 198-37L</t>
  </si>
  <si>
    <t>ZB540</t>
  </si>
  <si>
    <t>Kanyla endobronchiální levá 39F 198-39L</t>
  </si>
  <si>
    <t>ZH456</t>
  </si>
  <si>
    <t>Maska laryngeální LM PVC silikonová manžeta 105300-000030</t>
  </si>
  <si>
    <t>ZB376</t>
  </si>
  <si>
    <t>Kanyla endobronchiální pravá 39FG 197-39R</t>
  </si>
  <si>
    <t>ZB737</t>
  </si>
  <si>
    <t>Humid-Vent 3,0 mm á 10 ks 10121</t>
  </si>
  <si>
    <t>ZC482</t>
  </si>
  <si>
    <t>Kanyla endobronchiální blocker BBT-A3060-EU</t>
  </si>
  <si>
    <t>ZH453</t>
  </si>
  <si>
    <t>Maska laryngeální Sure Seal LM Cuff Pilot 105210-000015</t>
  </si>
  <si>
    <t>ZH452</t>
  </si>
  <si>
    <t>Maska laryngeální Sure Seal LM Cuff Pilot 105210-000010</t>
  </si>
  <si>
    <t>ZB525</t>
  </si>
  <si>
    <t>Zavaděč ETK 10F bal. á 25 ks 5-15103</t>
  </si>
  <si>
    <t>ZH454</t>
  </si>
  <si>
    <t>Maska laryngeální Sure Seal LM Cuff Pilot 105210-000020</t>
  </si>
  <si>
    <t>ZH455</t>
  </si>
  <si>
    <t>Maska laryngeální Sure Seal LM Cuff Pilot 105210-000025</t>
  </si>
  <si>
    <t>ZF744</t>
  </si>
  <si>
    <t>Spojka katetru Perifix 4513801</t>
  </si>
  <si>
    <t>ZH193</t>
  </si>
  <si>
    <t>Maska endoskopická č.3 s membránou 30-40-333(dřív.kč.30-40-333)</t>
  </si>
  <si>
    <t>ZK714</t>
  </si>
  <si>
    <t>Maska supraglotická č. 3 8203</t>
  </si>
  <si>
    <t>ZJ265</t>
  </si>
  <si>
    <t>Manžeta TK k monitoru Datex dvouhadičková NIBP 27,5-36,5 cm extra dlouhá U1886ND</t>
  </si>
  <si>
    <t>ZH195</t>
  </si>
  <si>
    <t xml:space="preserve">Membrána č.10 k endoskopické masce 304-40-127(dřív.kč.30-40-110) </t>
  </si>
  <si>
    <t>ZJ266</t>
  </si>
  <si>
    <t>Manžeta TK k monitoru Datex dvouhadičková NIBP 25-35 cm dospělá U1880ND (Y0004B)</t>
  </si>
  <si>
    <t>ZK555</t>
  </si>
  <si>
    <t>Kanyla endobronchiální pravá 37FG 197-37R</t>
  </si>
  <si>
    <t>ZB683</t>
  </si>
  <si>
    <t xml:space="preserve">Sonda žaludeční CH28, délka 80 cm bal. á 25 ks 21231 </t>
  </si>
  <si>
    <t>ZB684</t>
  </si>
  <si>
    <t>Sonda žaludeční CH42, délka 80 cm 22-42.520</t>
  </si>
  <si>
    <t>ZE027</t>
  </si>
  <si>
    <t>Katetr CVC 1 lumen certofix mono 330 4160282E</t>
  </si>
  <si>
    <t>ZI673</t>
  </si>
  <si>
    <t>Set pediatrický epidurální bal. á 20 ks EC-05520-P</t>
  </si>
  <si>
    <t>ZB217</t>
  </si>
  <si>
    <t>Šití dafilon modrý 3/0 bal. á 36 ks C0932353</t>
  </si>
  <si>
    <t>ZC766</t>
  </si>
  <si>
    <t>Nůžky chirurgické rovné hrotnaté P00768</t>
  </si>
  <si>
    <t>ZL688</t>
  </si>
  <si>
    <t>Proužky Accu-Check Inform IIStrip 50 EU1 á 50 ks 05942861</t>
  </si>
  <si>
    <t>ZL689</t>
  </si>
  <si>
    <t>Roztok Accu-Check Performa Int´l Controls 1+2 level 04861736</t>
  </si>
  <si>
    <t>ZE090</t>
  </si>
  <si>
    <t>Krytí sterilní VECA-C bal. á 50 ks BED:392020</t>
  </si>
  <si>
    <t>ZA744</t>
  </si>
  <si>
    <t>Kanyla neoflon 24G žlutá BDC391350</t>
  </si>
  <si>
    <t>ZA746</t>
  </si>
  <si>
    <t>Stříkačka injekční 3-dílná 1 ml L Omnifix Solo tuberculin 9161406V</t>
  </si>
  <si>
    <t>ZB141</t>
  </si>
  <si>
    <t>Okruh ventilační neonatální 10 mm 6202000/W</t>
  </si>
  <si>
    <t>ZB239</t>
  </si>
  <si>
    <t>Spojka pacientská Superset 15F 3535000/W</t>
  </si>
  <si>
    <t>ZK974</t>
  </si>
  <si>
    <t>Cévka odsávací CH8 s přerušovačem sání P01192a</t>
  </si>
  <si>
    <t>ZH433</t>
  </si>
  <si>
    <t>Jehla spinální-qunckeho hrot G22/76 á 25 ks 76.111.22.030</t>
  </si>
  <si>
    <t>50115050</t>
  </si>
  <si>
    <t>502 SZM obvazový (112 02 040)</t>
  </si>
  <si>
    <t>50115060</t>
  </si>
  <si>
    <t>503 SZM ostatní zdravotnický (112 02 100)</t>
  </si>
  <si>
    <t>50115065</t>
  </si>
  <si>
    <t>530 SZM jehly (112 02 107)</t>
  </si>
  <si>
    <t>50115067</t>
  </si>
  <si>
    <t>532 SZM Rukavice (112 02 108)</t>
  </si>
  <si>
    <t>50115040</t>
  </si>
  <si>
    <t>505 SZM laboratorní sklo a materiál (112 02 140)</t>
  </si>
  <si>
    <t>50115070</t>
  </si>
  <si>
    <t>513 SZM katetry, stenty, porty (112 02 101)</t>
  </si>
  <si>
    <t>50115062</t>
  </si>
  <si>
    <t>525 SZM materiál pro hemodialýzu (112 02 037)</t>
  </si>
  <si>
    <t>50115063</t>
  </si>
  <si>
    <t>528 SZM sety (112 02 105)</t>
  </si>
  <si>
    <t>50115064</t>
  </si>
  <si>
    <t>529 SZM šicí materiál (112 02 106)</t>
  </si>
  <si>
    <t>50115020</t>
  </si>
  <si>
    <t>Diagnostika (132 03 001)</t>
  </si>
  <si>
    <t>Spotřeba zdravotnického materiálu - orientační přehled</t>
  </si>
  <si>
    <t>ON Data</t>
  </si>
  <si>
    <t>708 - Pracoviště anesteziologicko - resuscitační</t>
  </si>
  <si>
    <t xml:space="preserve"> </t>
  </si>
  <si>
    <t>* Legenda</t>
  </si>
  <si>
    <t>Ambulantní péče znamená, že pacient v den poskytnutí zdravotní péče není hospitalizován ve FNOL</t>
  </si>
  <si>
    <t>Zdravotní výkony vykázané na pracovišti v rámci ambulantní péče *</t>
  </si>
  <si>
    <t>708</t>
  </si>
  <si>
    <t>1</t>
  </si>
  <si>
    <t>0000498</t>
  </si>
  <si>
    <t>MAGNESIUM SULFURICUM BIOTIKA 10%</t>
  </si>
  <si>
    <t>0000502</t>
  </si>
  <si>
    <t>MESOCAIN 1%</t>
  </si>
  <si>
    <t>0002439</t>
  </si>
  <si>
    <t>MARCAINE 0,5%</t>
  </si>
  <si>
    <t>0007981</t>
  </si>
  <si>
    <t>NOVALGIN INJEKCE</t>
  </si>
  <si>
    <t>0009709</t>
  </si>
  <si>
    <t>0058249</t>
  </si>
  <si>
    <t>GUAJACURAN 5%</t>
  </si>
  <si>
    <t>0067547</t>
  </si>
  <si>
    <t>0087814</t>
  </si>
  <si>
    <t>0090044</t>
  </si>
  <si>
    <t>DEPO-MEDROL 40 MG/ML</t>
  </si>
  <si>
    <t>0098872</t>
  </si>
  <si>
    <t>0098876</t>
  </si>
  <si>
    <t>0030160</t>
  </si>
  <si>
    <t>0003761</t>
  </si>
  <si>
    <t>3</t>
  </si>
  <si>
    <t>0058228</t>
  </si>
  <si>
    <t>JEHLA STIMULAČNÍ 4894251</t>
  </si>
  <si>
    <t>0058229</t>
  </si>
  <si>
    <t>JEHLA STIMULAČNÍ 4894502</t>
  </si>
  <si>
    <t>0058230</t>
  </si>
  <si>
    <t>JEHLA STIMULAČNÍ 4894260</t>
  </si>
  <si>
    <t>0082505</t>
  </si>
  <si>
    <t>JEHLA RADIOFREKVENČNÍ SMK</t>
  </si>
  <si>
    <t>0082506</t>
  </si>
  <si>
    <t>0082507</t>
  </si>
  <si>
    <t>V</t>
  </si>
  <si>
    <t>09216</t>
  </si>
  <si>
    <t>INJEKCE DO MĚKKÝCH TKÁNÍ NEBO INTRADERMÁLNÍ PUPENY</t>
  </si>
  <si>
    <t>09220</t>
  </si>
  <si>
    <t>KANYLACE PERIFERNÍ ŽÍLY VČETNĚ INFÚZE</t>
  </si>
  <si>
    <t>09511</t>
  </si>
  <si>
    <t>MINIMÁLNÍ KONTAKT LÉKAŘE S PACIENTEM</t>
  </si>
  <si>
    <t>29510</t>
  </si>
  <si>
    <t>OBSTŘIK PERIFERNÍHO NERVU</t>
  </si>
  <si>
    <t>29520</t>
  </si>
  <si>
    <t>KOŘENOVÝ OBSTŘIK</t>
  </si>
  <si>
    <t>78012</t>
  </si>
  <si>
    <t>78013</t>
  </si>
  <si>
    <t>78022</t>
  </si>
  <si>
    <t>CÍLENÉ VYŠETŘENÍ ANESTEZIOLOGEM</t>
  </si>
  <si>
    <t>78023</t>
  </si>
  <si>
    <t>KONTROLNÍ VYŠETŘENÍ ANESTEZIOLOGEM</t>
  </si>
  <si>
    <t>78112</t>
  </si>
  <si>
    <t>INHALAČNÍ ANESTÉZIE Á 20 MIN.</t>
  </si>
  <si>
    <t>78113</t>
  </si>
  <si>
    <t>KOMBINOVANÁ I. V. A INHALAČNÍ ANESTÉZIE Á 20 MIN.</t>
  </si>
  <si>
    <t>78114</t>
  </si>
  <si>
    <t>ANESTÉZIE S TRACHEÁLNÍ INTUBACÍ NEBO S LARYNGEÁLNÍ</t>
  </si>
  <si>
    <t>78242</t>
  </si>
  <si>
    <t>ZAVEDENÍ EPIDURÁLNÍHO KATÉTRU A ZAVEDENÍ OBDOBNÉHO</t>
  </si>
  <si>
    <t>78987</t>
  </si>
  <si>
    <t>78988</t>
  </si>
  <si>
    <t>78992</t>
  </si>
  <si>
    <t>ANALGOSEDACE INTRAVENÓZNÍ</t>
  </si>
  <si>
    <t>78993</t>
  </si>
  <si>
    <t xml:space="preserve">ZAVEDENÍ SVODNÉ ANESTÉZIE NERVU A NERVOVÉ PLETENĚ </t>
  </si>
  <si>
    <t>78999</t>
  </si>
  <si>
    <t>ZAJIŠTĚNÍ DÝCHACÍCH CEST PŘI ANESTEZII</t>
  </si>
  <si>
    <t>80021</t>
  </si>
  <si>
    <t>KOMPLEXNÍ VYŠETŘENÍ ALGEZIOLOGEM</t>
  </si>
  <si>
    <t>80022</t>
  </si>
  <si>
    <t>CÍLENÉ VYŠETŘENÍ ALGEZIOLOGEM</t>
  </si>
  <si>
    <t>09547</t>
  </si>
  <si>
    <t>REGULAČNÍ POPLATEK -- POJIŠTĚNEC OD ÚHRADY POPLATK</t>
  </si>
  <si>
    <t>78121</t>
  </si>
  <si>
    <t>KAPNOMETRIE PŘI ANESTEZII Á 20 MINUT</t>
  </si>
  <si>
    <t>89311</t>
  </si>
  <si>
    <t xml:space="preserve">INTERVENČNÍ VÝKON ŘÍZENÝ RDG METODOU (SKIASKOPIE, </t>
  </si>
  <si>
    <t>09225</t>
  </si>
  <si>
    <t>KANYLACE CENTRÁLNÍ ŽÍLY ZA KONTROLY CELKOVÉHO STAV</t>
  </si>
  <si>
    <t>09543</t>
  </si>
  <si>
    <t>REGULAČNÍ POPLATEK ZA NÁVŠTĚVU -- POPLATEK UHRAZEN</t>
  </si>
  <si>
    <t>09555</t>
  </si>
  <si>
    <t>OŠETŘENÍ DÍTĚTE DO 6 LET</t>
  </si>
  <si>
    <t>78050</t>
  </si>
  <si>
    <t>ANESTEZIOLOGICKÝ DOHLED BĚHEM VÝKONU Á 15 MIN.</t>
  </si>
  <si>
    <t>09233</t>
  </si>
  <si>
    <t>INJEKČNÍ OKRSKOVÁ ANESTÉZIE</t>
  </si>
  <si>
    <t>09215</t>
  </si>
  <si>
    <t>INJEKCE I. M., S. C., I. D.</t>
  </si>
  <si>
    <t>09223</t>
  </si>
  <si>
    <t>INTRAVENÓZNÍ INFÚZE U DOSPĚLÉHO NEBO DÍTĚTE NAD 10</t>
  </si>
  <si>
    <t>78111</t>
  </si>
  <si>
    <t>ANESTÉZIE INTRAVENOZNÍ Á 20 MIN.</t>
  </si>
  <si>
    <t>09513</t>
  </si>
  <si>
    <t>TELEFONICKÁ KONZULTACE OŠETŘUJÍCÍHO LÉKAŘE PACIENT</t>
  </si>
  <si>
    <t>78985</t>
  </si>
  <si>
    <t>09125</t>
  </si>
  <si>
    <t>PULZNÍ OXYMETRIE</t>
  </si>
  <si>
    <t>25113</t>
  </si>
  <si>
    <t>FLEXIBILNÍ BRONCHOSKOPIE DIAGNOSTICKÁ NEBO TERAPEU</t>
  </si>
  <si>
    <t>78235</t>
  </si>
  <si>
    <t>EPIDURÁLNÍ NEBO SUBARACHNOIDEÁLNÍ PUNKCE S PODÁNÍM</t>
  </si>
  <si>
    <t>78130</t>
  </si>
  <si>
    <t>ANESTÉZIE DÍTĚTE DO 3 LET, PŘIČTI KE KÓDU ANESTÉZI</t>
  </si>
  <si>
    <t>09219</t>
  </si>
  <si>
    <t xml:space="preserve">INTRAVENÓZNÍ INJEKCE U DOSPĚLÉHO ČI DÍTĚTE NAD 10 </t>
  </si>
  <si>
    <t>78210</t>
  </si>
  <si>
    <t>78220</t>
  </si>
  <si>
    <t>78230</t>
  </si>
  <si>
    <t>EPIDURÁLNÍ NEBO SUBARACHNOIDEÁLNÍ ANESTÉZIE Á 20 M</t>
  </si>
  <si>
    <t>80023</t>
  </si>
  <si>
    <t>KONTROLNÍ VYŠETŘENÍ ALGEZIOLOGEM</t>
  </si>
  <si>
    <t>78986</t>
  </si>
  <si>
    <t>80200</t>
  </si>
  <si>
    <t xml:space="preserve">(VZP) RADIOFREKVENČNÍ MINIMÁLNĚ INVAZIVNÍ VÝKON V </t>
  </si>
  <si>
    <t>78060</t>
  </si>
  <si>
    <t>POSTANESTETICKÁ PÉČE PROVÁDĚNÁ ANESTEZIOLOGEM</t>
  </si>
  <si>
    <t>78244</t>
  </si>
  <si>
    <t>PŘEVAZ EPIDURÁLNÍHO KATÉTRU S VÝMĚNOU BAKTERIÁLNÍH</t>
  </si>
  <si>
    <t>Zdravotní výkony + ZUM + ZULP vykázané na pracovišti v rámci ambulantní péče - orientační přehled</t>
  </si>
  <si>
    <t>01 - I. interní klinika - kardiologická</t>
  </si>
  <si>
    <t>02 - II. interní klinika - gastro-enterologická a hepatologická</t>
  </si>
  <si>
    <t>03 - III. interní klinika - nefrologická, revmatologická a endokrinologická</t>
  </si>
  <si>
    <t>04 - I. chirurgická klinika</t>
  </si>
  <si>
    <t>05 - II. chirurgická klinika - cévně-transplantační</t>
  </si>
  <si>
    <t>06 - Neurochirurgická klinika</t>
  </si>
  <si>
    <t>07 - Klinika anesteziologie, resuscitace a intenzivní medicíny</t>
  </si>
  <si>
    <t>08 - Porodnicko-gynekologická klinika</t>
  </si>
  <si>
    <t>09 - Novorozenecké oddělení</t>
  </si>
  <si>
    <t>10 - Dětská klinika</t>
  </si>
  <si>
    <t>11 - Ortopedická klinika</t>
  </si>
  <si>
    <t>12 - Urologická klinika</t>
  </si>
  <si>
    <t>13 - Otolaryngologická klinika</t>
  </si>
  <si>
    <t>14 - Oční klinika</t>
  </si>
  <si>
    <t>16 - Klinika plicních nemocí a tuberkulózy</t>
  </si>
  <si>
    <t>17 - Neurologická klinika</t>
  </si>
  <si>
    <t>18 - Klinika psychiatrie</t>
  </si>
  <si>
    <t>20 - Klinika chorob kožních a pohlavních</t>
  </si>
  <si>
    <t>21 - Onkologická klinika</t>
  </si>
  <si>
    <t>25 - Klinika ústní,čelistní a obličejové chirurgie</t>
  </si>
  <si>
    <t>26 - Oddělení rehabilitace</t>
  </si>
  <si>
    <t>29 - Oddělení plastické a estetické chirurgie</t>
  </si>
  <si>
    <t>30 - Oddělení geriatrie</t>
  </si>
  <si>
    <t>31 - Traumatologické oddělení</t>
  </si>
  <si>
    <t>32 - Hemato-onkologická klinika</t>
  </si>
  <si>
    <t>50 - Kardiochirurgická klinika</t>
  </si>
  <si>
    <t>59 - Oddělení intenzivní péče chirurgických oborů</t>
  </si>
  <si>
    <t>01</t>
  </si>
  <si>
    <t>0049189</t>
  </si>
  <si>
    <t>KATETR CENTRÁLNÍ VENÓZNÍ KIT</t>
  </si>
  <si>
    <t>09227</t>
  </si>
  <si>
    <t>I. V. APLIKACE KRVE NEBO KREVNÍCH DERIVÁTŮ</t>
  </si>
  <si>
    <t>78989</t>
  </si>
  <si>
    <t>ANESTÉZIE S ŘÍZENOU VENTILACÍ Á 20 MIN.</t>
  </si>
  <si>
    <t>78990</t>
  </si>
  <si>
    <t>78115</t>
  </si>
  <si>
    <t>78140</t>
  </si>
  <si>
    <t>ANESTÉZIE U PACIENTA S ASA 3E A VÍCE Á 20 MINUT, P</t>
  </si>
  <si>
    <t>78820</t>
  </si>
  <si>
    <t>78991</t>
  </si>
  <si>
    <t>78320</t>
  </si>
  <si>
    <t xml:space="preserve">NEODKLADNÁ KARDIOPULMONÁLNÍ RESUSCITACE ROZŠÍŘENÁ </t>
  </si>
  <si>
    <t>02</t>
  </si>
  <si>
    <t>09245</t>
  </si>
  <si>
    <t>ZAVEDENÍ GASTRICKÉ SONDY PRO ENTERÁLNÍ VÝŽIVU</t>
  </si>
  <si>
    <t>78310</t>
  </si>
  <si>
    <t>03</t>
  </si>
  <si>
    <t>09544</t>
  </si>
  <si>
    <t>REGULAČNÍ POPLATEK ZA KAŽDÝ DEN LŮŽKOVÉ PÉČE -- PO</t>
  </si>
  <si>
    <t>78116</t>
  </si>
  <si>
    <t>04</t>
  </si>
  <si>
    <t>0026096</t>
  </si>
  <si>
    <t>ROURKA ENDOBRONCHIÁLNÍ DOUBLE LUMEN LEVÝ BRONCHUS</t>
  </si>
  <si>
    <t>0026097</t>
  </si>
  <si>
    <t>ROURKA ENDOBRONCHIÁLNÍ DOUBLE LUMEN PRAVÝ BRONCHUS</t>
  </si>
  <si>
    <t>78997</t>
  </si>
  <si>
    <t>78998</t>
  </si>
  <si>
    <t>51625</t>
  </si>
  <si>
    <t>PEROPERAČNÍ POUŽITÍ PACIENTSKÉ OHŘÍVACÍ SOUPRAVY -</t>
  </si>
  <si>
    <t>78995</t>
  </si>
  <si>
    <t>78994</t>
  </si>
  <si>
    <t>78117</t>
  </si>
  <si>
    <t>78996</t>
  </si>
  <si>
    <t>78860</t>
  </si>
  <si>
    <t>TUNELIZACE KATÉTRU</t>
  </si>
  <si>
    <t>05</t>
  </si>
  <si>
    <t>09231</t>
  </si>
  <si>
    <t>ZAVEDENÍ KATÉTRU PRO INTRAARTERIÁLNÍ PERFÚZI</t>
  </si>
  <si>
    <t>78815</t>
  </si>
  <si>
    <t>MASIVNÍ PŘETLAKOVÉ NÁHRADY</t>
  </si>
  <si>
    <t>06</t>
  </si>
  <si>
    <t>5F1</t>
  </si>
  <si>
    <t>51113</t>
  </si>
  <si>
    <t>MYOTOMIE MUSCULUS KRIKOFARINGIKUS</t>
  </si>
  <si>
    <t>51353</t>
  </si>
  <si>
    <t>PUNKCE, ODSÁTÍ TENKÉHO STŘEVA, MANIPULACE SE STŘEV</t>
  </si>
  <si>
    <t>51359</t>
  </si>
  <si>
    <t>RESEKCE A ANASTOMÓZA TLUSTÉHO STŘEVA NEBO REKTOSIG</t>
  </si>
  <si>
    <t>51392</t>
  </si>
  <si>
    <t>RELAPAROTOMIE PRO POOPERAČNÍ KRVÁCENÍ, PERITONITID</t>
  </si>
  <si>
    <t>51394</t>
  </si>
  <si>
    <t>UZÁVĚR STĚNY BŘIŠNÍ PO EVISCERACI</t>
  </si>
  <si>
    <t>51423</t>
  </si>
  <si>
    <t>DIVULZE ANU EV. S VYNĚTÍM CIZÍHO TĚLESA A MANUÁLNÍ</t>
  </si>
  <si>
    <t>51713</t>
  </si>
  <si>
    <t>DIAGNOSTICKÁ VIDEOLAPAROSKOPIE A VIDEOTORAKOSKOPIE</t>
  </si>
  <si>
    <t>57213</t>
  </si>
  <si>
    <t>PLASTICKÉ VÝKONY NA PRŮDUŠNICI A VELKÝCH BRONŠÍCH</t>
  </si>
  <si>
    <t>71717</t>
  </si>
  <si>
    <t>TRACHEOTOMIE</t>
  </si>
  <si>
    <t>90842</t>
  </si>
  <si>
    <t>(DRG) KLÍNOVITÁ RESEKCE PLIC THORAKOSKOPICKY</t>
  </si>
  <si>
    <t>07546</t>
  </si>
  <si>
    <t>(DRG) OTEVŘENÝ PŘÍSTUP</t>
  </si>
  <si>
    <t>07531</t>
  </si>
  <si>
    <t>(VZP) ARTERIOGRAFIE PEROPERAČNÍ</t>
  </si>
  <si>
    <t>07350</t>
  </si>
  <si>
    <t>(VZP) ENDARTERECTOMIE BŘIŠNÍ AORTY</t>
  </si>
  <si>
    <t>07550</t>
  </si>
  <si>
    <t>(DRG) ENDOVASKULÁRNÍ PŘÍSTUP PERKUTÁNNÍ NEBO S?PRE</t>
  </si>
  <si>
    <t>07551</t>
  </si>
  <si>
    <t>(DRG) HYBRIDNÍ PŘÍSTUP</t>
  </si>
  <si>
    <t>07341</t>
  </si>
  <si>
    <t>(VZP) BYPASS AORTO - FEMORÁLNÍ OBOUSTRANNÝ PROTETI</t>
  </si>
  <si>
    <t>07417</t>
  </si>
  <si>
    <t>(VZP) ENDARTERECTOMIE A. FEMORALIS A JEJÍCH VĚTVÍ</t>
  </si>
  <si>
    <t>07532</t>
  </si>
  <si>
    <t>(VZP) TRANSLUMINÁLNÍ ANGIOPLASTIKA PEROPERAČNÍ</t>
  </si>
  <si>
    <t>07565</t>
  </si>
  <si>
    <t>(DRG) KATASTROFICKÁ OPERACE KVCH</t>
  </si>
  <si>
    <t>07571</t>
  </si>
  <si>
    <t>(DRG) POOPERAČNÍ REVIZE PRO KRVÁCENÍ, INFEKCI NEBO</t>
  </si>
  <si>
    <t>07356</t>
  </si>
  <si>
    <t>(VZP) TROMBECTOMIE BYPASSU BŘIŠNÍ AORTY</t>
  </si>
  <si>
    <t>07391</t>
  </si>
  <si>
    <t>(VZP) NEPŘÍMÁ EMBOLECTOMIE A. ILIACA CESTOU A. FEM</t>
  </si>
  <si>
    <t>07337</t>
  </si>
  <si>
    <t>(VZP) BYPASS AORTO - ILICKÝ NEBO NÁHRADA OBOUSTRAN</t>
  </si>
  <si>
    <t>07516</t>
  </si>
  <si>
    <t>(VZP) ODBĚR A PŘÍPRAVA ŽILNÍHO ŠTĚPU Z HLUBOKÉ ŽÍL</t>
  </si>
  <si>
    <t>07332</t>
  </si>
  <si>
    <t>(VZP) BYPASS AORTO - ILICKÝ NEBO NÁHRADA JEDNOSTRA</t>
  </si>
  <si>
    <t>07543</t>
  </si>
  <si>
    <t>(DRG) PRIMOOPERACE</t>
  </si>
  <si>
    <t>54990</t>
  </si>
  <si>
    <t>ODBĚR ŽILNÍHO ŠTĚPU</t>
  </si>
  <si>
    <t>51371</t>
  </si>
  <si>
    <t>CHOLECYSTEKTOMIE</t>
  </si>
  <si>
    <t>54810</t>
  </si>
  <si>
    <t>PEROPERAČNÍ ANGIOGRAFIE</t>
  </si>
  <si>
    <t>57251</t>
  </si>
  <si>
    <t>KLÍNOVITÁ RESEKCE PLIC NEBO ENUKLEACE TUMORU</t>
  </si>
  <si>
    <t>54190</t>
  </si>
  <si>
    <t>OSTATNÍ REKONSTRUKCE TEPEN A BY-PASSY</t>
  </si>
  <si>
    <t>51850</t>
  </si>
  <si>
    <t>PŘEVAZ RÁNY METODOU V. A. C. (VACUUM ASISTED CLOSU</t>
  </si>
  <si>
    <t>07379</t>
  </si>
  <si>
    <t>(VZP) BYPASS NEBO NÁHRADA ILIKO - FEMORÁLNÍ PROTET</t>
  </si>
  <si>
    <t>51386</t>
  </si>
  <si>
    <t>SUTURA EV. EXCIZE A SUTURA LÉZE STĚNY ŽALUDKU NEBO</t>
  </si>
  <si>
    <t>51711</t>
  </si>
  <si>
    <t>VÝKON LAPAROSKOPICKÝ A TORAKOSKOPICKÝ</t>
  </si>
  <si>
    <t>51311</t>
  </si>
  <si>
    <t>SPLENEKTOMIE</t>
  </si>
  <si>
    <t>51827</t>
  </si>
  <si>
    <t>MULTIORGÁNOVÝ ODBĚR</t>
  </si>
  <si>
    <t>54120</t>
  </si>
  <si>
    <t>ANEURYSMA BŘIŠNÍ AORTY (NÁHRADA BIFURKAČNÍ PROTÉZO</t>
  </si>
  <si>
    <t>07564</t>
  </si>
  <si>
    <t>(DRG) EMERGENTNÍ OPERACE KVCH</t>
  </si>
  <si>
    <t>62310</t>
  </si>
  <si>
    <t>NEKREKTOMIE DO 1% POVRCHU TĚLA</t>
  </si>
  <si>
    <t>07562</t>
  </si>
  <si>
    <t>(DRG) PLÁNOVANÁ OPERACE KVCH</t>
  </si>
  <si>
    <t>54320</t>
  </si>
  <si>
    <t xml:space="preserve">ENDARTEREKTOMIE KAROTICKÁ A OSTATNÍCH PERIFERNÍCH </t>
  </si>
  <si>
    <t>51125</t>
  </si>
  <si>
    <t>TYREOIDEKTOMIE TOTÁLNÍ NEBO OBOUSTRANNÁ SUBTOTÁLNÍ</t>
  </si>
  <si>
    <t>07552</t>
  </si>
  <si>
    <t>(DRG) OPERAČNÍ VÝKON BEZ MIMOTĚLNÍHO OBĚHU</t>
  </si>
  <si>
    <t>07363</t>
  </si>
  <si>
    <t xml:space="preserve">(VZP) ZAVEDENÍ BIFURKAČNÍHO STENTGRAFTU DO BŘIŠNÍ </t>
  </si>
  <si>
    <t>54325</t>
  </si>
  <si>
    <t>AORTOILICKÁ EMBOLEKTOMIE NEBO TROMBEKTOMIE BIFURKA</t>
  </si>
  <si>
    <t>51357</t>
  </si>
  <si>
    <t>JEJUNOSTOMIE, ILEOSTOMIE NEBO KOLOSTOMIE, ANTEPOZI</t>
  </si>
  <si>
    <t>07563</t>
  </si>
  <si>
    <t>(DRG) URGENTNÍ OPERACE KVCH</t>
  </si>
  <si>
    <t>07544</t>
  </si>
  <si>
    <t>(DRG) PRVNÍ REOPERACE</t>
  </si>
  <si>
    <t>51411</t>
  </si>
  <si>
    <t>OPERACE KONEČNÍKU TRANSANÁLNÍ ENDOSKOPICKOU MIKROC</t>
  </si>
  <si>
    <t>57241</t>
  </si>
  <si>
    <t>DEKORTIKACE PLÍCE</t>
  </si>
  <si>
    <t>57247</t>
  </si>
  <si>
    <t>PNEUMONEKTOMIE, NEBO LOBEKTOMIE, NEBO BILOBEKTOMIE</t>
  </si>
  <si>
    <t>07469</t>
  </si>
  <si>
    <t>(VZP) EMBOLECTOMIE A. POPLITEA A BÉRCOVÝCH TEPEN</t>
  </si>
  <si>
    <t>54510</t>
  </si>
  <si>
    <t>PEROPERAČNÍ TRANSLUMINÁLNÍ ANGIOPLASTIKA</t>
  </si>
  <si>
    <t>54340</t>
  </si>
  <si>
    <t>TEPENNÁ EMBOLEKTOMIE, TROMBEKTOMIE</t>
  </si>
  <si>
    <t>57235</t>
  </si>
  <si>
    <t>TORAKOTOMIE PROSTÁ NEBO S BIOPSIÍ, EVAKUACÍ HEMATO</t>
  </si>
  <si>
    <t>07389</t>
  </si>
  <si>
    <t>(VZP) TROMBECTOMIE A.ILIACA</t>
  </si>
  <si>
    <t>51355</t>
  </si>
  <si>
    <t>DVOJ - A VÍCENÁSOBNÁ RESEKCE A (NEBO) ANASTOMÓZA T</t>
  </si>
  <si>
    <t>07418</t>
  </si>
  <si>
    <t>(VZP) TROMBECTOMIE  A. FEMORALIS A JEJÍCH VĚTVÍ</t>
  </si>
  <si>
    <t>54310</t>
  </si>
  <si>
    <t>AORTOILICKÝ ÚSEK - ENDARTEREKTOMIE</t>
  </si>
  <si>
    <t>07373</t>
  </si>
  <si>
    <t>(VZP) REVIZE V OBLASTI BŘIŠNÍ AORTY PRO  KRVÁCENÍ</t>
  </si>
  <si>
    <t>51326</t>
  </si>
  <si>
    <t>DRENÁŽNÍ OPERACE PŘI AKUTNÍ PANKEATITIDĚ, DRENÁŽ A</t>
  </si>
  <si>
    <t>57221</t>
  </si>
  <si>
    <t>OPERAČNÍ STABILIZACE HRUDNÍKU PO ÚRAZE - JEDNA STR</t>
  </si>
  <si>
    <t>54230</t>
  </si>
  <si>
    <t>ŽILNÍ REKONSTRUKCE PRO POSTTROMBOTICKÝ SYNDROM</t>
  </si>
  <si>
    <t>66915</t>
  </si>
  <si>
    <t>DEKOMPRESE FASCIÁLNÍHO LOŽE</t>
  </si>
  <si>
    <t>57237</t>
  </si>
  <si>
    <t>SUTURA RUPTUTY BRÁNICE TORAKOTOMICKÝM PŘÍSTUPEM</t>
  </si>
  <si>
    <t>07329</t>
  </si>
  <si>
    <t>(VZP) NÁHRADA AORTO - AORTÁLNÍ PROTETICKÁ</t>
  </si>
  <si>
    <t>07372</t>
  </si>
  <si>
    <t>(VZP) OPERAČNÍ UZÁVĚR VĚTVE BŘIŠNÍ AORTY</t>
  </si>
  <si>
    <t>5F3</t>
  </si>
  <si>
    <t>51393</t>
  </si>
  <si>
    <t>EXPLORATIVNÍ LAPAROTOMIE</t>
  </si>
  <si>
    <t>51819</t>
  </si>
  <si>
    <t>OŠETŘENÍ A OBVAZ ROZSÁHLÉ RÁNY V CELKOVÉ ANESTEZII</t>
  </si>
  <si>
    <t>51859</t>
  </si>
  <si>
    <t>FIXAČNÍ SÁDROVÁ DLAHA - NOHA, BÉREC</t>
  </si>
  <si>
    <t>51877</t>
  </si>
  <si>
    <t>PŘILOŽENÍ LÉČEBNÉ POMŮCKY - ORTÉZY</t>
  </si>
  <si>
    <t>53119</t>
  </si>
  <si>
    <t>ZAVŘENÁ REPOZICE ZLOMENIN PŘEDLOKTÍ, LOKTE, PAŽE N</t>
  </si>
  <si>
    <t>53152</t>
  </si>
  <si>
    <t>OTEVŘENÁ REPOZICE A OSTEOSYNTÉZA ZLOMENINY NEBO LU</t>
  </si>
  <si>
    <t>53163</t>
  </si>
  <si>
    <t>OTEVŘENÁ REPOZICE A OSTEOSYNTÉZA VÍCEÚLOMKOVÝCH ZL</t>
  </si>
  <si>
    <t>53253</t>
  </si>
  <si>
    <t xml:space="preserve">OTEVŘENÁ REPOZICE A OSTEOSYNTÉZA ZLOMENIN DIAFÝZY </t>
  </si>
  <si>
    <t>53413</t>
  </si>
  <si>
    <t>ZAVŘENÁ REPOZICE ZLOMENINY BÉRCE VČETNĚ NITROKLOUB</t>
  </si>
  <si>
    <t>53459</t>
  </si>
  <si>
    <t>OTEVŘENÁ REPOZICE NITROKLOUBNÍCH LUXAČNÍCH ZLOMENI</t>
  </si>
  <si>
    <t>53469</t>
  </si>
  <si>
    <t>ZLOMENINA DIAFÝZY A SUPRAKONDYLICKÉ OBLASTI FEMURU</t>
  </si>
  <si>
    <t>53483</t>
  </si>
  <si>
    <t>ZLOMENINA  ACETABULA - OBOU PILÍŘŮ - LÉČENÁ OTEVŘE</t>
  </si>
  <si>
    <t>66819</t>
  </si>
  <si>
    <t>APLIKACE ZEVNÍHO FIXATÉRU</t>
  </si>
  <si>
    <t>66823</t>
  </si>
  <si>
    <t>ODSTRANĚNÍ ZEVNÍHO FIXATÉRU</t>
  </si>
  <si>
    <t>66879</t>
  </si>
  <si>
    <t>OTEVŘENÁ SPONGIOPLASTIKA</t>
  </si>
  <si>
    <t>53457</t>
  </si>
  <si>
    <t>ZLOMENINY DOLNÍHO KONCE BÉRCE A HLEZNA S NITROKLOU</t>
  </si>
  <si>
    <t>53490</t>
  </si>
  <si>
    <t>ROZSÁHLÉ DEBRIDEMENT SLOŽITÝCH OTEVŘENÝCH ZLOMENIN</t>
  </si>
  <si>
    <t>66127</t>
  </si>
  <si>
    <t>MANIPULACE V CELKOVÉ NEBO LOKÁLNÍ ANESTÉZII</t>
  </si>
  <si>
    <t>51855</t>
  </si>
  <si>
    <t>FIXAČNÍ SÁDROVÁ DLAHA CELÉ HORNÍ KONČETINY</t>
  </si>
  <si>
    <t>53155</t>
  </si>
  <si>
    <t>OTEVŘENÁ REPOZICE - SYNTÉZA LUXACE KARPU - INTRAAR</t>
  </si>
  <si>
    <t>53471</t>
  </si>
  <si>
    <t>ZLOMENINA HORNÍHO KONCE FEMURU - REPOZICE OTEVŘENÁ</t>
  </si>
  <si>
    <t>66457</t>
  </si>
  <si>
    <t>REKONSTRUKCE VAZŮ - LOKET, PŘEDLOKTÍ</t>
  </si>
  <si>
    <t>53157</t>
  </si>
  <si>
    <t>OTEVŘENÁ REPOZICE A OSTEOSYNTÉZA ZLOMENINY JEDNÉ K</t>
  </si>
  <si>
    <t>53257</t>
  </si>
  <si>
    <t xml:space="preserve">OTEVŘENÁ REPOZICE A OSTEOSYNTÉZA ZLOMENINY KLÍČNÍ </t>
  </si>
  <si>
    <t>53117</t>
  </si>
  <si>
    <t>ZAVŘENÁ REPOZICE LUXACE LOKETNÍHO KLOUBU NEBO HLAV</t>
  </si>
  <si>
    <t>53485</t>
  </si>
  <si>
    <t>ZLOMENINY PÁNEVNÍHO KRUHU - NESTABILNÍ - S OPERAČN</t>
  </si>
  <si>
    <t>66821</t>
  </si>
  <si>
    <t>PERKUTÁNNÍ FIXACE K-DRÁTEM</t>
  </si>
  <si>
    <t>51391</t>
  </si>
  <si>
    <t>LAPAROTOMIE A OŠETŘENÍ VÍCEČETNÉHO VISCERÁLNÍHO PO</t>
  </si>
  <si>
    <t>53151</t>
  </si>
  <si>
    <t>OTEVĚNÁ REPOZICE A OSTEOSYNTÉZA ZLOMENINY NEBO LUX</t>
  </si>
  <si>
    <t>66825</t>
  </si>
  <si>
    <t>UPRAVENÍ ZEVNÍHO FIXATÉRU</t>
  </si>
  <si>
    <t>53255</t>
  </si>
  <si>
    <t xml:space="preserve">OTEVŘENÁ REPOZICE A OSTEOSYNTÉZA ZLOMENIN HORNÍHO </t>
  </si>
  <si>
    <t>53417</t>
  </si>
  <si>
    <t>53455</t>
  </si>
  <si>
    <t>OTEVŘENÁ REPOZICE ZLOMENINY KOSTI PATNÍ</t>
  </si>
  <si>
    <t>5F5</t>
  </si>
  <si>
    <t>07267</t>
  </si>
  <si>
    <t>(DRG) ODSTRANĚNÍ KRÁTKO AŽ STŘEDNĚDOBÉ PODPORY SRD</t>
  </si>
  <si>
    <t>51825</t>
  </si>
  <si>
    <t>SEKUNDÁRNÍ SUTURA RÁNY</t>
  </si>
  <si>
    <t>55215</t>
  </si>
  <si>
    <t>MECHANICKÁ SRDEČNÍ PODPORA</t>
  </si>
  <si>
    <t>07258</t>
  </si>
  <si>
    <t>(DRG) ZAVEDENÍ ECMO, PERIFERNÍ KANYLACE</t>
  </si>
  <si>
    <t>07554</t>
  </si>
  <si>
    <t>(DRG) OPERAČNÍ VÝKON S MIMOTĚLNÍM OBĚHEM, PERIFERN</t>
  </si>
  <si>
    <t>5F6</t>
  </si>
  <si>
    <t>56119</t>
  </si>
  <si>
    <t>DEKOMPRESIVNÍ KRANIEKTOMIE</t>
  </si>
  <si>
    <t>65513</t>
  </si>
  <si>
    <t>PŘÍPRAVA FASCIÁLNÍHO A PERIKRANIÁLNÍHO LALOKU K RE</t>
  </si>
  <si>
    <t>66313</t>
  </si>
  <si>
    <t xml:space="preserve">DELIBERACE - ODSTRANĚNÍ ÚTLAKU - DURÁLNÍHO VAKU A </t>
  </si>
  <si>
    <t>66319</t>
  </si>
  <si>
    <t>RESEKCE JINÉ NS ČÁSTI OBRATLE - INTERVERTEBRÁLNÍHO</t>
  </si>
  <si>
    <t>66323</t>
  </si>
  <si>
    <t>PŘEDNÍ RESEKCE OBRATLOVÉHO TĚLA - SOMATEKTOMIE - I</t>
  </si>
  <si>
    <t>66329</t>
  </si>
  <si>
    <t>FŮZE PÁTEŘE - STANDARDNÍ - PŘEDNÍ - INTERSOMATICKÁ</t>
  </si>
  <si>
    <t>66339</t>
  </si>
  <si>
    <t>OPERAČNÍ PŘÍSTUP NA PÁTEŘ - STANDARDNÍ - ZADNÍ SKE</t>
  </si>
  <si>
    <t>66315</t>
  </si>
  <si>
    <t xml:space="preserve">INSTRUMENTACE C, T, L, S PÁTEŘE - PŘEDNÍ I ZADNÍ, </t>
  </si>
  <si>
    <t>66337</t>
  </si>
  <si>
    <t xml:space="preserve">OPERAČNÍ PŘÍSTUP K PÁTEŘI - STANDARDNÍ - PŘEDNÍ - </t>
  </si>
  <si>
    <t>56151</t>
  </si>
  <si>
    <t>TREPANACE PRO EXTRACEREBRÁLNÍ HEMATOM NEBO KRANIOT</t>
  </si>
  <si>
    <t>6F1</t>
  </si>
  <si>
    <t>61147</t>
  </si>
  <si>
    <t>UZAVŘENÍ DEFEKTU KOŽNÍM LALOKEM MÍSTNÍM DO 10 CM^2</t>
  </si>
  <si>
    <t>62710</t>
  </si>
  <si>
    <t>SÍŤOVÁNÍ (MESHOVÁNÍ) ŠTĚPU DO ROZSAHU 5 % Z POVRCH</t>
  </si>
  <si>
    <t>61151</t>
  </si>
  <si>
    <t>UZAVŘENÍ DEFEKTU KOŽNÍM LALOKEM MÍSTNÍM NAD 20 CM^</t>
  </si>
  <si>
    <t>62640</t>
  </si>
  <si>
    <t>ODBĚR DERMOEPIDERMÁLNÍHO ŠTĚPU: 1 - 5 % Z PLOCHY P</t>
  </si>
  <si>
    <t>61135</t>
  </si>
  <si>
    <t>AUTOTRANSPLANTACE KOŽNÍM ŠTĚPEM V PLNÉ TLOUŠTCE DO</t>
  </si>
  <si>
    <t>62440</t>
  </si>
  <si>
    <t>ŠTĚP PŘI POPÁLENÍ (A OSTATNÍCH KOŽNÍCH ZTRÁTÁCH) D</t>
  </si>
  <si>
    <t>6F5</t>
  </si>
  <si>
    <t>04825</t>
  </si>
  <si>
    <t>REPOZICE SUBLUX. ZUBU ČI FRAKTURY ALVEOLU, SEXT.</t>
  </si>
  <si>
    <t>04830</t>
  </si>
  <si>
    <t>SUTURA RÁNY SLIZNICE DO 5 CM, 1 VRSTVA</t>
  </si>
  <si>
    <t>04831</t>
  </si>
  <si>
    <t>SUTURA RÁNY SLIZNICE NAD 5 CM NEBO VÍCE VRSTEV</t>
  </si>
  <si>
    <t>04860</t>
  </si>
  <si>
    <t>IMOBILIZACE ČELISTÍ</t>
  </si>
  <si>
    <t>71653</t>
  </si>
  <si>
    <t>ZAVŘENÁ REPOZICE FRAKTURY KŮSTEK NOSNÍCH</t>
  </si>
  <si>
    <t>65216</t>
  </si>
  <si>
    <t>ODSTRANĚNÍ DENTÁLNÍ DRÁTĚNÉ DLAHY Z VOLNÉ RUKY - J</t>
  </si>
  <si>
    <t>65211</t>
  </si>
  <si>
    <t>OŠETŘENÍ ZLOMENINY ČELISTI DESTIČKOVOU ŠROUBOVANOU</t>
  </si>
  <si>
    <t>65215</t>
  </si>
  <si>
    <t>DENTÁLNÍ DRÁTĚNÁ DLAHA Z VOLNÉ RUKY - JEDNA ČELIST</t>
  </si>
  <si>
    <t>65936</t>
  </si>
  <si>
    <t xml:space="preserve">REPOZICE ZLOMENINY ZYGOMATIKOMAXILÁRNÍHO KOMPLEXU </t>
  </si>
  <si>
    <t>7F1</t>
  </si>
  <si>
    <t>71011</t>
  </si>
  <si>
    <t>7T8</t>
  </si>
  <si>
    <t>0001619</t>
  </si>
  <si>
    <t>0003708</t>
  </si>
  <si>
    <t>ZYVOXID 2 MG/ML INFUZNÍ ROZTOK</t>
  </si>
  <si>
    <t>0003952</t>
  </si>
  <si>
    <t>AMIKIN 500 MG</t>
  </si>
  <si>
    <t>0005113</t>
  </si>
  <si>
    <t>TARGOCID 400 MG</t>
  </si>
  <si>
    <t>0006480</t>
  </si>
  <si>
    <t>OCPLEX</t>
  </si>
  <si>
    <t>0008807</t>
  </si>
  <si>
    <t>0011706</t>
  </si>
  <si>
    <t>0011785</t>
  </si>
  <si>
    <t>AMIKIN 1 G</t>
  </si>
  <si>
    <t>0014570</t>
  </si>
  <si>
    <t>ABELCET</t>
  </si>
  <si>
    <t>0014583</t>
  </si>
  <si>
    <t>TIENAM 500 MG/500 MG I.V.</t>
  </si>
  <si>
    <t>0016547</t>
  </si>
  <si>
    <t>0016600</t>
  </si>
  <si>
    <t>0017810</t>
  </si>
  <si>
    <t>0020605</t>
  </si>
  <si>
    <t>0025746</t>
  </si>
  <si>
    <t>0025901</t>
  </si>
  <si>
    <t>NOVOSEVEN 60 KIU (1,2 MG)</t>
  </si>
  <si>
    <t>0026042</t>
  </si>
  <si>
    <t>KIOVIG 100MG/ML</t>
  </si>
  <si>
    <t>0026127</t>
  </si>
  <si>
    <t>0026902</t>
  </si>
  <si>
    <t>0027429</t>
  </si>
  <si>
    <t>0028137</t>
  </si>
  <si>
    <t>0029191</t>
  </si>
  <si>
    <t>0029194</t>
  </si>
  <si>
    <t>NEUROBLOC 5 000 IU/ML</t>
  </si>
  <si>
    <t>0029428</t>
  </si>
  <si>
    <t>0031547</t>
  </si>
  <si>
    <t>0045119</t>
  </si>
  <si>
    <t>VISIPAQUE 270 MG I/ML</t>
  </si>
  <si>
    <t>0047064</t>
  </si>
  <si>
    <t>TAVANIC I.V.</t>
  </si>
  <si>
    <t>0049193</t>
  </si>
  <si>
    <t>CEFTAX 1000</t>
  </si>
  <si>
    <t>0053922</t>
  </si>
  <si>
    <t>0058092</t>
  </si>
  <si>
    <t>0059830</t>
  </si>
  <si>
    <t>CIPRINOL 200 MG/100 ML</t>
  </si>
  <si>
    <t>HAEMOCOMPLETTAN P</t>
  </si>
  <si>
    <t>0064946</t>
  </si>
  <si>
    <t>DIFLUCAN I.V.</t>
  </si>
  <si>
    <t>0065980</t>
  </si>
  <si>
    <t>DOTAREM</t>
  </si>
  <si>
    <t>0065989</t>
  </si>
  <si>
    <t>0066020</t>
  </si>
  <si>
    <t>AUGMENTIN 1,2 G</t>
  </si>
  <si>
    <t>0066137</t>
  </si>
  <si>
    <t>0072972</t>
  </si>
  <si>
    <t>0075634</t>
  </si>
  <si>
    <t>PROTHROMPLEX TOTAL NF</t>
  </si>
  <si>
    <t>0076353</t>
  </si>
  <si>
    <t>FORTUM 1 G</t>
  </si>
  <si>
    <t>0076354</t>
  </si>
  <si>
    <t>FORTUM 2 G</t>
  </si>
  <si>
    <t>0076360</t>
  </si>
  <si>
    <t>0083050</t>
  </si>
  <si>
    <t>0083417</t>
  </si>
  <si>
    <t>MERONEM 1 G</t>
  </si>
  <si>
    <t>0085515</t>
  </si>
  <si>
    <t>FLEBOGAMMA 5%</t>
  </si>
  <si>
    <t>0087199</t>
  </si>
  <si>
    <t>MAXIPIME 1 G</t>
  </si>
  <si>
    <t>0091148</t>
  </si>
  <si>
    <t>VULMIZOLIN 1,0</t>
  </si>
  <si>
    <t>0092289</t>
  </si>
  <si>
    <t>0092290</t>
  </si>
  <si>
    <t>0093173</t>
  </si>
  <si>
    <t>ANTITHROMBIN III IMMUNO</t>
  </si>
  <si>
    <t>0094155</t>
  </si>
  <si>
    <t>ABAKTAL 400 MG/5 ML</t>
  </si>
  <si>
    <t>0096414</t>
  </si>
  <si>
    <t>0097000</t>
  </si>
  <si>
    <t>METRONIDAZOLE 0.5%-POLPHARMA</t>
  </si>
  <si>
    <t>0097909</t>
  </si>
  <si>
    <t>HUMAN ALBUMIN GRIFOLS 20%</t>
  </si>
  <si>
    <t>0097910</t>
  </si>
  <si>
    <t>0098212</t>
  </si>
  <si>
    <t>0104051</t>
  </si>
  <si>
    <t>HUMAN ALBUMIN 200 G/L BAXTER</t>
  </si>
  <si>
    <t>0119095</t>
  </si>
  <si>
    <t>FLEXBUMIN 200 G/L</t>
  </si>
  <si>
    <t>0121238</t>
  </si>
  <si>
    <t>0129767</t>
  </si>
  <si>
    <t>0130149</t>
  </si>
  <si>
    <t>0131654</t>
  </si>
  <si>
    <t>0131656</t>
  </si>
  <si>
    <t>0137499</t>
  </si>
  <si>
    <t>0156259</t>
  </si>
  <si>
    <t>VANCOMYCIN KABI 1000 MG</t>
  </si>
  <si>
    <t>0162187</t>
  </si>
  <si>
    <t>0164350</t>
  </si>
  <si>
    <t>TAZOCIN 4 G/0,5 G</t>
  </si>
  <si>
    <t>0500720</t>
  </si>
  <si>
    <t>0087200</t>
  </si>
  <si>
    <t>MAXIPIME 2 G</t>
  </si>
  <si>
    <t>0193477</t>
  </si>
  <si>
    <t>ZINFORO 600 MG</t>
  </si>
  <si>
    <t>0027431</t>
  </si>
  <si>
    <t>0149384</t>
  </si>
  <si>
    <t>2</t>
  </si>
  <si>
    <t>0007901</t>
  </si>
  <si>
    <t>0007905</t>
  </si>
  <si>
    <t>0007917</t>
  </si>
  <si>
    <t>0007955</t>
  </si>
  <si>
    <t>0007963</t>
  </si>
  <si>
    <t>0107931</t>
  </si>
  <si>
    <t>0107936</t>
  </si>
  <si>
    <t>0107959</t>
  </si>
  <si>
    <t>0207921</t>
  </si>
  <si>
    <t>0407942</t>
  </si>
  <si>
    <t>0001018</t>
  </si>
  <si>
    <t>ŠROUB SAMOŘEZNÝ KORTIKÁLNÍ MALÝ FRAGMENTY OCEL</t>
  </si>
  <si>
    <t>0001027</t>
  </si>
  <si>
    <t>0001052</t>
  </si>
  <si>
    <t>DLAHA LC-DCP ROVNÁ MALÉ FRAGMENT OCEL</t>
  </si>
  <si>
    <t>0001154</t>
  </si>
  <si>
    <t>ŠROUB SAMOŘEZNÝ KORTIKÁLNÍ RUKA OCEL</t>
  </si>
  <si>
    <t>0001588</t>
  </si>
  <si>
    <t>ŠROUB SAMOŘEZNÝ KORTIKÁLNÍ MALÝ FRAGMENTY TITAN</t>
  </si>
  <si>
    <t>0001739</t>
  </si>
  <si>
    <t>DRÁT KIRSCHNERŮV OCEL</t>
  </si>
  <si>
    <t>0002264</t>
  </si>
  <si>
    <t>FIXÁTOR ZEVNÍ TRUBKOVÝ, SYNTHES</t>
  </si>
  <si>
    <t>0002425</t>
  </si>
  <si>
    <t>0002584</t>
  </si>
  <si>
    <t>ŠROUB SAMOŘEZNÝ KORTIKÁLNÍ PÁNEV OCEL</t>
  </si>
  <si>
    <t>0003008</t>
  </si>
  <si>
    <t>DLAHA ROVNÁ REKONSTRUKČNÍ PÁNEV MALÝ FRAGMENT OCEL</t>
  </si>
  <si>
    <t>0004070</t>
  </si>
  <si>
    <t>ŠROUB LCP A VA-LCP SAMOŘEZNÝ MALÝ FRAGMENT OCEL</t>
  </si>
  <si>
    <t>0004073</t>
  </si>
  <si>
    <t>0004077</t>
  </si>
  <si>
    <t>0004080</t>
  </si>
  <si>
    <t>0004085</t>
  </si>
  <si>
    <t>0010767</t>
  </si>
  <si>
    <t>0012996</t>
  </si>
  <si>
    <t>ZÁSOBNÍK DO LINEÁRNÍHO STAPLERU S BŘITEM TCR,TVR,T</t>
  </si>
  <si>
    <t>0012999</t>
  </si>
  <si>
    <t>STAPLER LINEÁRNÍ S BŘITEM TCT55 TLC55</t>
  </si>
  <si>
    <t>0013004</t>
  </si>
  <si>
    <t>STAPLER LINEÁRNÍ TX 60B TX60G</t>
  </si>
  <si>
    <t>0013009</t>
  </si>
  <si>
    <t>ZÁSOBNÍK DO LINEÁRNÍHO STAPLERU S BŘITEM TCR75,TRT</t>
  </si>
  <si>
    <t>0013010</t>
  </si>
  <si>
    <t>STAPLER LINEÁRNÍ S BŘITEM TCT75,TLC75,TCD75</t>
  </si>
  <si>
    <t>0017419</t>
  </si>
  <si>
    <t>PODLOŽKA OCEL</t>
  </si>
  <si>
    <t>0017422</t>
  </si>
  <si>
    <t>ŠROUB KORTIKÁLNÍ VELKÝ FRAGMENT OCEL</t>
  </si>
  <si>
    <t>0017424</t>
  </si>
  <si>
    <t>0017486</t>
  </si>
  <si>
    <t>ŠROUB VELKÝ FRAGMENT MALEOLÁRNÍ OCEL</t>
  </si>
  <si>
    <t>0017492</t>
  </si>
  <si>
    <t>ŠROUB KANYLOVANÝ MALÝ FRAGMENT OCEL</t>
  </si>
  <si>
    <t>0017743</t>
  </si>
  <si>
    <t>0017745</t>
  </si>
  <si>
    <t>0017751</t>
  </si>
  <si>
    <t>0024993</t>
  </si>
  <si>
    <t>KOTVIČKA TITANOVÁ GII SNAP-PAK PRO STABILIZACI RAM</t>
  </si>
  <si>
    <t>0027766</t>
  </si>
  <si>
    <t>DLAHA LCP ROVNÁ VELKÝ FRAGMENT OCEL</t>
  </si>
  <si>
    <t>0027807</t>
  </si>
  <si>
    <t>DLAHA ROVNÁ LCP REKONSTRUKČNÍ MALÝ FRAGMENT OCEL</t>
  </si>
  <si>
    <t>0027816</t>
  </si>
  <si>
    <t>0030400</t>
  </si>
  <si>
    <t>ŠROUB LCP SAMOŘEZNÝ VELKÝ FRAGMENT OCEL</t>
  </si>
  <si>
    <t>0030409</t>
  </si>
  <si>
    <t>0030415</t>
  </si>
  <si>
    <t>0031487</t>
  </si>
  <si>
    <t>ŠROUB LCP SAMOŘEZNÝ MINI FRAGMENT TITAN</t>
  </si>
  <si>
    <t>0031495</t>
  </si>
  <si>
    <t>DLAHA LCP FEMUR DISTÁLNÍ VELKÝ FRAGMENT OCEL TITAN</t>
  </si>
  <si>
    <t>0035069</t>
  </si>
  <si>
    <t>ŠROUB SAMOVRTNÝ XC, OSTEOTITE, STERILNÍ 9961XXXX</t>
  </si>
  <si>
    <t>0037138</t>
  </si>
  <si>
    <t>PROTÉZA GORE-TEX CÉVNÍ - PRUŽNÁ TENKOSTĚNNÁ</t>
  </si>
  <si>
    <t>0037145</t>
  </si>
  <si>
    <t>0043984</t>
  </si>
  <si>
    <t>ČIDLO PRO MĚŘENÍ NITROLEBNÍHO TLAKU NEUROVENT</t>
  </si>
  <si>
    <t>0046892</t>
  </si>
  <si>
    <t>PROTÉZA CÉVNÍ GELSOFT PLUS DÉLKA 40 CM</t>
  </si>
  <si>
    <t>0046894</t>
  </si>
  <si>
    <t>PROTÉZA CÉVNÍ GELSOFT PLUS DÉLKA 30/25 CM</t>
  </si>
  <si>
    <t>0046896</t>
  </si>
  <si>
    <t>PROTÉZA CÉVNÍ GELSOFT PLUS DÉLKA 15 CM</t>
  </si>
  <si>
    <t>0046898</t>
  </si>
  <si>
    <t>PROTÉZA CÉVNÍ BIF.GELSOFT PLUS DÉLKA 45CM</t>
  </si>
  <si>
    <t>0048989</t>
  </si>
  <si>
    <t>ELEKTRODA KOAGULAČNÍ JEDNORÁZOVÁ GN211</t>
  </si>
  <si>
    <t>0049488</t>
  </si>
  <si>
    <t>STAPLER LINEÁRNÍ -  ECHELON, ETS FLEX 45MM,60MM, D</t>
  </si>
  <si>
    <t>0049489</t>
  </si>
  <si>
    <t>ZÁSOBNÍK DO STAPLERU - ECHELON, ETS FLEX BÍLÝ,MODR</t>
  </si>
  <si>
    <t>0050306</t>
  </si>
  <si>
    <t>ČIDLO PRO MĚŘENÍ NITROLEBNÍHO TLAKU CODMAN</t>
  </si>
  <si>
    <t>0053464</t>
  </si>
  <si>
    <t>STAPLER LINEÁRNÍ-BEZ ZÁSOBNÍKU - ENDO GIA - UNIVER</t>
  </si>
  <si>
    <t>0053801</t>
  </si>
  <si>
    <t>ECMO - OXYGENÁTOR,PLS-SYSTÉM DLOUHODOBÉ ŽIVOTNÍ PO</t>
  </si>
  <si>
    <t>0056291</t>
  </si>
  <si>
    <t>KATETR BALONKOVÝ FOGARTY 120804F</t>
  </si>
  <si>
    <t>0056292</t>
  </si>
  <si>
    <t>KATETR BALONKOVÝ FOGARTY 120805F</t>
  </si>
  <si>
    <t>0056293</t>
  </si>
  <si>
    <t>KATETR BALONKOVÝ FOGARTY 120806F</t>
  </si>
  <si>
    <t>0056302</t>
  </si>
  <si>
    <t>KATETR BALONKOVÝ FOGARTY TRU-LUMEN 12TLW806F</t>
  </si>
  <si>
    <t>0056303</t>
  </si>
  <si>
    <t>KATETR BALONKOVÝ FOGARTY TRU-LUMEN 12TLW807F</t>
  </si>
  <si>
    <t>0058388</t>
  </si>
  <si>
    <t>KLÍNOVITÁ RESEKCE PLIC DRG 90842</t>
  </si>
  <si>
    <t>0058755</t>
  </si>
  <si>
    <t>VODIČ DRÁTĚNÝ ROADRUNNER</t>
  </si>
  <si>
    <t>0058922</t>
  </si>
  <si>
    <t>SADA PRO BILIÁRNÍ DRENÁŽ</t>
  </si>
  <si>
    <t>0059542</t>
  </si>
  <si>
    <t>OBĚH MIMOTĚLNÍ - OXYGENÁTOR SADA - KANYLA FEMOR.AR</t>
  </si>
  <si>
    <t>0059543</t>
  </si>
  <si>
    <t>OXYGENÁTOR-SADA:KANYLA FEMOR.ARTER./VENÓZNÍ RMI</t>
  </si>
  <si>
    <t>0069195</t>
  </si>
  <si>
    <t>IMPLANTÁT KOSTNÍ UMĚLÁ NÁHRADA ŠTĚPU CONDUIT VSTŘE</t>
  </si>
  <si>
    <t>0069283</t>
  </si>
  <si>
    <t xml:space="preserve">IMPLANTÁT SPINÁLNÍ SYSTÉM AXON                    </t>
  </si>
  <si>
    <t>0069284</t>
  </si>
  <si>
    <t>0069500</t>
  </si>
  <si>
    <t>KANYLA TRACHEOSTOMICKÁ  S NÍZKOTLAKOU  MANŽETOU</t>
  </si>
  <si>
    <t>0070875</t>
  </si>
  <si>
    <t>ČEP SAMOŘEZNÝ JISTÍCÍ TITAN</t>
  </si>
  <si>
    <t>0070900</t>
  </si>
  <si>
    <t>HŘEB HUMERUS TITAN</t>
  </si>
  <si>
    <t>0070920</t>
  </si>
  <si>
    <t>ZASLEPOVACÍ HLAVA HUMERUS PRODLUŽOVACÍ TITAN</t>
  </si>
  <si>
    <t>0071586</t>
  </si>
  <si>
    <t>FIXÁTOR HYBRIDNÍ KRUHOVÝ</t>
  </si>
  <si>
    <t>0071591</t>
  </si>
  <si>
    <t>0071595</t>
  </si>
  <si>
    <t>0071596</t>
  </si>
  <si>
    <t>0071602</t>
  </si>
  <si>
    <t>0073615</t>
  </si>
  <si>
    <t>DLAHA ADAPTAČNÍ  MINI FRAGMENT MINI FRAGMENT TITAN</t>
  </si>
  <si>
    <t>0073660</t>
  </si>
  <si>
    <t>0073679</t>
  </si>
  <si>
    <t>0077759</t>
  </si>
  <si>
    <t>HŘEB HUMERÁLNÍ PROXIMÁLNÍ NITRODŘEŇOVÝ TITANOVÝ TA</t>
  </si>
  <si>
    <t>0077761</t>
  </si>
  <si>
    <t>ŠROUB ZAJIŠŤOVACÍ  TITANOVÝ TARGON PH/H</t>
  </si>
  <si>
    <t>0077762</t>
  </si>
  <si>
    <t>0081997</t>
  </si>
  <si>
    <t>V.A.C. ATS SBĚRNÁ NÁDOBA S GELEM</t>
  </si>
  <si>
    <t>0081999</t>
  </si>
  <si>
    <t>V.A.C.GRANUFOAM(PU PĚNA) VELIKOST S</t>
  </si>
  <si>
    <t>0082000</t>
  </si>
  <si>
    <t>V.A.C.GRANUFOAM(PU PĚNA) VELIKOST M</t>
  </si>
  <si>
    <t>0082001</t>
  </si>
  <si>
    <t>V.A.C.GRANUFOAM(PU PĚNA) VELIKOST L</t>
  </si>
  <si>
    <t>0082002</t>
  </si>
  <si>
    <t>V.A.C.GRANUFOAM(PU PĚNA) VELIKOST XL</t>
  </si>
  <si>
    <t>0082509</t>
  </si>
  <si>
    <t>0082513</t>
  </si>
  <si>
    <t>0082517</t>
  </si>
  <si>
    <t>0083205</t>
  </si>
  <si>
    <t>DLAHA LCP PÁNEV SYMFÝZA OCEL</t>
  </si>
  <si>
    <t>0083228</t>
  </si>
  <si>
    <t>DLAHA LCP TIBIE DISTÁLNÍ MEDIÁLNÍ MALÝ FRAGMENT OC</t>
  </si>
  <si>
    <t>0083233</t>
  </si>
  <si>
    <t>0092260</t>
  </si>
  <si>
    <t>SYSTÉM MONITOROVACÍ INTRAKRANIÁLNÍ TKÁŇOVÁ O2 INTE</t>
  </si>
  <si>
    <t>0096269</t>
  </si>
  <si>
    <t xml:space="preserve">IMPLANTÁT SPINÁLNÍ OC-FUSION FUZE.OKCIPIT/OBRATEL </t>
  </si>
  <si>
    <t>0096271</t>
  </si>
  <si>
    <t>0096272</t>
  </si>
  <si>
    <t>0099076</t>
  </si>
  <si>
    <t>HŘEB FEMORÁLNÍ PROXIMÁLNÍ, TI</t>
  </si>
  <si>
    <t>0099081</t>
  </si>
  <si>
    <t>ŠROUB KOTVÍCÍ, TI</t>
  </si>
  <si>
    <t>0105308</t>
  </si>
  <si>
    <t>DLAHA FIBULÁRNÍ, ÚHL.STAB.,TI</t>
  </si>
  <si>
    <t>0105325</t>
  </si>
  <si>
    <t>ŠROUB KORTIKÁLNÍ, HS3.0, SAMOŘEZNÝ, ÚHL.STAB.,TI</t>
  </si>
  <si>
    <t>0105904</t>
  </si>
  <si>
    <t>ŠROUB LCP VARIABILNÍ ÚHEL TITAN</t>
  </si>
  <si>
    <t>0107502</t>
  </si>
  <si>
    <t>DLAHA LCP RADIUS DISTÁLNÍ TITAN</t>
  </si>
  <si>
    <t>0108123</t>
  </si>
  <si>
    <t>DLAHA ŽEBRA TITAN</t>
  </si>
  <si>
    <t>0108124</t>
  </si>
  <si>
    <t>0108126</t>
  </si>
  <si>
    <t>ŠROUB SAMOŘEZNÝ ŽEBRA TITAN</t>
  </si>
  <si>
    <t>0110101</t>
  </si>
  <si>
    <t>HŘEB KLAVIKULÁRNÍ, STATICKÝ</t>
  </si>
  <si>
    <t>0151021</t>
  </si>
  <si>
    <t>0163241</t>
  </si>
  <si>
    <t xml:space="preserve">IMPLANTÁT MAXILLOFACIÁLNÍ STŘEDNÍ OBLIČEJOVÁ ETÁŽ </t>
  </si>
  <si>
    <t>0163243</t>
  </si>
  <si>
    <t>0163244</t>
  </si>
  <si>
    <t>0163249</t>
  </si>
  <si>
    <t>0163251</t>
  </si>
  <si>
    <t>0163261</t>
  </si>
  <si>
    <t>0163264</t>
  </si>
  <si>
    <t>0163266</t>
  </si>
  <si>
    <t>0073963</t>
  </si>
  <si>
    <t>0099483</t>
  </si>
  <si>
    <t>ŠROUB KONDYLÁRNÍ PR. 5MM, TI</t>
  </si>
  <si>
    <t>0046873</t>
  </si>
  <si>
    <t>PROTÉZA CÉVNÍ BIFURKACE,DÉLKA 45CM,GELSOFT</t>
  </si>
  <si>
    <t>0037484</t>
  </si>
  <si>
    <t>FIXÁTOR ZEVNÍ SVORKA HLEZNA KLOUBOVÁ      ORTHOFIX</t>
  </si>
  <si>
    <t>00651</t>
  </si>
  <si>
    <t>OD TYPU 51 - PRO NEMOCNICE TYPU 3, (KATEGORIE 6) -</t>
  </si>
  <si>
    <t>00655</t>
  </si>
  <si>
    <t>OD TYPU 55 - PRO NEMOCNICE TYPU 3, (KATEGORIE 6) -</t>
  </si>
  <si>
    <t>18580</t>
  </si>
  <si>
    <t>PLAZMAFERÉZA MEMBRÁNOVÁ</t>
  </si>
  <si>
    <t>78813</t>
  </si>
  <si>
    <t>CVVH - KONTINUÁLNÍ VENOVENÓZNÍ HEMOFILTRACE</t>
  </si>
  <si>
    <t>00880</t>
  </si>
  <si>
    <t>ROZLIŠENÍ VYKÁZANÉ HOSPITALIZACE JAKO: = NOVÁ HOSP</t>
  </si>
  <si>
    <t>00881</t>
  </si>
  <si>
    <t>ROZLIŠENÍ VYKÁZANÉ HOSPITALIZACE JAKO: = POKRAČOVÁ</t>
  </si>
  <si>
    <t>90901</t>
  </si>
  <si>
    <t>(DRG) DOBA TRVÁNÍ UMĚLÉ PLICNÍ VENTILACE DO 24 HOD</t>
  </si>
  <si>
    <t>90902</t>
  </si>
  <si>
    <t xml:space="preserve">(DRG) DOBA TRVÁNÍ UMĚLÉ PLICNÍ VENTILACE VÍCE NEŽ </t>
  </si>
  <si>
    <t>99981</t>
  </si>
  <si>
    <t xml:space="preserve">(VZP) PACIENT HOSPITALIZOVANÝ V LŮŽKOVÉM ZAŘÍZENÍ </t>
  </si>
  <si>
    <t>90906</t>
  </si>
  <si>
    <t>90903</t>
  </si>
  <si>
    <t>99999</t>
  </si>
  <si>
    <t>Nespecifikovany vykon</t>
  </si>
  <si>
    <t>00653</t>
  </si>
  <si>
    <t>OD TYPU 53 - PRO NEMOCNICE TYPU 3, (KATEGORIE 6) -</t>
  </si>
  <si>
    <t>00657</t>
  </si>
  <si>
    <t>OD TYPU 57 - PRO NEMOCNICE TYPU 3, (KATEGORIE 6) -</t>
  </si>
  <si>
    <t>90904</t>
  </si>
  <si>
    <t>00652</t>
  </si>
  <si>
    <t>OD TYPU 52 - PRO NEMOCNICE TYPU 3, (KATEGORIE 6) -</t>
  </si>
  <si>
    <t>78880</t>
  </si>
  <si>
    <t xml:space="preserve">PÉČE O DÁRCE ORGÁNU, SPOLUPRÁCE S TRANSPLANTAČNÍM </t>
  </si>
  <si>
    <t>99980</t>
  </si>
  <si>
    <t>(VZP) PACIENT S DIAGNOSTIKOVANÝM POLYTRAUMATEM S I</t>
  </si>
  <si>
    <t>78021</t>
  </si>
  <si>
    <t>KOMPLEXNÍ VYŠETŘENÍ ANESTEZIOLOGEM</t>
  </si>
  <si>
    <t>90905</t>
  </si>
  <si>
    <t>809</t>
  </si>
  <si>
    <t>08</t>
  </si>
  <si>
    <t>78232</t>
  </si>
  <si>
    <t>78231</t>
  </si>
  <si>
    <t>09</t>
  </si>
  <si>
    <t>10</t>
  </si>
  <si>
    <t>11</t>
  </si>
  <si>
    <t>12</t>
  </si>
  <si>
    <t>13</t>
  </si>
  <si>
    <t>14</t>
  </si>
  <si>
    <t>16</t>
  </si>
  <si>
    <t>17</t>
  </si>
  <si>
    <t>18</t>
  </si>
  <si>
    <t>20</t>
  </si>
  <si>
    <t>21</t>
  </si>
  <si>
    <t>25</t>
  </si>
  <si>
    <t>26</t>
  </si>
  <si>
    <t>29</t>
  </si>
  <si>
    <t>30</t>
  </si>
  <si>
    <t>31</t>
  </si>
  <si>
    <t>32</t>
  </si>
  <si>
    <t>50</t>
  </si>
  <si>
    <t>78812</t>
  </si>
  <si>
    <t>ISOVOLEMICKÁ HEMODILUCE</t>
  </si>
  <si>
    <t>78810</t>
  </si>
  <si>
    <t>ZAVEDENÁ HYPOTENZE</t>
  </si>
  <si>
    <t>59</t>
  </si>
  <si>
    <t>78830</t>
  </si>
  <si>
    <t>ZAVEDENÍ INTRAJEJUNÁLNÍ SONDY PRO ENTERÁLNÍ VÝŽIVU</t>
  </si>
  <si>
    <t>Zdravotní výkony vykázané na pracovišti pro pacienty hospitalizované ve FNOL - orientační přehled</t>
  </si>
  <si>
    <t>00043</t>
  </si>
  <si>
    <t>A</t>
  </si>
  <si>
    <t xml:space="preserve">DLOUHODOBÁ MECHANICKÁ VENTILACE &gt; 240 HODIN (11-21 DNÍ) S MCC                                       </t>
  </si>
  <si>
    <t>00053</t>
  </si>
  <si>
    <t xml:space="preserve">DLOUHODOBÁ MECHANICKÁ VENTILACE &gt; 96 HODIN (5-10 DNÍ) S MCC                                         </t>
  </si>
  <si>
    <t>00100</t>
  </si>
  <si>
    <t xml:space="preserve">DLOUHODOBÁ MECHANICKÁ VENTILACE &gt; 504 HODIN (22-42 DNÍ) S EKONOMICKY NÁROČNÝM VÝKONEM               </t>
  </si>
  <si>
    <t>00110</t>
  </si>
  <si>
    <t xml:space="preserve">DLOUHODOBÁ MECHANICKÁ VENTILACE &gt; 504 HODIN (22-42 DNÍ)                                             </t>
  </si>
  <si>
    <t>00122</t>
  </si>
  <si>
    <t xml:space="preserve">DLOUHODOBÁ MECHANICKÁ VENTILACE &gt; 240 HODIN (11-21 DNÍ) S EKONOMICKY NÁROČNÝM VÝKONEM S CC          </t>
  </si>
  <si>
    <t>00123</t>
  </si>
  <si>
    <t xml:space="preserve">DLOUHODOBÁ MECHANICKÁ VENTILACE &gt; 240 HODIN (11-21 DNÍ) S EKONOMICKY NÁROČNÝM VÝKONEM S MCC         </t>
  </si>
  <si>
    <t>00132</t>
  </si>
  <si>
    <t xml:space="preserve">DLOUHODOBÁ MECHANICKÁ VENTILACE &gt; 96 HODIN (5-10 DNÍ) S EKONOMICKY NÁROČNÝM VÝKONEM S CC            </t>
  </si>
  <si>
    <t>00133</t>
  </si>
  <si>
    <t xml:space="preserve">DLOUHODOBÁ MECHANICKÁ VENTILACE &gt; 96 HODIN (5-10 DNÍ) S EKONOMICKY NÁROČNÝM VÝKONEM S MCC           </t>
  </si>
  <si>
    <t>01013</t>
  </si>
  <si>
    <t xml:space="preserve">KRANIOTOMIE S MCC                                                                                   </t>
  </si>
  <si>
    <t>01313</t>
  </si>
  <si>
    <t xml:space="preserve">MALIGNÍ ONEMOCNĚNÍ. NĚKTERÉ INFEKCE A DEGENERATIVNÍ PORUCHY NERVOVÉHO SYSTÉMU S MCC                 </t>
  </si>
  <si>
    <t>01332</t>
  </si>
  <si>
    <t xml:space="preserve">NETRAUMATICKÉ INTRAKRANIÁLNÍ KRVÁCENÍ S CC                                                          </t>
  </si>
  <si>
    <t>01333</t>
  </si>
  <si>
    <t xml:space="preserve">NETRAUMATICKÉ INTRAKRANIÁLNÍ KRVÁCENÍ S MCC                                                         </t>
  </si>
  <si>
    <t>01343</t>
  </si>
  <si>
    <t xml:space="preserve">CÉVNÍ MOZKOVÁ PŘÍHODA S INFARKTEM S MCC                                                             </t>
  </si>
  <si>
    <t>01353</t>
  </si>
  <si>
    <t xml:space="preserve">NESPECIFICKÁ CÉVNÍ MOZKOVÁ PŘÍHODA A PRECEREBRÁLNÍ OKLUZE BEZ INFARKTU S MCC                        </t>
  </si>
  <si>
    <t>01411</t>
  </si>
  <si>
    <t xml:space="preserve">NETRAUMATICKÁ PORUCHA VĚDOMÍ A KÓMA BEZ CC                                                          </t>
  </si>
  <si>
    <t>01413</t>
  </si>
  <si>
    <t xml:space="preserve">NETRAUMATICKÁ PORUCHA VĚDOMÍ A KÓMA S MCC                                                           </t>
  </si>
  <si>
    <t>01423</t>
  </si>
  <si>
    <t xml:space="preserve">EPILEPTICKÝ ZÁCHVAT S MCC                                                                           </t>
  </si>
  <si>
    <t>01443</t>
  </si>
  <si>
    <t xml:space="preserve">KRANIÁLNÍ A INTRAKRANIÁLNÍ PORANĚNÍ S MCC                                                           </t>
  </si>
  <si>
    <t>04033</t>
  </si>
  <si>
    <t xml:space="preserve">JINÉ VÝKONY PŘI PORUCHÁCH A ONEMOCNĚNÍCH DÝCHACÍHO SYSTÉMU S MCC                                    </t>
  </si>
  <si>
    <t>04310</t>
  </si>
  <si>
    <t xml:space="preserve">RESPIRAČNÍ SELHÁNÍ                                                                                  </t>
  </si>
  <si>
    <t>04323</t>
  </si>
  <si>
    <t xml:space="preserve">PLICNÍ EMBOLIE S MCC                                                                                </t>
  </si>
  <si>
    <t>04343</t>
  </si>
  <si>
    <t xml:space="preserve">MALIGNÍ ONEMOCNĚNÍ DÝCHACÍHO SYSTÉMU S MCC                                                          </t>
  </si>
  <si>
    <t>04353</t>
  </si>
  <si>
    <t xml:space="preserve">INFEKCE A ZÁNĚTY DÝCHACÍHO SYSTÉMU S MCC                                                            </t>
  </si>
  <si>
    <t>04362</t>
  </si>
  <si>
    <t xml:space="preserve">PROSTÁ PNEUMONIE A DÁVIVÝ KAŠEL S CC                                                                </t>
  </si>
  <si>
    <t>04363</t>
  </si>
  <si>
    <t xml:space="preserve">PROSTÁ PNEUMONIE A DÁVIVÝ KAŠEL S MCC                                                               </t>
  </si>
  <si>
    <t>04372</t>
  </si>
  <si>
    <t xml:space="preserve">CHRONICKÁ OBSTRUKTIVNÍ PLICNÍ NEMOC S CC                                                            </t>
  </si>
  <si>
    <t>05000</t>
  </si>
  <si>
    <t xml:space="preserve">ÚMRTÍ DO 5 DNÍ OD PŘÍJMU PŘI HLAVNÍ DIAGNÓZE OBĚHOVÉHO SYSTÉMU                                      </t>
  </si>
  <si>
    <t>05092</t>
  </si>
  <si>
    <t xml:space="preserve">VELKÉ ABDOMINÁLNÍ VASKULÁRNÍ VÝKONY S CC                                                            </t>
  </si>
  <si>
    <t>05093</t>
  </si>
  <si>
    <t xml:space="preserve">VELKÉ ABDOMINÁLNÍ VASKULÁRNÍ VÝKONY S MCC                                                           </t>
  </si>
  <si>
    <t>05103</t>
  </si>
  <si>
    <t xml:space="preserve">JINÉ PERKUTÁNNÍ KARDIOVASKULÁRNÍ VÝKONY PŘI AKUTNÍM INFARKTU MYOKARDU S MCC                         </t>
  </si>
  <si>
    <t>05113</t>
  </si>
  <si>
    <t xml:space="preserve">IMPLANTACE TRVALÉHO KARDIOSTIMULÁTORU BEZ AKUTNÍHO INFARKTU MYOKARDU. SELHÁNÍ SRDCE NEBO ŠOKU S MCC </t>
  </si>
  <si>
    <t>05333</t>
  </si>
  <si>
    <t xml:space="preserve">AKUTNÍ INFARKT MYOKARDU S MCC                                                                       </t>
  </si>
  <si>
    <t>05353</t>
  </si>
  <si>
    <t xml:space="preserve">SRDEČNÍ SELHÁNÍ S MCC                                                                               </t>
  </si>
  <si>
    <t>05372</t>
  </si>
  <si>
    <t xml:space="preserve">NEOBJASNĚNÁ SRDEČNÍ ZÁSTAVA S CC                                                                    </t>
  </si>
  <si>
    <t>05373</t>
  </si>
  <si>
    <t xml:space="preserve">NEOBJASNĚNÁ SRDEČNÍ ZÁSTAVA S MCC                                                                   </t>
  </si>
  <si>
    <t>05393</t>
  </si>
  <si>
    <t xml:space="preserve">ATEROSKLERÓZA S MCC                                                                                 </t>
  </si>
  <si>
    <t>06013</t>
  </si>
  <si>
    <t xml:space="preserve">VELKÉ VÝKONY NA TLUSTÉM A TENKÉM STŘEVU S MCC                                                       </t>
  </si>
  <si>
    <t>06023</t>
  </si>
  <si>
    <t xml:space="preserve">VELKÉ VÝKONY NA ŽALUDKU. JÍCNU A DVANÁCTNÍKU S MCC                                                  </t>
  </si>
  <si>
    <t>06103</t>
  </si>
  <si>
    <t xml:space="preserve">JINÉ VÝKONY PŘI PORUCHÁCH A ONEMOCNĚNÍCH TRÁVICÍHO SYSTÉMU S MCC                                    </t>
  </si>
  <si>
    <t>07013</t>
  </si>
  <si>
    <t xml:space="preserve">VÝKONY NA PANKREATU. JÁTRECH A SPOJKY S MCC                                                         </t>
  </si>
  <si>
    <t>07303</t>
  </si>
  <si>
    <t xml:space="preserve">CIRHÓZA A ALKOHOLICKÁ HEPATITIDA S MCC                                                              </t>
  </si>
  <si>
    <t>07323</t>
  </si>
  <si>
    <t xml:space="preserve">PORUCHY PANKREATU. KROMĚ MALIGNÍHO ONEMOCNĚNÍ S MCC                                                 </t>
  </si>
  <si>
    <t>07333</t>
  </si>
  <si>
    <t xml:space="preserve">PORUCHY JATER. KROMĚ MALIGNÍ CIRHÓZY A ALKOHOLICKÉ HEPATITIDY S MCC                                 </t>
  </si>
  <si>
    <t>08043</t>
  </si>
  <si>
    <t xml:space="preserve">VELKÉ VÝKONY REPLANTACE DOLNÍCH KONČETIN A JEJICH KLOUBŮ S MCC                                      </t>
  </si>
  <si>
    <t>08083</t>
  </si>
  <si>
    <t xml:space="preserve">VÝKONY NA KYČLÍCH A STEHENNÍ KOSTI. KROMĚ REPLANTACE VELKÝCH KLOUBŮ S MCC                           </t>
  </si>
  <si>
    <t>10303</t>
  </si>
  <si>
    <t xml:space="preserve">DIABETES. NUTRIČNÍ A JINÉ METABOLICKÉ PORUCHY S MCC                                                 </t>
  </si>
  <si>
    <t>11023</t>
  </si>
  <si>
    <t xml:space="preserve">VELKÉ VÝKONY NA MOČOVÉM MĚCHÝŘI S MCC                                                               </t>
  </si>
  <si>
    <t>16343</t>
  </si>
  <si>
    <t xml:space="preserve">JINÉ PORUCHY KRVE A KRVETVORNÝCH ORGÁNŮ S MCC                                                       </t>
  </si>
  <si>
    <t>17303</t>
  </si>
  <si>
    <t xml:space="preserve">AKUTNÍ LEUKÉMIE S MCC                                                                               </t>
  </si>
  <si>
    <t>17313</t>
  </si>
  <si>
    <t xml:space="preserve">LYMFOM A NEAKUTNÍ LEUKÉMIE S MCC                                                                    </t>
  </si>
  <si>
    <t>18013</t>
  </si>
  <si>
    <t xml:space="preserve">VÝKONY PRO INFEKČNÍ A PARAZITÁRNÍ NEMOCI S MCC                                                      </t>
  </si>
  <si>
    <t>18303</t>
  </si>
  <si>
    <t xml:space="preserve">SEPTIKÉMIE S MCC                                                                                    </t>
  </si>
  <si>
    <t>20333</t>
  </si>
  <si>
    <t xml:space="preserve">ŠKODLIVÉ UŽÍVÁNÍ A ZÁVISLOST NA ALKOHOLU S MCC                                                      </t>
  </si>
  <si>
    <t>20341</t>
  </si>
  <si>
    <t xml:space="preserve">ŠKODLIVÉ UŽÍVÁNÍ A ZÁVISLOST NA JINÝCH DROGÁCH BEZ CC                                               </t>
  </si>
  <si>
    <t>20343</t>
  </si>
  <si>
    <t xml:space="preserve">ŠKODLIVÉ UŽÍVÁNÍ A ZÁVISLOST NA JINÝCH DROGÁCH S MCC                                                </t>
  </si>
  <si>
    <t>21303</t>
  </si>
  <si>
    <t xml:space="preserve">PORANĚNÍ NA NESPECIFIKOVANÉM MÍSTĚ NEBO NA VÍCE MÍSTECH S MCC                                       </t>
  </si>
  <si>
    <t>21323</t>
  </si>
  <si>
    <t xml:space="preserve">OTRAVA A TOXICKÉ ÚČINKY LÉKŮ (DROG) S MCC                                                           </t>
  </si>
  <si>
    <t>23323</t>
  </si>
  <si>
    <t xml:space="preserve">JINÉ FAKTORY OVLIVŇUJÍCÍ ZDRAVOTNÍ STAV S MCC                                                       </t>
  </si>
  <si>
    <t>25022</t>
  </si>
  <si>
    <t xml:space="preserve">JINÉ VÝKONY PŘI MNOHOČETNÉM ZÁVAŽNÉM TRAUMATU S CC                                                  </t>
  </si>
  <si>
    <t>25023</t>
  </si>
  <si>
    <t xml:space="preserve">JINÉ VÝKONY PŘI MNOHOČETNÉM ZÁVAŽNÉM TRAUMATU S MCC                                                 </t>
  </si>
  <si>
    <t>25053</t>
  </si>
  <si>
    <t>DLOUHODOBÁ MECHANICKÁ VENTILACE PŘI POLYTRAUMATU &gt; 240 HODIN (11-21 DNÍ) S EKONOMICKY NÁROČNÝM VÝKON</t>
  </si>
  <si>
    <t>25073</t>
  </si>
  <si>
    <t>DLOUHODOBÁ MECHANICKÁ VENTILACE PŘI POLYTRAUMATU &gt; 96 HODIN (5-10 DNÍ) S EKONOMICKY NÁROČNÝM VÝKONEM</t>
  </si>
  <si>
    <t>25363</t>
  </si>
  <si>
    <t xml:space="preserve">DLOUHODOBÁ MECHANICKÁ VENTILACE PŘI POLYTRAUMATU &gt; 96 HODIN (5-10 DNÍ) S MCC                        </t>
  </si>
  <si>
    <t>25370</t>
  </si>
  <si>
    <t xml:space="preserve">ÚMRTÍ DO 5 DNÍ OD PŘÍJMU PŘI POLYTRAUMATU                                                           </t>
  </si>
  <si>
    <t>88871</t>
  </si>
  <si>
    <t xml:space="preserve">ROZSÁHLÉ VÝKONY. KTERÉ SE NETÝKAJÍ HLAVNÍ DIAGNÓZY BEZ CC                                           </t>
  </si>
  <si>
    <t>88873</t>
  </si>
  <si>
    <t xml:space="preserve">ROZSÁHLÉ VÝKONY. KTERÉ SE NETÝKAJÍ HLAVNÍ DIAGNÓZY S MCC                                            </t>
  </si>
  <si>
    <t>99990</t>
  </si>
  <si>
    <t xml:space="preserve">NEZAŘADITELNÉ                                                                                       </t>
  </si>
  <si>
    <t>Porovnání jednotlivých IR DRG skupin</t>
  </si>
  <si>
    <t>22 - Klinika nukleární medicíny</t>
  </si>
  <si>
    <t>33 - Oddělení klinické biochemie</t>
  </si>
  <si>
    <t>40 - Ústav mikrobiologie</t>
  </si>
  <si>
    <t>41 - Ústav imunologie</t>
  </si>
  <si>
    <t>44 - LEM</t>
  </si>
  <si>
    <t>37 - Ústav klinické a molekulární patologie</t>
  </si>
  <si>
    <t>35 - Transfuzní oddělení</t>
  </si>
  <si>
    <t>34 - Radiologická klinika</t>
  </si>
  <si>
    <t>107</t>
  </si>
  <si>
    <t>89198</t>
  </si>
  <si>
    <t>SKIASKOPIE</t>
  </si>
  <si>
    <t>205</t>
  </si>
  <si>
    <t>87413</t>
  </si>
  <si>
    <t>CYTOLOGICKÉ OTISKY A STĚRY -  ZA 1-3 PREPARÁTY</t>
  </si>
  <si>
    <t>87447</t>
  </si>
  <si>
    <t>CYTOLOGICKÉ PREPARÁTY ZHOTOVENÉ CYTOCENTRIFUGOU</t>
  </si>
  <si>
    <t>87525</t>
  </si>
  <si>
    <t>STANOVENÍ CYTOLOGICKÉ DIAGNÓZY III. STUPNĚ OBTÍŽNO</t>
  </si>
  <si>
    <t>87439</t>
  </si>
  <si>
    <t>SPECIÁLNÍ CYTOLOGICKÉ BARVENÍ - 1-3  PREPARÁTY,  J</t>
  </si>
  <si>
    <t>87449</t>
  </si>
  <si>
    <t xml:space="preserve">SCREENINGOVÉ ODEČÍTÁNÍ CYTOLOGICKÝCH NÁLEZŮ (ZA 1 </t>
  </si>
  <si>
    <t>87415</t>
  </si>
  <si>
    <t>CYTOLOGICKÉ OTISKY A STĚRY -  ZA 4-10 PREPARÁTŮ</t>
  </si>
  <si>
    <t>89201</t>
  </si>
  <si>
    <t>SKIASKOPIE NA OPERAČNÍM ČI ZÁKROKOVÉM SÁLE MOBILNÍ</t>
  </si>
  <si>
    <t>87435</t>
  </si>
  <si>
    <t>STANDARDNÍ CYTOLOGICKÉ BARVENÍ,  ZA 4-10  PREPARÁT</t>
  </si>
  <si>
    <t>87419</t>
  </si>
  <si>
    <t>CYTOLOGICKÉ NÁTĚRY SEDIMENTU CENTRIFUGOVANÉ TEKUTI</t>
  </si>
  <si>
    <t>22</t>
  </si>
  <si>
    <t>407</t>
  </si>
  <si>
    <t>0093626</t>
  </si>
  <si>
    <t>ULTRAVIST 370</t>
  </si>
  <si>
    <t>0002087</t>
  </si>
  <si>
    <t>816</t>
  </si>
  <si>
    <t>94127</t>
  </si>
  <si>
    <t>ELEKTROFORÉZA NUKLEOVÝCH KYSELIN V POLYAKRYLAMIDU</t>
  </si>
  <si>
    <t>94181</t>
  </si>
  <si>
    <t>ZHOTOVENÍ KARYOTYPU Z JEDNÉ MITÓZY</t>
  </si>
  <si>
    <t>94119</t>
  </si>
  <si>
    <t>IZOLACE A UCHOVÁNÍ LIDSKÉ DNA (RNA)</t>
  </si>
  <si>
    <t>94145</t>
  </si>
  <si>
    <t>RUTINNÍ VYŠETŘENÍ KOSTNÍ DŘENĚ PŘÍMÉ A S KULTIVACÍ</t>
  </si>
  <si>
    <t>94199</t>
  </si>
  <si>
    <t>AMPLIFIKACE METODOU PCR</t>
  </si>
  <si>
    <t>94123</t>
  </si>
  <si>
    <t>PCR ANALÝZA LIDSKÉ DNA</t>
  </si>
  <si>
    <t>94195</t>
  </si>
  <si>
    <t>SYNTÉZA cDNA REVERZNÍ TRANSKRIPCÍ</t>
  </si>
  <si>
    <t>818</t>
  </si>
  <si>
    <t>91427</t>
  </si>
  <si>
    <t>IZOLACE MONONUKLEÁRŮ Z PERIFERNÍ KRVE GRADIENTOVOU</t>
  </si>
  <si>
    <t>91431</t>
  </si>
  <si>
    <t>ZVLÁŠTĚ NÁROČNÉ IZOLACE BUNĚK GRADIENTOVOU CENTRIF</t>
  </si>
  <si>
    <t>96157</t>
  </si>
  <si>
    <t>STANOVENÍ HEPARINOVÝCH JEDNOTEK ANTI XA</t>
  </si>
  <si>
    <t>96167</t>
  </si>
  <si>
    <t>KREVNÍ OBRAZ S PĚTI POPULAČNÍM DIFERENCIÁLNÍM POČT</t>
  </si>
  <si>
    <t>96187</t>
  </si>
  <si>
    <t>FAKTOR V - STANOVENÍ AKTIVITY</t>
  </si>
  <si>
    <t>96191</t>
  </si>
  <si>
    <t>FAKTOR VIII - STANOVENÍ AKTIVITY</t>
  </si>
  <si>
    <t>96197</t>
  </si>
  <si>
    <t>FAKTOR XI - STANOVENÍ AKTIVITY</t>
  </si>
  <si>
    <t>96321</t>
  </si>
  <si>
    <t>POČET TROMBOCYTŮ MIKROSKOPICKY</t>
  </si>
  <si>
    <t>96617</t>
  </si>
  <si>
    <t>TROMBINOVÝ ČAS</t>
  </si>
  <si>
    <t>96621</t>
  </si>
  <si>
    <t>AKTIVOVANÝ PARTIALNÍ TROMBOPLASTINOVÝ TEST (APTT)</t>
  </si>
  <si>
    <t>96711</t>
  </si>
  <si>
    <t>PANOPTICKÉ OBARVENÍ NÁTĚRU PERIFERNÍ KRVE NEBO ASP</t>
  </si>
  <si>
    <t>96847</t>
  </si>
  <si>
    <t>FIBRIN/FIBRINOGEN DEGRADAČNÍ PRODUKTY SEMIKVANTITA</t>
  </si>
  <si>
    <t>96857</t>
  </si>
  <si>
    <t>STANOVENÍ POČTU RETIKULOCYTŮ NA AUTOMATICKÉM ANALY</t>
  </si>
  <si>
    <t>96881</t>
  </si>
  <si>
    <t>AGREGAČNÍ TEST NA HEPARINEM INDUKOVANOU TROMBOCYTO</t>
  </si>
  <si>
    <t>91439</t>
  </si>
  <si>
    <t>IMUNOFENOTYPIZACE BUNĚČNÝCH SUBPOPULACÍ DLE POVRCH</t>
  </si>
  <si>
    <t>96315</t>
  </si>
  <si>
    <t>ANALÝZA KREVNÍHO NÁTĚRU PANOPTICKY OBARVENÉHO. IND</t>
  </si>
  <si>
    <t>96813</t>
  </si>
  <si>
    <t>ANTITROMBIN III, CHROMOGENNÍ METODOU (SÉRIE)</t>
  </si>
  <si>
    <t>96515</t>
  </si>
  <si>
    <t>FIBRIN DEGRADAČNÍ PRODUKTY KVANTITATIVNĚ</t>
  </si>
  <si>
    <t>96145</t>
  </si>
  <si>
    <t>DAPTT - SCREENING LA</t>
  </si>
  <si>
    <t>96325</t>
  </si>
  <si>
    <t>FIBRINOGEN (SÉRIE)</t>
  </si>
  <si>
    <t>96613</t>
  </si>
  <si>
    <t>VYŠETŘENÍ NÁTĚRU NA SCHIZOCYTY</t>
  </si>
  <si>
    <t>96193</t>
  </si>
  <si>
    <t>FAKTOR IX - STANOVENÍ AKTIVITY</t>
  </si>
  <si>
    <t>96863</t>
  </si>
  <si>
    <t>STANOVENÍ POČTU ERYTROBLASTŮ NA AUTOMATICKÉM ANALY</t>
  </si>
  <si>
    <t>96185</t>
  </si>
  <si>
    <t>FAKTOR II. - STANOVENÍ AKTIVITY</t>
  </si>
  <si>
    <t>96839</t>
  </si>
  <si>
    <t>FAKTOR XII - STANOVENÍ AKTIVITY</t>
  </si>
  <si>
    <t>96189</t>
  </si>
  <si>
    <t>FAKTOR VII - STANOVENÍ AKTIVITY</t>
  </si>
  <si>
    <t>96195</t>
  </si>
  <si>
    <t>FAKTOR X - STANOVENÍ AKTIVITY</t>
  </si>
  <si>
    <t>33</t>
  </si>
  <si>
    <t>801</t>
  </si>
  <si>
    <t>81111</t>
  </si>
  <si>
    <t>A L T  STATIM</t>
  </si>
  <si>
    <t>81117</t>
  </si>
  <si>
    <t>AMYLASA (SÉRUM, MOČ) STATIM</t>
  </si>
  <si>
    <t>81121</t>
  </si>
  <si>
    <t>BILIRUBIN CELKOVÝ STATIM</t>
  </si>
  <si>
    <t>81137</t>
  </si>
  <si>
    <t>UREA STATIM</t>
  </si>
  <si>
    <t>81141</t>
  </si>
  <si>
    <t>VÁPNÍK IONIZOVANÝ STATIM</t>
  </si>
  <si>
    <t>81147</t>
  </si>
  <si>
    <t>FOSFATÁZA ALKALICKÁ STATIM</t>
  </si>
  <si>
    <t>81157</t>
  </si>
  <si>
    <t>CHLORIDY STATIM</t>
  </si>
  <si>
    <t>81161</t>
  </si>
  <si>
    <t>AMYLÁZA PANKREATICKÁ STATIM</t>
  </si>
  <si>
    <t>81167</t>
  </si>
  <si>
    <t>KREATINKINÁZA IZOENZYMY (CK-MB) STATIM</t>
  </si>
  <si>
    <t>81171</t>
  </si>
  <si>
    <t>KYSELINA MLÉČNÁ (LAKTÁT) STATIM</t>
  </si>
  <si>
    <t>81227</t>
  </si>
  <si>
    <t>PROSTATICKÝ SPECIFICKÝ ANTIGEN (PSA) - VOLNÝ</t>
  </si>
  <si>
    <t>81231</t>
  </si>
  <si>
    <t>METHEMOGLOBIN - KVANTITATIVNÍ STANOVENÍ</t>
  </si>
  <si>
    <t>81237</t>
  </si>
  <si>
    <t>TROPONIN - T NEBO I ELISA</t>
  </si>
  <si>
    <t>81331</t>
  </si>
  <si>
    <t>ALBUMIN V MOZKOMÍŠNÍM MOKU</t>
  </si>
  <si>
    <t>81341</t>
  </si>
  <si>
    <t>AMONIAK</t>
  </si>
  <si>
    <t>81397</t>
  </si>
  <si>
    <t>ELEKTROFORÉZA PROTEINŮ (SÉRUM)</t>
  </si>
  <si>
    <t>81427</t>
  </si>
  <si>
    <t>FOSFOR ANORGANICKÝ</t>
  </si>
  <si>
    <t>81451</t>
  </si>
  <si>
    <t>HEMOGLOBIN VOLNÝ V PLAZMĚ</t>
  </si>
  <si>
    <t>81481</t>
  </si>
  <si>
    <t>AMYLÁZA PANKREATICKÁ</t>
  </si>
  <si>
    <t>81521</t>
  </si>
  <si>
    <t>LAKTÁT (KYSELINA MLÉČNÁ)</t>
  </si>
  <si>
    <t>81527</t>
  </si>
  <si>
    <t>CHOLESTEROL LDL</t>
  </si>
  <si>
    <t>81641</t>
  </si>
  <si>
    <t>ŽELEZO CELKOVÉ</t>
  </si>
  <si>
    <t>81717</t>
  </si>
  <si>
    <t>STANOVENÍ KONCENTRACE PROTEINU S-100B (S-100BB, S-</t>
  </si>
  <si>
    <t>81731</t>
  </si>
  <si>
    <t>STANOVENÍ NATRIURETICKÝCH PEPTIDŮ V SÉRU A V PLAZM</t>
  </si>
  <si>
    <t>87421</t>
  </si>
  <si>
    <t>87433</t>
  </si>
  <si>
    <t>STANDARDNÍ CYTOLOGICKÉ BARVENÍ,  ZA 1-3 PREPARÁTY</t>
  </si>
  <si>
    <t>91141</t>
  </si>
  <si>
    <t>STANOVENÍ CERULOPLASMINU</t>
  </si>
  <si>
    <t>91171</t>
  </si>
  <si>
    <t>STANOVENÍ IgG ELISA</t>
  </si>
  <si>
    <t>91175</t>
  </si>
  <si>
    <t>STANOVENÍ IgM ELISA</t>
  </si>
  <si>
    <t>91481</t>
  </si>
  <si>
    <t>STANOVENÍ KONCENTRACE PROCALCITONINU</t>
  </si>
  <si>
    <t>93131</t>
  </si>
  <si>
    <t>KORTISOL</t>
  </si>
  <si>
    <t>93151</t>
  </si>
  <si>
    <t>FERRITIN</t>
  </si>
  <si>
    <t>93167</t>
  </si>
  <si>
    <t>NEURON - SPECIFICKÁ ENOLÁZA (NSE)</t>
  </si>
  <si>
    <t>93187</t>
  </si>
  <si>
    <t>TYROXIN CELKOVÝ (TT4)</t>
  </si>
  <si>
    <t>81119</t>
  </si>
  <si>
    <t>AMONIAK STATIM</t>
  </si>
  <si>
    <t>81135</t>
  </si>
  <si>
    <t>SODÍK STATIM</t>
  </si>
  <si>
    <t>81473</t>
  </si>
  <si>
    <t>CHOLESTEROL HDL</t>
  </si>
  <si>
    <t>81563</t>
  </si>
  <si>
    <t>OSMOLALITA (SÉRUM, MOČ)</t>
  </si>
  <si>
    <t>93189</t>
  </si>
  <si>
    <t>TYROXIN VOLNÝ (FT4)</t>
  </si>
  <si>
    <t>81585</t>
  </si>
  <si>
    <t>ACIDOBAZICKÁ ROVNOVÁHA</t>
  </si>
  <si>
    <t>93245</t>
  </si>
  <si>
    <t>TRIJODTYRONIN VOLNÝ (FT3)</t>
  </si>
  <si>
    <t>91153</t>
  </si>
  <si>
    <t>STANOVENÍ  C - REAKTIVNÍHO PROTEINU</t>
  </si>
  <si>
    <t>81145</t>
  </si>
  <si>
    <t>DRASLÍK STATIM</t>
  </si>
  <si>
    <t>81153</t>
  </si>
  <si>
    <t>GAMA-GLUTAMYLTRANSFERÁZA (GMT) STATIM</t>
  </si>
  <si>
    <t>81113</t>
  </si>
  <si>
    <t>A S T  STATIM</t>
  </si>
  <si>
    <t>93225</t>
  </si>
  <si>
    <t>PROSTATICKÝ SPECIFICKÝ ANTIGEN (PSA)</t>
  </si>
  <si>
    <t>81383</t>
  </si>
  <si>
    <t>LAKTÁTDEHYDROGENÁZA (L D)</t>
  </si>
  <si>
    <t>81169</t>
  </si>
  <si>
    <t>KREATININ STATIM</t>
  </si>
  <si>
    <t>81143</t>
  </si>
  <si>
    <t>LAKTÁTDEHYDROGENÁZA STATIM</t>
  </si>
  <si>
    <t>81495</t>
  </si>
  <si>
    <t>KREATINKINÁZA (CK)</t>
  </si>
  <si>
    <t>81149</t>
  </si>
  <si>
    <t>FOSFOR ANORGANICKÝ STATIM</t>
  </si>
  <si>
    <t>81173</t>
  </si>
  <si>
    <t>LIPÁZA STATIM</t>
  </si>
  <si>
    <t>93195</t>
  </si>
  <si>
    <t>TYREOTROPIN (TSH)</t>
  </si>
  <si>
    <t>81329</t>
  </si>
  <si>
    <t>ALBUMIN (SÉRUM)</t>
  </si>
  <si>
    <t>81115</t>
  </si>
  <si>
    <t>ALBUMIN SÉRUM (STATIM)</t>
  </si>
  <si>
    <t>81345</t>
  </si>
  <si>
    <t>AMYLÁZA</t>
  </si>
  <si>
    <t>81155</t>
  </si>
  <si>
    <t>GLUKÓZA KVANTITATIVNÍ STANOVENÍ STATIM</t>
  </si>
  <si>
    <t>91173</t>
  </si>
  <si>
    <t>STANOVENÍ IgA ELISA</t>
  </si>
  <si>
    <t>81249</t>
  </si>
  <si>
    <t>CEA (MEIA)</t>
  </si>
  <si>
    <t>81703</t>
  </si>
  <si>
    <t>CYSTATIN C</t>
  </si>
  <si>
    <t>81139</t>
  </si>
  <si>
    <t>VÁPNÍK CELKOVÝ STATIM</t>
  </si>
  <si>
    <t>91143</t>
  </si>
  <si>
    <t>STANOVENÍ PREALBUMINU</t>
  </si>
  <si>
    <t>81363</t>
  </si>
  <si>
    <t>BILIRUBIN KONJUGOVANÝ</t>
  </si>
  <si>
    <t>81625</t>
  </si>
  <si>
    <t>VÁPNÍK CELKOVÝ</t>
  </si>
  <si>
    <t>81465</t>
  </si>
  <si>
    <t>HOŘČÍK</t>
  </si>
  <si>
    <t>93215</t>
  </si>
  <si>
    <t>ALFA - 1 - FETOPROTEIN (AFP)</t>
  </si>
  <si>
    <t>93159</t>
  </si>
  <si>
    <t>CHORIOGONADOTROPIN (HCG)</t>
  </si>
  <si>
    <t>91133</t>
  </si>
  <si>
    <t>STANOVENÍ IgM</t>
  </si>
  <si>
    <t>81533</t>
  </si>
  <si>
    <t>LIPÁZA</t>
  </si>
  <si>
    <t>93199</t>
  </si>
  <si>
    <t>TYREOGLOBULIN (TG)</t>
  </si>
  <si>
    <t>81629</t>
  </si>
  <si>
    <t>VAZEBNÁ KAPACITA ŽELEZA</t>
  </si>
  <si>
    <t>81369</t>
  </si>
  <si>
    <t>BÍLKOVINA KVANTITATIVNĚ (MOČ, MOZKOM. MOK, VÝPOTEK</t>
  </si>
  <si>
    <t>81125</t>
  </si>
  <si>
    <t>BÍLKOVINY CELKOVÉ (SÉRUM) STATIM</t>
  </si>
  <si>
    <t>81235</t>
  </si>
  <si>
    <t>TUMORMARKERY CA 19-9, CA 15-3, CA 72-4, CA 125</t>
  </si>
  <si>
    <t>94189</t>
  </si>
  <si>
    <t>HYBRIDIZACE DNA SE ZNAČENOU SONDOU</t>
  </si>
  <si>
    <t>91145</t>
  </si>
  <si>
    <t>STANOVENÍ HAPTOGLOBINU</t>
  </si>
  <si>
    <t>81675</t>
  </si>
  <si>
    <t>MIKROALBUMINURIE</t>
  </si>
  <si>
    <t>81123</t>
  </si>
  <si>
    <t>BILIRUBIN KONJUGOVANÝ STATIM</t>
  </si>
  <si>
    <t>81475</t>
  </si>
  <si>
    <t>CHOLINESTERÁZA</t>
  </si>
  <si>
    <t>93185</t>
  </si>
  <si>
    <t>TRIJODTYRONIN CELKOVÝ (TT3)</t>
  </si>
  <si>
    <t>93135</t>
  </si>
  <si>
    <t>MYOGLOBIN V SÉRII</t>
  </si>
  <si>
    <t>81165</t>
  </si>
  <si>
    <t>KREATINKINÁZA (CK) STATIM</t>
  </si>
  <si>
    <t>81233</t>
  </si>
  <si>
    <t>KARBONYLHEMOGLOBIN KVANTITATIVNĚ</t>
  </si>
  <si>
    <t>93223</t>
  </si>
  <si>
    <t>NÁDOROVÉ ANTIGENY CA - TYPU</t>
  </si>
  <si>
    <t>81313</t>
  </si>
  <si>
    <t>VYŠETŘENÍ MOZKOMÍŠNÍHO MOKU</t>
  </si>
  <si>
    <t>81573</t>
  </si>
  <si>
    <t>PANDYHO ZKOUŠKA</t>
  </si>
  <si>
    <t>81129</t>
  </si>
  <si>
    <t>BÍLKOVINA KVANTITATIVNĚ (MOČ, VÝPOTEK, CSF) STATIM</t>
  </si>
  <si>
    <t>81159</t>
  </si>
  <si>
    <t>CHOLINESTERÁZA STATIM</t>
  </si>
  <si>
    <t>93139</t>
  </si>
  <si>
    <t>ADRENOKORTIKOTROPIN (ACTH)</t>
  </si>
  <si>
    <t>813</t>
  </si>
  <si>
    <t>34</t>
  </si>
  <si>
    <t>0003132</t>
  </si>
  <si>
    <t>GADOVIST 1,0 MMOL/ML</t>
  </si>
  <si>
    <t>0022075</t>
  </si>
  <si>
    <t>IOMERON 400</t>
  </si>
  <si>
    <t>0042433</t>
  </si>
  <si>
    <t>VISIPAQUE 320 MG I/ML</t>
  </si>
  <si>
    <t>0045123</t>
  </si>
  <si>
    <t>0065978</t>
  </si>
  <si>
    <t>0077015</t>
  </si>
  <si>
    <t>0077016</t>
  </si>
  <si>
    <t>ULTRAVIST 300</t>
  </si>
  <si>
    <t>0077017</t>
  </si>
  <si>
    <t>0077018</t>
  </si>
  <si>
    <t>0077019</t>
  </si>
  <si>
    <t>0077024</t>
  </si>
  <si>
    <t>0095607</t>
  </si>
  <si>
    <t>MICROPAQUE</t>
  </si>
  <si>
    <t>0038462</t>
  </si>
  <si>
    <t>DRÁT VODÍCÍ GUIDE WIRE M</t>
  </si>
  <si>
    <t>0038482</t>
  </si>
  <si>
    <t>0038483</t>
  </si>
  <si>
    <t>0038498</t>
  </si>
  <si>
    <t>KATETR ANGIOGRAFICKÝ GLIDECATH</t>
  </si>
  <si>
    <t>0038503</t>
  </si>
  <si>
    <t>SOUPRAVA ZAVÁDĚCÍ INTRODUCER</t>
  </si>
  <si>
    <t>0046543</t>
  </si>
  <si>
    <t>KATETR NEUROINTERVENČNÍ</t>
  </si>
  <si>
    <t>0047748</t>
  </si>
  <si>
    <t>SADA EMBOLIZAČNÍ - KABEL PROPOJOVACÍ</t>
  </si>
  <si>
    <t>0048264</t>
  </si>
  <si>
    <t>DRÁT NEUROINTERVENČNÍ</t>
  </si>
  <si>
    <t>0049439</t>
  </si>
  <si>
    <t>STENTGRAFT ZENITH TX2 ZTEG-2P</t>
  </si>
  <si>
    <t>0050237</t>
  </si>
  <si>
    <t>DRÁT VODÍCÍ CHOICE PLUS</t>
  </si>
  <si>
    <t>0052140</t>
  </si>
  <si>
    <t>KATETR DILATAČNÍ PTA WANDA, SMASH</t>
  </si>
  <si>
    <t>0053563</t>
  </si>
  <si>
    <t>KATETR DIAGNOSTICKÝ TEMPO4F,5F</t>
  </si>
  <si>
    <t>0056361</t>
  </si>
  <si>
    <t>ZAVADĚČ FLEXOR BALKIN RADIOOPÁKNÍ ZNAČKA</t>
  </si>
  <si>
    <t>0056365</t>
  </si>
  <si>
    <t>ZAVADĚČ MIKROPUNKČNÍ, NITINOLOVÝ VODIČ</t>
  </si>
  <si>
    <t>0057769</t>
  </si>
  <si>
    <t>DILATÁTOR COPE-SADDEKNI SFA ACCESS</t>
  </si>
  <si>
    <t>0057823</t>
  </si>
  <si>
    <t>KATETR ANGIOGRAFICKÝ TORCON,PRŮMĚR 4.1 AŽ 7 FRENCH</t>
  </si>
  <si>
    <t>0057824</t>
  </si>
  <si>
    <t>0057827</t>
  </si>
  <si>
    <t>KATETR ANGIOGRAFICKÝ VYSOKOTLAKÝ, PRŮMĚR 4 A 5 FR</t>
  </si>
  <si>
    <t>0057844</t>
  </si>
  <si>
    <t>TĚLÍSKO EMBOLIZAČNÍ TORNADO</t>
  </si>
  <si>
    <t>0057999</t>
  </si>
  <si>
    <t>SPIRÁLA GDC</t>
  </si>
  <si>
    <t>0058462</t>
  </si>
  <si>
    <t>VODIČ DRÁTĚNÝ LUNDERQUIST EXTRA STIFF, ZAHNUTÝ</t>
  </si>
  <si>
    <t>0058463</t>
  </si>
  <si>
    <t>VODIČ DRÁTĚNÝ LUNDERQUIST EXTRA STIFF</t>
  </si>
  <si>
    <t>0058736</t>
  </si>
  <si>
    <t>TĚLÍSKO EMBOLIZAČNÍ NESTER</t>
  </si>
  <si>
    <t>0059345</t>
  </si>
  <si>
    <t>INDEFLÁTOR 622510</t>
  </si>
  <si>
    <t>0059795</t>
  </si>
  <si>
    <t>DRÁT VODÍCÍ ANGIODYN J3 FC-FS 150-0,35</t>
  </si>
  <si>
    <t>0075314</t>
  </si>
  <si>
    <t>JEHLA BIOPTICKÁ MN1610</t>
  </si>
  <si>
    <t>0092125</t>
  </si>
  <si>
    <t>MIKROKATETR PROGREAT PC2411-2813, PP27111-27131</t>
  </si>
  <si>
    <t>0092559</t>
  </si>
  <si>
    <t>SADA AG - SYSTÉM PRO UZAVÍRÁNÍ CÉV - FEMORÁLNÍ - S</t>
  </si>
  <si>
    <t>0092932</t>
  </si>
  <si>
    <t>SADA DRENÁŽNÍ</t>
  </si>
  <si>
    <t>0141907</t>
  </si>
  <si>
    <t>STENT JÍC.BILIÁRNÍ,KOLOREK.DUODEN.TRACH.BRONCH.SX-</t>
  </si>
  <si>
    <t>0057846</t>
  </si>
  <si>
    <t>TĚLÍSKO EMBOLIZAČNÍ HILAL</t>
  </si>
  <si>
    <t>0056362</t>
  </si>
  <si>
    <t>ZAVADĚČ FLEXOR CHECK-FLO II RADIOOP.ZNAČKA</t>
  </si>
  <si>
    <t>0051237</t>
  </si>
  <si>
    <t>KATETR BALÓNKOVÝ PTA - STERLING OTW</t>
  </si>
  <si>
    <t>0056475</t>
  </si>
  <si>
    <t>STENTGRAFT PERIFERNÍ JOSTENT PHERIPERAL</t>
  </si>
  <si>
    <t>89117</t>
  </si>
  <si>
    <t>RTG KRKU A KRČNÍ PÁTEŘE</t>
  </si>
  <si>
    <t>89119</t>
  </si>
  <si>
    <t>RTG HRUDNÍ NEBO BEDERNÍ PÁTEŘE</t>
  </si>
  <si>
    <t>89123</t>
  </si>
  <si>
    <t>RTG PÁNVE NEBO KYČELNÍHO KLOUBU</t>
  </si>
  <si>
    <t>89127</t>
  </si>
  <si>
    <t>RTG KOSTÍ A KLOUBŮ KONČETIN</t>
  </si>
  <si>
    <t>89143</t>
  </si>
  <si>
    <t>RTG BŘICHA</t>
  </si>
  <si>
    <t>89147</t>
  </si>
  <si>
    <t>RTG ŽALUDKU A DUODENA</t>
  </si>
  <si>
    <t>89313</t>
  </si>
  <si>
    <t xml:space="preserve">PERKUTÁNNÍ PUNKCE NEBO BIOPSIE ŘÍZENÁ RDG METODOU </t>
  </si>
  <si>
    <t>89323</t>
  </si>
  <si>
    <t>TERAPEUTICKÁ EMBOLIZACE V CÉVNÍM ŘEČIŠTI</t>
  </si>
  <si>
    <t>89327</t>
  </si>
  <si>
    <t>KONTROLNÍ NÁSTŘIK DRENÁŽNÍHO KATÉTRU</t>
  </si>
  <si>
    <t>89333</t>
  </si>
  <si>
    <t>PERKUTÁNNÍ DRENÁŽ ŽLUČOVÝCH CEST (EV. ZAVEDENÍ STE</t>
  </si>
  <si>
    <t>89337</t>
  </si>
  <si>
    <t xml:space="preserve">DILATACE STENÓZ JÍCNU, GASTROINTESTINÁLNÍ TRUBICE </t>
  </si>
  <si>
    <t>89409</t>
  </si>
  <si>
    <t>ZAVEDENÍ STENTGRAFTU DO NEKORONÁRNÍHO TEPENNÉHO NE</t>
  </si>
  <si>
    <t>89417</t>
  </si>
  <si>
    <t xml:space="preserve">PŘEHLEDNÁ ČI SELEKTIVNÍ ANGIOGRAFIE NAVAZUJÍCÍ NA </t>
  </si>
  <si>
    <t>89419</t>
  </si>
  <si>
    <t>PUNKČNÍ ANGIOGRAFIE</t>
  </si>
  <si>
    <t>89423</t>
  </si>
  <si>
    <t>PERKUTÁNNÍ TRANSLUMINÁLNÍ ANGIOPLASTIKA</t>
  </si>
  <si>
    <t>89617</t>
  </si>
  <si>
    <t>CT VYŠETŘENÍ KTERÉHOKOLIV ORGÁNU NEBO OBLASTI S AP</t>
  </si>
  <si>
    <t>89619</t>
  </si>
  <si>
    <t>CT VYŠETŘENÍ TĚLA S PODÁNÍM K. L. PER OS, EVENT. P</t>
  </si>
  <si>
    <t>89713</t>
  </si>
  <si>
    <t>MR ZOBRAZENÍ HLAVY, KONČETIN, KLOUBU, JEDNOHO ÚSEK</t>
  </si>
  <si>
    <t>89717</t>
  </si>
  <si>
    <t>MR ZOBRAZENÍ SRDCE</t>
  </si>
  <si>
    <t>89131</t>
  </si>
  <si>
    <t>RTG HRUDNÍKU</t>
  </si>
  <si>
    <t>89615</t>
  </si>
  <si>
    <t>CT VYŠETŘENÍ S VĚTŠÍM POČTEM SKENŮ (NAD 30), BEZ P</t>
  </si>
  <si>
    <t>89725</t>
  </si>
  <si>
    <t>OPAKOVANÉ ČI DOPLŇUJÍCÍ VYŠETŘENÍ MR</t>
  </si>
  <si>
    <t>89715</t>
  </si>
  <si>
    <t>MR ZOBRAZENÍ KRKU, HRUDNÍKU, BŘICHA, PÁNVE (VČETNĚ</t>
  </si>
  <si>
    <t>89151</t>
  </si>
  <si>
    <t>PASÁŽ TRÁVICÍ TRUBICÍ</t>
  </si>
  <si>
    <t>89331</t>
  </si>
  <si>
    <t>ZAVEDENÍ STENTU DO TEPENNÉHO ČI ŽILNÍHO ŘEČIŠTĚ</t>
  </si>
  <si>
    <t>89111</t>
  </si>
  <si>
    <t>RTG PRSTŮ A ZÁPRSTNÍCH KŮSTEK RUKY NEBO NOHY</t>
  </si>
  <si>
    <t>89125</t>
  </si>
  <si>
    <t>RTG RAMENNÍHO KLOUBU</t>
  </si>
  <si>
    <t>89145</t>
  </si>
  <si>
    <t>RTG JÍCNU</t>
  </si>
  <si>
    <t>89161</t>
  </si>
  <si>
    <t>CHOLANGIOGRAFIE PEROPERAČNÍ NEBO T-DRÉNEM</t>
  </si>
  <si>
    <t>89611</t>
  </si>
  <si>
    <t>CT VYŠETŘENÍ HLAVY NEBO TĚLA NATIVNÍ A KONTRASTNÍ</t>
  </si>
  <si>
    <t>89415</t>
  </si>
  <si>
    <t>89121</t>
  </si>
  <si>
    <t>RTG KŘÍŽOVÉ KOSTI A SI KLOUBŮ</t>
  </si>
  <si>
    <t>89321</t>
  </si>
  <si>
    <t>EXTRAKCE CIZÍHO TĚLESA Z CÉVNÍHO ŘEČIŠTĚ</t>
  </si>
  <si>
    <t>89411</t>
  </si>
  <si>
    <t>PŘEHLEDNÁ  ČI SELEKTIVNÍ ANGIOGRAFIE</t>
  </si>
  <si>
    <t>89325</t>
  </si>
  <si>
    <t>PERKUTÁNNÍ DRENÁŽ ABSCESU, CYSTY EV. JINÉ DUTINY R</t>
  </si>
  <si>
    <t>89445</t>
  </si>
  <si>
    <t>ŽÍLY HORNÍ KONČETINY - FLEBOGRAFIE PERIFERNÍ, CELÝ</t>
  </si>
  <si>
    <t>35</t>
  </si>
  <si>
    <t>222</t>
  </si>
  <si>
    <t>22119</t>
  </si>
  <si>
    <t>VYŠETŘENÍ KOMPATIBILITY TRANSFÚZNÍHO PŘÍPRAVKU OBS</t>
  </si>
  <si>
    <t>22129</t>
  </si>
  <si>
    <t xml:space="preserve">VYŠETŘENÍ JEDNOHO ERYTROCYTÁRNÍHO ANTIGENU (KROMĚ </t>
  </si>
  <si>
    <t>22134</t>
  </si>
  <si>
    <t>UPŘESNĚNÍ TYPU SENZIBILIZACE ERYTROCYTŮ</t>
  </si>
  <si>
    <t>22135</t>
  </si>
  <si>
    <t>PŘÍMÝ ANTIGLOBULINOVÝ TEST - KVANTITATIVNÍ VYŠETŘE</t>
  </si>
  <si>
    <t>22214</t>
  </si>
  <si>
    <t>SCREENING ANTIERYTROCYTÁRNÍCH PROTILÁTEK - V SÉRII</t>
  </si>
  <si>
    <t>22219</t>
  </si>
  <si>
    <t>22325</t>
  </si>
  <si>
    <t>ABSORPCE PROTILÁTEK PROTI ERYTROCYTUM PŘI URČOVÁNÍ</t>
  </si>
  <si>
    <t>22355</t>
  </si>
  <si>
    <t>KONZULTACE ODBORNÉHO TRANSFÚZIOLOGA - IMUNOHEMATOL</t>
  </si>
  <si>
    <t>82077</t>
  </si>
  <si>
    <t>STANOVENÍ PROTILÁTEK PROTI ANTIGENŮM VIRŮ HEPATITI</t>
  </si>
  <si>
    <t>22111</t>
  </si>
  <si>
    <t>VYŠETŘENÍ KREVNÍ SKUPINY ABO RH (D) - STATIM</t>
  </si>
  <si>
    <t>22221</t>
  </si>
  <si>
    <t>DOPLNĚNÍ SCREENINGU ANTIERYTROCYTÁRNÍCH PROTILÁTEK</t>
  </si>
  <si>
    <t>22223</t>
  </si>
  <si>
    <t>22212</t>
  </si>
  <si>
    <t>SCREENING ANTIERYTROCYTÁRNÍCH PROTILÁTEK - STATIM,</t>
  </si>
  <si>
    <t>82079</t>
  </si>
  <si>
    <t>STANOVENÍ PROTILÁTEK PROTI ANTIGENŮM VIRŮ (MIMO VI</t>
  </si>
  <si>
    <t>22112</t>
  </si>
  <si>
    <t>VYŠETŘENÍ KREVNÍ SKUPINY ABO, RH (D) V SÉRII</t>
  </si>
  <si>
    <t>22117</t>
  </si>
  <si>
    <t>22131</t>
  </si>
  <si>
    <t>VYŠETŘENÍ CHLADOVÝCH AGLUTININŮ</t>
  </si>
  <si>
    <t>22347</t>
  </si>
  <si>
    <t>IDENTIFIKACE ANTIERYTROCYTÁRNÍCH PROTILÁTEK - SLOU</t>
  </si>
  <si>
    <t>22133</t>
  </si>
  <si>
    <t>PŘÍMÝ ANTIGLOBULINOVÝ TEST</t>
  </si>
  <si>
    <t>22357</t>
  </si>
  <si>
    <t>KONZULTACE DISKREPANTNÍHO A DIAGNOSTICKY OBTÍŽNÉHO</t>
  </si>
  <si>
    <t>22317</t>
  </si>
  <si>
    <t>ELUCE ANTIERYTROCYTÁRNÍCH PROTILÁTEK - POUŽITÍ KOM</t>
  </si>
  <si>
    <t>37</t>
  </si>
  <si>
    <t>807</t>
  </si>
  <si>
    <t>87127</t>
  </si>
  <si>
    <t>JEDNODUCHÝ BIOPTICKÝ VZOREK: MAKROSKOPICKÉ POSOUZE</t>
  </si>
  <si>
    <t>87131</t>
  </si>
  <si>
    <t>BIOPTICKÝ MATERIÁL S ČÁSTEČNÉ NEBO RADIKÁLNÍ EKTOM</t>
  </si>
  <si>
    <t>87133</t>
  </si>
  <si>
    <t>BIOPTICKÝ MATERIÁL ZÍSKANÝ KOMPLEXNÍ EKTOMIÍ: MAKR</t>
  </si>
  <si>
    <t>87213</t>
  </si>
  <si>
    <t>PEROPERAČNÍ BIOPSIE (TECHNICKÁ KOMPONENTA ZA KAŽDÝ</t>
  </si>
  <si>
    <t>87217</t>
  </si>
  <si>
    <t>PROKRAJOVÁNÍ BLOKU (POLOSÉRIOVÉ ŘEZY) S 1-3 PREPAR</t>
  </si>
  <si>
    <t>87221</t>
  </si>
  <si>
    <t>ODBĚR PRO SPECIELNÍ VYŠETŘENÍ : RECEPTORY, HISTOCH</t>
  </si>
  <si>
    <t>87223</t>
  </si>
  <si>
    <t>SPECIELNÍ BARVENÍ JEDNODUCHÉ (KAŽDÝ PREPARÁT Z PAR</t>
  </si>
  <si>
    <t>87227</t>
  </si>
  <si>
    <t>ENZYMOVÁ HISTOCHEMIE I. (ZA KAŽDÝ MARKER Z 1 BLOKU</t>
  </si>
  <si>
    <t>87231</t>
  </si>
  <si>
    <t>IMUNOHISTOCHEMIE (ZA KAŽDÝ MARKER Z 1 BLOKU)</t>
  </si>
  <si>
    <t>87431</t>
  </si>
  <si>
    <t>PREPARÁTY METODOU CYTOBLOKU - ZA KAŽDÝ PREPARÁT</t>
  </si>
  <si>
    <t>87513</t>
  </si>
  <si>
    <t>STANOVENÍ CYTOLOGICKÉ DIAGNÓZY I. STUPNĚ OBTÍŽNOST</t>
  </si>
  <si>
    <t>87517</t>
  </si>
  <si>
    <t>STANOVENÍ BIOPTICKÉ DIAGNÓZY II. STUPNĚ OBTÍŽNOSTI</t>
  </si>
  <si>
    <t>87523</t>
  </si>
  <si>
    <t>STANOVENÍ BIOPTICKÉ DIAGNÓZY III. STUPNĚ OBTÍŽNOST</t>
  </si>
  <si>
    <t>87613</t>
  </si>
  <si>
    <t>TECHNICKO ADMINISTRATIVNÍ KOMPONENTA BIOPSIE (STAN</t>
  </si>
  <si>
    <t>87235</t>
  </si>
  <si>
    <t>VYŠETŘENÍ PREPARÁTU SPECIELNĚ BARVENÉHO NA MIKROOR</t>
  </si>
  <si>
    <t>87511</t>
  </si>
  <si>
    <t>STANOVENÍ BIOPTICKÉ DIAGNÓZY I. STUPNĚ OBTÍŽNOSTI</t>
  </si>
  <si>
    <t>87225</t>
  </si>
  <si>
    <t>SPECIELNI BARVENÍ SLOŽITÉ (ZA KAŽDÝ PREPARÁT ZE ZM</t>
  </si>
  <si>
    <t>87129</t>
  </si>
  <si>
    <t>VÍCEČETNÉ MALÉ BIOPTICKÉ VZORKY: MAKROSKOPICKÉ POS</t>
  </si>
  <si>
    <t>87215</t>
  </si>
  <si>
    <t>DALŠÍ BLOK SE STANDARTNÍM PREPARÁTEM (OD 3. BIOPTI</t>
  </si>
  <si>
    <t>87219</t>
  </si>
  <si>
    <t>ODVÁPNĚNÍ, ZMĚKČOVÁNÍ MATERIÁLU (ZA KAŽDÉ ZAPOČATÉ</t>
  </si>
  <si>
    <t>87519</t>
  </si>
  <si>
    <t>STANOVENÍ CYTOLOGICKÉ DIAGNÓZY II. STUPNĚ OBTÍŽNOS</t>
  </si>
  <si>
    <t>87135</t>
  </si>
  <si>
    <t>VYŠETŘENÍ MORFOMETRICKÉ - ZA KAŽDÝ PARAMETR</t>
  </si>
  <si>
    <t>87411</t>
  </si>
  <si>
    <t>PEROPERAČNÍ CYTOLOGIE (TECHNICKÁ KOMPONENTA ZA KAŽ</t>
  </si>
  <si>
    <t>87611</t>
  </si>
  <si>
    <t>TECHNICKÁ KOMPONENTA MIKROSKOPICKÉHO VYŠETŘENÍ PIT</t>
  </si>
  <si>
    <t>87011</t>
  </si>
  <si>
    <t>KONZULTACE NÁLEZU PATOLOGEM CÍLENÁ NA ŽÁDOST OŠETŘ</t>
  </si>
  <si>
    <t>40</t>
  </si>
  <si>
    <t>82001</t>
  </si>
  <si>
    <t>KONSULTACE K MIKROBIOLOGICKÉMU, PARAZITOLOGICKÉMU,</t>
  </si>
  <si>
    <t>82041</t>
  </si>
  <si>
    <t>PRŮKAZ DNA MIKROORGANISMU V KLINICKÉM MATERIÁLU HY</t>
  </si>
  <si>
    <t>82057</t>
  </si>
  <si>
    <t>IDENTIFIKACE KMENE ORIENTAČNÍ JEDNODUCHÝM TESTEM</t>
  </si>
  <si>
    <t>82087</t>
  </si>
  <si>
    <t>STANOVENÍ PROTILÁTEK AGLUTINACÍ</t>
  </si>
  <si>
    <t>82097</t>
  </si>
  <si>
    <t>STANOVENÍ PROTILÁTEK PROTI EBV (ELISA)</t>
  </si>
  <si>
    <t>82111</t>
  </si>
  <si>
    <t>PRŮKAZ PROTILÁTEK NEPŘÍMOU HEMAGLUTINACÍ NA NOSIČÍ</t>
  </si>
  <si>
    <t>82117</t>
  </si>
  <si>
    <t>PRŮKAZ ANTIGENU VIRU (MIMO VIRY HEPATITID), BAKTER</t>
  </si>
  <si>
    <t>82131</t>
  </si>
  <si>
    <t>IDENTIFIKACE BAKTERIÁLNÍHO KMENE V KULTUŘE (POMNOŽ</t>
  </si>
  <si>
    <t>82211</t>
  </si>
  <si>
    <t>KULTIVAČNÍ VYŠETŘENÍ NA MYKOBAKTERIA</t>
  </si>
  <si>
    <t>82221</t>
  </si>
  <si>
    <t>PRIMÁRNÍ ISOLACE MYKOBAKTERIÍ RYCHLOU KULTIVAČNÍ M</t>
  </si>
  <si>
    <t>82065</t>
  </si>
  <si>
    <t>STANOVENÍ CITLIVOSTI NA ATB KVANTITATIVNÍ METODOU</t>
  </si>
  <si>
    <t>82003</t>
  </si>
  <si>
    <t>TELEFONICKÁ KONZULTACE K MIKROBIOLOGICKÉMU, PARAZI</t>
  </si>
  <si>
    <t>82025</t>
  </si>
  <si>
    <t>KULTIVAČNÍ VYŠETŘENÍ NA GO</t>
  </si>
  <si>
    <t>82069</t>
  </si>
  <si>
    <t>STANOVENÍ PRODUKCE BETA-LAKTAMÁZY</t>
  </si>
  <si>
    <t>82063</t>
  </si>
  <si>
    <t>STANOVENÍ CITLIVOSTI NA ATB KVALITATIVNÍ METODOU</t>
  </si>
  <si>
    <t>91483</t>
  </si>
  <si>
    <t>STANOVENÍ ANTIGENU HELICOBACTER PYLORI VE STOLICI</t>
  </si>
  <si>
    <t>91399</t>
  </si>
  <si>
    <t>CHARAKTERISTIKA ANTIGENŮ A PROTILÁTEK ELEKTROFORÉZ</t>
  </si>
  <si>
    <t>82083</t>
  </si>
  <si>
    <t>PRŮKAZ BAKTERIÁLNÍHO TOXINU BIOLOGICKÝM POKUSEM NA</t>
  </si>
  <si>
    <t>82115</t>
  </si>
  <si>
    <t>PRŮKAZ VIROVÉHO ANTIGENU V BIOLOGICKÉM MATERIÁLU N</t>
  </si>
  <si>
    <t>82123</t>
  </si>
  <si>
    <t>PRŮKAZ  BAKTERIÁLNÍHO, VIROVÉHO, PARAZITÁRNÍHO EV.</t>
  </si>
  <si>
    <t>41</t>
  </si>
  <si>
    <t>86113</t>
  </si>
  <si>
    <t>STATIM CROSS - MATCH NEPŘÍBUZNÝCH DÁRCŮ JEDNODUCHÝ</t>
  </si>
  <si>
    <t>86121</t>
  </si>
  <si>
    <t>CROSS - MATCH NEPŘÍBUZNÝCH DÁRCŮ JEDNODUCHÝ SKUPIN</t>
  </si>
  <si>
    <t>86213</t>
  </si>
  <si>
    <t>URČOVÁNÍ HLA ANTIGENŮ I. TŘÍDY - KOMBINOVANÝ SET</t>
  </si>
  <si>
    <t>86413</t>
  </si>
  <si>
    <t>SCREENING PROTILÁTEK NA PANELU 30TI DÁRCŮ</t>
  </si>
  <si>
    <t>91111</t>
  </si>
  <si>
    <t>STANOVENÍ IgG1 RID</t>
  </si>
  <si>
    <t>91116</t>
  </si>
  <si>
    <t>STANOVENÍ IgG4 RID</t>
  </si>
  <si>
    <t>91131</t>
  </si>
  <si>
    <t>STANOVENÍ IgA</t>
  </si>
  <si>
    <t>91161</t>
  </si>
  <si>
    <t>STANOVENÍ C4 SLOŽKY KOMPLEMENTU</t>
  </si>
  <si>
    <t>91261</t>
  </si>
  <si>
    <t>STANOVENÍ ANTI ENA Ab ELISA</t>
  </si>
  <si>
    <t>91277</t>
  </si>
  <si>
    <t>STANOVENÍ p-ANCA ELISA</t>
  </si>
  <si>
    <t>91317</t>
  </si>
  <si>
    <t>PRŮKAZ ANTINUKLEÁRNÍCH PROTILÁTEK - JINÉ SUBSTRÁTY</t>
  </si>
  <si>
    <t>91451</t>
  </si>
  <si>
    <t>STANOVENÍ OPSONOFAGOCYTÁRNÍHO INDEXU INGESCÍ MIKRO</t>
  </si>
  <si>
    <t>91501</t>
  </si>
  <si>
    <t>STANOVENÍ HLADIN REVMATOIDNÍHO FAKTORU (RF) NEFELO</t>
  </si>
  <si>
    <t>91557</t>
  </si>
  <si>
    <t>URČENÍ SPECIFICITY ANTI-HLA PROTILÁTEK V SÉRU METO</t>
  </si>
  <si>
    <t>94191</t>
  </si>
  <si>
    <t>FOTOGRAFIE GELU</t>
  </si>
  <si>
    <t>91323</t>
  </si>
  <si>
    <t>PRŮKAZ ANCA IF</t>
  </si>
  <si>
    <t>91355</t>
  </si>
  <si>
    <t>STANOVENÍ CIK METODOU PEG-IKEM</t>
  </si>
  <si>
    <t>91129</t>
  </si>
  <si>
    <t>STANOVENÍ IgG</t>
  </si>
  <si>
    <t>91189</t>
  </si>
  <si>
    <t>STANOVENÍ IgE</t>
  </si>
  <si>
    <t>91493</t>
  </si>
  <si>
    <t>IMUNOANALYTICKÉ STANOVENÍ AUTOPROTILÁTEK PROTI SPE</t>
  </si>
  <si>
    <t>94193</t>
  </si>
  <si>
    <t>ELEKTROFORÉZA NUKLEOVÝCH KYSELIN</t>
  </si>
  <si>
    <t>91449</t>
  </si>
  <si>
    <t>STANOVENÍ FAGOCYTÁRNÍ AKTIVITY LEUKOCYTŮ INGESCÍ P</t>
  </si>
  <si>
    <t>91279</t>
  </si>
  <si>
    <t>STANOVENÍ c-ANCA ELISA</t>
  </si>
  <si>
    <t>91115</t>
  </si>
  <si>
    <t>STANOVENÍ IgG3 RID</t>
  </si>
  <si>
    <t>91159</t>
  </si>
  <si>
    <t>STANOVENÍ C3 SLOŽKY KOMPLEMENTU</t>
  </si>
  <si>
    <t>91489</t>
  </si>
  <si>
    <t>IMUNOANALYTICKÉ STANOVENÍ AUTOPROTILÁTEK PROTI LKM</t>
  </si>
  <si>
    <t>91113</t>
  </si>
  <si>
    <t>STANOVENÍ IgG2 RID</t>
  </si>
  <si>
    <t>91125</t>
  </si>
  <si>
    <t>STANOVENÍ INHIBITORU C1 ESTERÁZY RID</t>
  </si>
  <si>
    <t>91363</t>
  </si>
  <si>
    <t>STANOVENÍ AKTIVITY INHIBITORU C1 ESTERÁZY</t>
  </si>
  <si>
    <t>86125</t>
  </si>
  <si>
    <t>STATIM - CROSS MATCH NEPŘÍBUZNÝCH DÁRCŮ JEDNODUCHÝ</t>
  </si>
  <si>
    <t>44</t>
  </si>
  <si>
    <t>94115</t>
  </si>
  <si>
    <t>IN SITU HYBRIDIZACE LIDSKÉ DNA SE ZNAČENOU SONDOU</t>
  </si>
  <si>
    <t>Zdravotní výkony (vybraných odborností) vyžádané pro pacienty hospitalizované na vlastním pracovišti - orientační přehled</t>
  </si>
  <si>
    <t xml:space="preserve">TISS        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</si>
</sst>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5">
    <numFmt numFmtId="164" formatCode="_-* #,##0.00\ &quot;Kč&quot;_-;\-* #,##0.00\ &quot;Kč&quot;_-;_-* &quot;-&quot;??\ &quot;Kč&quot;_-;_-@_-"/>
    <numFmt numFmtId="165" formatCode="#\ ###\ ###\ ##0"/>
    <numFmt numFmtId="166" formatCode="#\ ###\ ##0.0"/>
    <numFmt numFmtId="167" formatCode="#,##0.0"/>
    <numFmt numFmtId="168" formatCode="0.0%"/>
    <numFmt numFmtId="169" formatCode="0.0"/>
    <numFmt numFmtId="170" formatCode="#,##0,"/>
    <numFmt numFmtId="171" formatCode="#\ ##0"/>
    <numFmt numFmtId="172" formatCode="0.000"/>
    <numFmt numFmtId="173" formatCode="#.##0"/>
    <numFmt numFmtId="174" formatCode="#,##0;\-#,##0;"/>
    <numFmt numFmtId="175" formatCode="General;\-General;"/>
    <numFmt numFmtId="176" formatCode="0%;\-0%;"/>
    <numFmt numFmtId="177" formatCode="#,##0%"/>
    <numFmt numFmtId="178" formatCode="#,##0.000"/>
  </numFmts>
  <fonts count="68" x14ac:knownFonts="1">
    <font>
      <sz val="11"/>
      <color theme="1"/>
      <name val="Calibri"/>
      <family val="2"/>
      <charset val="238"/>
      <scheme val="minor"/>
    </font>
    <font>
      <sz val="11"/>
      <color indexed="8"/>
      <name val="Calibri"/>
      <family val="2"/>
      <charset val="238"/>
    </font>
    <font>
      <sz val="14"/>
      <color indexed="8"/>
      <name val="Calibri"/>
      <family val="2"/>
      <charset val="238"/>
    </font>
    <font>
      <b/>
      <sz val="10"/>
      <name val="Calibri"/>
      <family val="2"/>
      <charset val="238"/>
    </font>
    <font>
      <sz val="10"/>
      <name val="Arial"/>
      <family val="2"/>
      <charset val="238"/>
    </font>
    <font>
      <sz val="10"/>
      <name val="Calibri"/>
      <family val="2"/>
      <charset val="238"/>
    </font>
    <font>
      <sz val="14"/>
      <name val="Calibri"/>
      <family val="2"/>
      <charset val="238"/>
    </font>
    <font>
      <sz val="10"/>
      <color indexed="8"/>
      <name val="Calibri"/>
      <family val="2"/>
      <charset val="238"/>
    </font>
    <font>
      <sz val="10"/>
      <color indexed="8"/>
      <name val="Tahoma"/>
      <family val="2"/>
    </font>
    <font>
      <b/>
      <u/>
      <sz val="10"/>
      <color indexed="63"/>
      <name val="Calibri"/>
      <family val="2"/>
      <charset val="238"/>
    </font>
    <font>
      <sz val="11"/>
      <color indexed="8"/>
      <name val="Calibri"/>
      <family val="2"/>
    </font>
    <font>
      <b/>
      <sz val="10"/>
      <color indexed="10"/>
      <name val="Calibri"/>
      <family val="2"/>
      <charset val="238"/>
    </font>
    <font>
      <sz val="10"/>
      <color indexed="12"/>
      <name val="Calibri"/>
      <family val="2"/>
      <charset val="238"/>
    </font>
    <font>
      <sz val="10"/>
      <name val="Arial CE"/>
      <charset val="238"/>
    </font>
    <font>
      <sz val="10"/>
      <name val="Arial"/>
      <family val="2"/>
      <charset val="238"/>
    </font>
    <font>
      <sz val="10"/>
      <name val="Arial CE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u/>
      <sz val="11"/>
      <color theme="10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0"/>
      <color indexed="8"/>
      <name val="Calibri"/>
      <family val="2"/>
      <charset val="238"/>
      <scheme val="minor"/>
    </font>
    <font>
      <b/>
      <sz val="10"/>
      <color indexed="8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0"/>
      <color theme="0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10"/>
      <color rgb="FF454545"/>
      <name val="Calibri"/>
      <family val="2"/>
      <charset val="238"/>
    </font>
    <font>
      <sz val="10"/>
      <color rgb="FF222222"/>
      <name val="Calibri"/>
      <family val="2"/>
      <charset val="238"/>
    </font>
    <font>
      <b/>
      <sz val="10"/>
      <color rgb="FF454545"/>
      <name val="Calibri"/>
      <family val="2"/>
      <charset val="238"/>
    </font>
    <font>
      <b/>
      <sz val="10"/>
      <color rgb="FF222222"/>
      <name val="Calibri"/>
      <family val="2"/>
      <charset val="238"/>
    </font>
    <font>
      <sz val="10"/>
      <color rgb="FF333333"/>
      <name val="Calibri"/>
      <family val="2"/>
      <charset val="238"/>
    </font>
    <font>
      <b/>
      <sz val="10"/>
      <color rgb="FF333333"/>
      <name val="Calibri"/>
      <family val="2"/>
      <charset val="238"/>
    </font>
    <font>
      <b/>
      <sz val="10"/>
      <color theme="1"/>
      <name val="Calibri"/>
      <family val="2"/>
      <charset val="238"/>
      <scheme val="minor"/>
    </font>
    <font>
      <sz val="10"/>
      <color theme="0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sz val="14"/>
      <color indexed="8"/>
      <name val="Calibri"/>
      <family val="2"/>
      <charset val="238"/>
      <scheme val="minor"/>
    </font>
    <font>
      <b/>
      <sz val="10"/>
      <color indexed="63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b/>
      <u/>
      <sz val="10"/>
      <color rgb="FFFF0000"/>
      <name val="Calibri"/>
      <family val="2"/>
      <charset val="238"/>
      <scheme val="minor"/>
    </font>
    <font>
      <u/>
      <sz val="10"/>
      <color theme="10"/>
      <name val="Calibri"/>
      <family val="2"/>
      <charset val="238"/>
      <scheme val="minor"/>
    </font>
    <font>
      <b/>
      <i/>
      <sz val="10"/>
      <name val="Calibri"/>
      <family val="2"/>
      <charset val="238"/>
      <scheme val="minor"/>
    </font>
    <font>
      <i/>
      <sz val="10"/>
      <name val="Calibri"/>
      <family val="2"/>
      <charset val="238"/>
      <scheme val="minor"/>
    </font>
    <font>
      <i/>
      <sz val="10"/>
      <color theme="1"/>
      <name val="Calibri"/>
      <family val="2"/>
      <charset val="238"/>
    </font>
    <font>
      <b/>
      <u/>
      <sz val="10"/>
      <color theme="10"/>
      <name val="Calibri"/>
      <family val="2"/>
      <charset val="238"/>
      <scheme val="minor"/>
    </font>
    <font>
      <b/>
      <u/>
      <sz val="10"/>
      <color indexed="63"/>
      <name val="Arial"/>
      <family val="2"/>
    </font>
    <font>
      <b/>
      <sz val="10"/>
      <name val="Arial CE"/>
      <charset val="238"/>
    </font>
    <font>
      <sz val="14"/>
      <name val="Arial"/>
      <family val="2"/>
      <charset val="238"/>
    </font>
    <font>
      <sz val="10"/>
      <name val="Arial CE"/>
      <family val="2"/>
      <charset val="238"/>
    </font>
    <font>
      <sz val="14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u/>
      <sz val="9"/>
      <color theme="10"/>
      <name val="Calibri"/>
      <family val="2"/>
      <charset val="238"/>
      <scheme val="minor"/>
    </font>
    <font>
      <b/>
      <sz val="9"/>
      <color theme="1"/>
      <name val="Calibri"/>
      <family val="2"/>
      <charset val="238"/>
      <scheme val="minor"/>
    </font>
    <font>
      <b/>
      <sz val="9"/>
      <color indexed="81"/>
      <name val="Tahoma"/>
      <family val="2"/>
      <charset val="238"/>
    </font>
    <font>
      <i/>
      <sz val="10"/>
      <color rgb="FF000000"/>
      <name val="Calibri"/>
      <family val="2"/>
      <charset val="238"/>
    </font>
    <font>
      <i/>
      <sz val="11"/>
      <color theme="1"/>
      <name val="Calibri"/>
      <family val="2"/>
      <charset val="238"/>
      <scheme val="minor"/>
    </font>
    <font>
      <i/>
      <sz val="9"/>
      <name val="Arial"/>
      <family val="2"/>
      <charset val="238"/>
    </font>
    <font>
      <i/>
      <sz val="10"/>
      <color theme="1"/>
      <name val="Calibri"/>
      <family val="2"/>
      <charset val="238"/>
      <scheme val="minor"/>
    </font>
    <font>
      <b/>
      <i/>
      <sz val="10"/>
      <color theme="1"/>
      <name val="Calibri"/>
      <family val="2"/>
      <charset val="238"/>
      <scheme val="minor"/>
    </font>
  </fonts>
  <fills count="12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4"/>
        <bgColor theme="4"/>
      </patternFill>
    </fill>
    <fill>
      <patternFill patternType="solid">
        <fgColor rgb="FFFFFFFF"/>
      </patternFill>
    </fill>
    <fill>
      <patternFill patternType="solid">
        <fgColor theme="3" tint="0.79995117038483843"/>
        <bgColor indexed="64"/>
      </patternFill>
    </fill>
  </fills>
  <borders count="172">
    <border>
      <left/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theme="1"/>
      </left>
      <right style="medium">
        <color theme="1"/>
      </right>
      <top style="medium">
        <color theme="1"/>
      </top>
      <bottom style="medium">
        <color indexed="64"/>
      </bottom>
      <diagonal/>
    </border>
    <border>
      <left/>
      <right style="thin">
        <color indexed="23"/>
      </right>
      <top style="medium">
        <color theme="1"/>
      </top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medium">
        <color theme="1"/>
      </top>
      <bottom style="medium">
        <color indexed="64"/>
      </bottom>
      <diagonal/>
    </border>
    <border>
      <left style="thin">
        <color indexed="23"/>
      </left>
      <right style="medium">
        <color theme="1"/>
      </right>
      <top style="medium">
        <color theme="1"/>
      </top>
      <bottom style="medium">
        <color indexed="64"/>
      </bottom>
      <diagonal/>
    </border>
    <border>
      <left style="thin">
        <color indexed="23"/>
      </left>
      <right style="medium">
        <color auto="1"/>
      </right>
      <top style="medium">
        <color theme="1"/>
      </top>
      <bottom style="medium">
        <color indexed="64"/>
      </bottom>
      <diagonal/>
    </border>
    <border>
      <left style="medium">
        <color theme="1"/>
      </left>
      <right style="thin">
        <color theme="1"/>
      </right>
      <top style="medium">
        <color theme="1"/>
      </top>
      <bottom style="medium">
        <color theme="1"/>
      </bottom>
      <diagonal/>
    </border>
    <border>
      <left style="thin">
        <color theme="1"/>
      </left>
      <right style="thin">
        <color theme="1"/>
      </right>
      <top style="medium">
        <color theme="1"/>
      </top>
      <bottom style="medium">
        <color theme="1"/>
      </bottom>
      <diagonal/>
    </border>
    <border>
      <left style="thin">
        <color theme="1"/>
      </left>
      <right style="medium">
        <color theme="1"/>
      </right>
      <top style="medium">
        <color theme="1"/>
      </top>
      <bottom style="medium">
        <color theme="1"/>
      </bottom>
      <diagonal/>
    </border>
    <border>
      <left style="thin">
        <color indexed="64"/>
      </left>
      <right style="medium">
        <color theme="1"/>
      </right>
      <top/>
      <bottom style="thin">
        <color indexed="64"/>
      </bottom>
      <diagonal/>
    </border>
    <border>
      <left/>
      <right/>
      <top style="medium">
        <color theme="1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theme="4" tint="0.39997558519241921"/>
      </top>
      <bottom style="thin">
        <color theme="4" tint="0.39997558519241921"/>
      </bottom>
      <diagonal/>
    </border>
    <border>
      <left style="thin">
        <color theme="4" tint="0.39997558519241921"/>
      </left>
      <right/>
      <top style="thin">
        <color theme="4" tint="0.39997558519241921"/>
      </top>
      <bottom style="thin">
        <color theme="4" tint="0.3999755851924192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rgb="FFC0C0C0"/>
      </top>
      <bottom style="medium">
        <color rgb="FFC0C0C0"/>
      </bottom>
      <diagonal/>
    </border>
    <border>
      <left style="medium">
        <color rgb="FFEFEFEF"/>
      </left>
      <right style="medium">
        <color rgb="FFEFEFEF"/>
      </right>
      <top style="medium">
        <color rgb="FFEFEFEF"/>
      </top>
      <bottom style="medium">
        <color rgb="FFEFEFEF"/>
      </bottom>
      <diagonal/>
    </border>
    <border>
      <left style="medium">
        <color rgb="FFE2E2E2"/>
      </left>
      <right style="medium">
        <color rgb="FFE2E2E2"/>
      </right>
      <top style="medium">
        <color rgb="FFE2E2E2"/>
      </top>
      <bottom style="medium">
        <color rgb="FFE2E2E2"/>
      </bottom>
      <diagonal/>
    </border>
    <border>
      <left style="medium">
        <color rgb="FFE2E2E2"/>
      </left>
      <right style="medium">
        <color auto="1"/>
      </right>
      <top style="medium">
        <color rgb="FFE2E2E2"/>
      </top>
      <bottom style="medium">
        <color rgb="FFE2E2E2"/>
      </bottom>
      <diagonal/>
    </border>
    <border>
      <left style="medium">
        <color rgb="FFEFEFEF"/>
      </left>
      <right style="medium">
        <color auto="1"/>
      </right>
      <top style="medium">
        <color rgb="FFEFEFEF"/>
      </top>
      <bottom style="medium">
        <color rgb="FFEFEFEF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rgb="FFC0C0C0"/>
      </bottom>
      <diagonal/>
    </border>
    <border>
      <left style="medium">
        <color rgb="FFEFEFEF"/>
      </left>
      <right style="medium">
        <color rgb="FFEFEFEF"/>
      </right>
      <top style="medium">
        <color auto="1"/>
      </top>
      <bottom style="medium">
        <color rgb="FFEFEFEF"/>
      </bottom>
      <diagonal/>
    </border>
    <border>
      <left style="medium">
        <color rgb="FFE2E2E2"/>
      </left>
      <right style="medium">
        <color rgb="FFE2E2E2"/>
      </right>
      <top style="medium">
        <color auto="1"/>
      </top>
      <bottom style="medium">
        <color rgb="FFE2E2E2"/>
      </bottom>
      <diagonal/>
    </border>
    <border>
      <left style="medium">
        <color rgb="FFE2E2E2"/>
      </left>
      <right style="medium">
        <color auto="1"/>
      </right>
      <top style="medium">
        <color auto="1"/>
      </top>
      <bottom style="medium">
        <color rgb="FFE2E2E2"/>
      </bottom>
      <diagonal/>
    </border>
    <border>
      <left style="medium">
        <color rgb="FFEFEFEF"/>
      </left>
      <right style="medium">
        <color auto="1"/>
      </right>
      <top style="medium">
        <color auto="1"/>
      </top>
      <bottom style="medium">
        <color rgb="FFEFEFEF"/>
      </bottom>
      <diagonal/>
    </border>
    <border>
      <left style="medium">
        <color rgb="FFEFEFEF"/>
      </left>
      <right style="medium">
        <color rgb="FFEFEFEF"/>
      </right>
      <top style="medium">
        <color auto="1"/>
      </top>
      <bottom style="medium">
        <color auto="1"/>
      </bottom>
      <diagonal/>
    </border>
    <border>
      <left style="medium">
        <color rgb="FFE2E2E2"/>
      </left>
      <right style="medium">
        <color rgb="FFE2E2E2"/>
      </right>
      <top style="medium">
        <color auto="1"/>
      </top>
      <bottom style="medium">
        <color auto="1"/>
      </bottom>
      <diagonal/>
    </border>
    <border>
      <left style="medium">
        <color rgb="FFE2E2E2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rgb="FFEFEFEF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auto="1"/>
      </top>
      <bottom style="medium">
        <color indexed="64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indexed="64"/>
      </bottom>
      <diagonal/>
    </border>
    <border>
      <left style="medium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indexed="64"/>
      </right>
      <top style="medium">
        <color auto="1"/>
      </top>
      <bottom style="medium">
        <color auto="1"/>
      </bottom>
      <diagonal/>
    </border>
    <border>
      <left style="thin">
        <color indexed="64"/>
      </left>
      <right style="medium">
        <color indexed="64"/>
      </right>
      <top style="medium">
        <color auto="1"/>
      </top>
      <bottom style="medium">
        <color auto="1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indexed="64"/>
      </left>
      <right style="medium">
        <color theme="1"/>
      </right>
      <top style="thin">
        <color indexed="64"/>
      </top>
      <bottom/>
      <diagonal/>
    </border>
  </borders>
  <cellStyleXfs count="99">
    <xf numFmtId="0" fontId="0" fillId="0" borderId="0"/>
    <xf numFmtId="0" fontId="28" fillId="0" borderId="0" applyNumberFormat="0" applyFill="0" applyBorder="0" applyAlignment="0" applyProtection="0"/>
    <xf numFmtId="164" fontId="23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1" fillId="0" borderId="0" applyFont="0" applyFill="0" applyBorder="0" applyAlignment="0" applyProtection="0"/>
    <xf numFmtId="164" fontId="22" fillId="0" borderId="0" applyFont="0" applyFill="0" applyBorder="0" applyAlignment="0" applyProtection="0"/>
    <xf numFmtId="0" fontId="27" fillId="0" borderId="0"/>
    <xf numFmtId="0" fontId="16" fillId="0" borderId="0"/>
    <xf numFmtId="0" fontId="17" fillId="0" borderId="0"/>
    <xf numFmtId="0" fontId="18" fillId="0" borderId="0"/>
    <xf numFmtId="0" fontId="19" fillId="0" borderId="0"/>
    <xf numFmtId="0" fontId="20" fillId="0" borderId="0"/>
    <xf numFmtId="0" fontId="21" fillId="0" borderId="0"/>
    <xf numFmtId="0" fontId="22" fillId="0" borderId="0"/>
    <xf numFmtId="0" fontId="23" fillId="0" borderId="0"/>
    <xf numFmtId="0" fontId="24" fillId="0" borderId="0"/>
    <xf numFmtId="0" fontId="13" fillId="0" borderId="0"/>
    <xf numFmtId="0" fontId="14" fillId="0" borderId="0"/>
    <xf numFmtId="0" fontId="4" fillId="0" borderId="0"/>
    <xf numFmtId="0" fontId="13" fillId="0" borderId="0"/>
    <xf numFmtId="0" fontId="13" fillId="0" borderId="0"/>
    <xf numFmtId="0" fontId="4" fillId="0" borderId="0"/>
    <xf numFmtId="0" fontId="15" fillId="0" borderId="0"/>
    <xf numFmtId="0" fontId="13" fillId="0" borderId="0"/>
    <xf numFmtId="0" fontId="4" fillId="0" borderId="0"/>
    <xf numFmtId="0" fontId="4" fillId="0" borderId="0"/>
    <xf numFmtId="0" fontId="14" fillId="0" borderId="0"/>
    <xf numFmtId="0" fontId="4" fillId="0" borderId="0"/>
    <xf numFmtId="0" fontId="14" fillId="0" borderId="0"/>
    <xf numFmtId="0" fontId="4" fillId="0" borderId="0"/>
    <xf numFmtId="0" fontId="14" fillId="0" borderId="0"/>
    <xf numFmtId="0" fontId="4" fillId="0" borderId="0"/>
    <xf numFmtId="0" fontId="14" fillId="0" borderId="0"/>
    <xf numFmtId="0" fontId="4" fillId="0" borderId="0"/>
    <xf numFmtId="0" fontId="14" fillId="0" borderId="0"/>
    <xf numFmtId="0" fontId="4" fillId="0" borderId="0"/>
    <xf numFmtId="0" fontId="13" fillId="0" borderId="0"/>
    <xf numFmtId="0" fontId="25" fillId="0" borderId="0"/>
    <xf numFmtId="0" fontId="26" fillId="0" borderId="0"/>
    <xf numFmtId="0" fontId="29" fillId="0" borderId="0"/>
    <xf numFmtId="0" fontId="10" fillId="0" borderId="0"/>
    <xf numFmtId="0" fontId="4" fillId="0" borderId="0"/>
    <xf numFmtId="0" fontId="10" fillId="0" borderId="0"/>
    <xf numFmtId="0" fontId="10" fillId="0" borderId="0"/>
    <xf numFmtId="0" fontId="10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0" fillId="0" borderId="0"/>
    <xf numFmtId="0" fontId="1" fillId="0" borderId="0"/>
    <xf numFmtId="0" fontId="10" fillId="0" borderId="0"/>
    <xf numFmtId="0" fontId="10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27" fillId="0" borderId="0"/>
    <xf numFmtId="0" fontId="27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8" fillId="0" borderId="0"/>
    <xf numFmtId="9" fontId="27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1" fillId="0" borderId="0" applyFont="0" applyFill="0" applyBorder="0" applyAlignment="0" applyProtection="0"/>
    <xf numFmtId="0" fontId="27" fillId="0" borderId="0"/>
  </cellStyleXfs>
  <cellXfs count="899">
    <xf numFmtId="0" fontId="0" fillId="0" borderId="0" xfId="0"/>
    <xf numFmtId="0" fontId="30" fillId="2" borderId="19" xfId="81" applyFont="1" applyFill="1" applyBorder="1"/>
    <xf numFmtId="0" fontId="31" fillId="2" borderId="20" xfId="81" applyFont="1" applyFill="1" applyBorder="1"/>
    <xf numFmtId="3" fontId="31" fillId="2" borderId="21" xfId="81" applyNumberFormat="1" applyFont="1" applyFill="1" applyBorder="1"/>
    <xf numFmtId="0" fontId="31" fillId="4" borderId="20" xfId="81" applyFont="1" applyFill="1" applyBorder="1"/>
    <xf numFmtId="3" fontId="32" fillId="0" borderId="10" xfId="26" applyNumberFormat="1" applyFont="1" applyFill="1" applyBorder="1" applyAlignment="1">
      <alignment horizontal="center"/>
    </xf>
    <xf numFmtId="3" fontId="32" fillId="0" borderId="12" xfId="26" applyNumberFormat="1" applyFont="1" applyFill="1" applyBorder="1" applyAlignment="1">
      <alignment horizontal="center"/>
    </xf>
    <xf numFmtId="3" fontId="32" fillId="0" borderId="26" xfId="26" applyNumberFormat="1" applyFont="1" applyFill="1" applyBorder="1" applyAlignment="1">
      <alignment horizontal="center"/>
    </xf>
    <xf numFmtId="3" fontId="32" fillId="0" borderId="27" xfId="26" applyNumberFormat="1" applyFont="1" applyFill="1" applyBorder="1" applyAlignment="1">
      <alignment horizontal="center"/>
    </xf>
    <xf numFmtId="3" fontId="31" fillId="4" borderId="21" xfId="81" applyNumberFormat="1" applyFont="1" applyFill="1" applyBorder="1"/>
    <xf numFmtId="172" fontId="31" fillId="3" borderId="21" xfId="81" applyNumberFormat="1" applyFont="1" applyFill="1" applyBorder="1"/>
    <xf numFmtId="0" fontId="32" fillId="5" borderId="0" xfId="74" applyFont="1" applyFill="1"/>
    <xf numFmtId="0" fontId="35" fillId="5" borderId="0" xfId="74" applyFont="1" applyFill="1"/>
    <xf numFmtId="3" fontId="30" fillId="5" borderId="26" xfId="81" applyNumberFormat="1" applyFont="1" applyFill="1" applyBorder="1"/>
    <xf numFmtId="3" fontId="30" fillId="5" borderId="10" xfId="81" applyNumberFormat="1" applyFont="1" applyFill="1" applyBorder="1"/>
    <xf numFmtId="3" fontId="30" fillId="5" borderId="14" xfId="81" applyNumberFormat="1" applyFont="1" applyFill="1" applyBorder="1"/>
    <xf numFmtId="0" fontId="30" fillId="5" borderId="0" xfId="81" applyFont="1" applyFill="1"/>
    <xf numFmtId="10" fontId="30" fillId="5" borderId="0" xfId="81" applyNumberFormat="1" applyFont="1" applyFill="1"/>
    <xf numFmtId="0" fontId="40" fillId="2" borderId="35" xfId="0" applyFont="1" applyFill="1" applyBorder="1" applyAlignment="1">
      <alignment vertical="top"/>
    </xf>
    <xf numFmtId="0" fontId="40" fillId="2" borderId="36" xfId="0" applyFont="1" applyFill="1" applyBorder="1" applyAlignment="1">
      <alignment vertical="top"/>
    </xf>
    <xf numFmtId="0" fontId="37" fillId="2" borderId="36" xfId="0" applyFont="1" applyFill="1" applyBorder="1" applyAlignment="1">
      <alignment vertical="top"/>
    </xf>
    <xf numFmtId="0" fontId="41" fillId="2" borderId="36" xfId="0" applyFont="1" applyFill="1" applyBorder="1" applyAlignment="1">
      <alignment vertical="top"/>
    </xf>
    <xf numFmtId="0" fontId="39" fillId="2" borderId="36" xfId="0" applyFont="1" applyFill="1" applyBorder="1" applyAlignment="1">
      <alignment vertical="top"/>
    </xf>
    <xf numFmtId="0" fontId="37" fillId="2" borderId="37" xfId="0" applyFont="1" applyFill="1" applyBorder="1" applyAlignment="1">
      <alignment vertical="top"/>
    </xf>
    <xf numFmtId="0" fontId="40" fillId="2" borderId="10" xfId="0" applyFont="1" applyFill="1" applyBorder="1" applyAlignment="1">
      <alignment horizontal="center" vertical="center"/>
    </xf>
    <xf numFmtId="0" fontId="40" fillId="2" borderId="23" xfId="0" applyFont="1" applyFill="1" applyBorder="1" applyAlignment="1">
      <alignment horizontal="center" vertical="center"/>
    </xf>
    <xf numFmtId="0" fontId="40" fillId="2" borderId="25" xfId="0" applyFont="1" applyFill="1" applyBorder="1" applyAlignment="1">
      <alignment horizontal="center" vertical="center"/>
    </xf>
    <xf numFmtId="0" fontId="40" fillId="2" borderId="24" xfId="0" applyFont="1" applyFill="1" applyBorder="1" applyAlignment="1">
      <alignment horizontal="center" vertical="center"/>
    </xf>
    <xf numFmtId="0" fontId="41" fillId="2" borderId="23" xfId="0" applyFont="1" applyFill="1" applyBorder="1" applyAlignment="1">
      <alignment horizontal="center" vertical="center" wrapText="1"/>
    </xf>
    <xf numFmtId="0" fontId="41" fillId="2" borderId="25" xfId="0" applyFont="1" applyFill="1" applyBorder="1" applyAlignment="1">
      <alignment horizontal="center" vertical="center" wrapText="1"/>
    </xf>
    <xf numFmtId="0" fontId="39" fillId="2" borderId="25" xfId="0" applyFont="1" applyFill="1" applyBorder="1" applyAlignment="1">
      <alignment horizontal="center" vertical="center" wrapText="1"/>
    </xf>
    <xf numFmtId="3" fontId="30" fillId="5" borderId="5" xfId="81" applyNumberFormat="1" applyFont="1" applyFill="1" applyBorder="1"/>
    <xf numFmtId="3" fontId="30" fillId="5" borderId="31" xfId="81" applyNumberFormat="1" applyFont="1" applyFill="1" applyBorder="1"/>
    <xf numFmtId="3" fontId="30" fillId="5" borderId="27" xfId="81" applyNumberFormat="1" applyFont="1" applyFill="1" applyBorder="1"/>
    <xf numFmtId="3" fontId="30" fillId="5" borderId="11" xfId="81" applyNumberFormat="1" applyFont="1" applyFill="1" applyBorder="1"/>
    <xf numFmtId="3" fontId="30" fillId="5" borderId="12" xfId="81" applyNumberFormat="1" applyFont="1" applyFill="1" applyBorder="1"/>
    <xf numFmtId="3" fontId="30" fillId="5" borderId="15" xfId="81" applyNumberFormat="1" applyFont="1" applyFill="1" applyBorder="1"/>
    <xf numFmtId="3" fontId="30" fillId="5" borderId="16" xfId="81" applyNumberFormat="1" applyFont="1" applyFill="1" applyBorder="1"/>
    <xf numFmtId="3" fontId="31" fillId="2" borderId="29" xfId="81" applyNumberFormat="1" applyFont="1" applyFill="1" applyBorder="1"/>
    <xf numFmtId="3" fontId="31" fillId="2" borderId="22" xfId="81" applyNumberFormat="1" applyFont="1" applyFill="1" applyBorder="1"/>
    <xf numFmtId="3" fontId="31" fillId="4" borderId="29" xfId="81" applyNumberFormat="1" applyFont="1" applyFill="1" applyBorder="1"/>
    <xf numFmtId="3" fontId="31" fillId="4" borderId="22" xfId="81" applyNumberFormat="1" applyFont="1" applyFill="1" applyBorder="1"/>
    <xf numFmtId="172" fontId="31" fillId="3" borderId="29" xfId="81" applyNumberFormat="1" applyFont="1" applyFill="1" applyBorder="1"/>
    <xf numFmtId="172" fontId="31" fillId="3" borderId="22" xfId="81" applyNumberFormat="1" applyFont="1" applyFill="1" applyBorder="1"/>
    <xf numFmtId="0" fontId="34" fillId="2" borderId="27" xfId="81" applyFont="1" applyFill="1" applyBorder="1" applyAlignment="1">
      <alignment horizontal="center"/>
    </xf>
    <xf numFmtId="0" fontId="42" fillId="0" borderId="2" xfId="0" applyFont="1" applyFill="1" applyBorder="1"/>
    <xf numFmtId="0" fontId="42" fillId="0" borderId="3" xfId="0" applyFont="1" applyFill="1" applyBorder="1"/>
    <xf numFmtId="3" fontId="31" fillId="0" borderId="29" xfId="78" applyNumberFormat="1" applyFont="1" applyFill="1" applyBorder="1" applyAlignment="1">
      <alignment horizontal="right"/>
    </xf>
    <xf numFmtId="9" fontId="31" fillId="0" borderId="29" xfId="78" applyNumberFormat="1" applyFont="1" applyFill="1" applyBorder="1" applyAlignment="1">
      <alignment horizontal="right"/>
    </xf>
    <xf numFmtId="3" fontId="31" fillId="0" borderId="22" xfId="78" applyNumberFormat="1" applyFont="1" applyFill="1" applyBorder="1" applyAlignment="1">
      <alignment horizontal="right"/>
    </xf>
    <xf numFmtId="0" fontId="35" fillId="0" borderId="46" xfId="0" applyFont="1" applyFill="1" applyBorder="1" applyAlignment="1"/>
    <xf numFmtId="0" fontId="43" fillId="0" borderId="0" xfId="0" applyFont="1" applyFill="1" applyBorder="1" applyAlignment="1"/>
    <xf numFmtId="3" fontId="36" fillId="0" borderId="8" xfId="0" applyNumberFormat="1" applyFont="1" applyFill="1" applyBorder="1" applyAlignment="1">
      <alignment horizontal="right" vertical="top"/>
    </xf>
    <xf numFmtId="3" fontId="36" fillId="0" borderId="6" xfId="0" applyNumberFormat="1" applyFont="1" applyFill="1" applyBorder="1" applyAlignment="1">
      <alignment horizontal="right" vertical="top"/>
    </xf>
    <xf numFmtId="3" fontId="37" fillId="0" borderId="6" xfId="0" applyNumberFormat="1" applyFont="1" applyFill="1" applyBorder="1" applyAlignment="1">
      <alignment horizontal="right" vertical="top"/>
    </xf>
    <xf numFmtId="3" fontId="36" fillId="0" borderId="13" xfId="0" applyNumberFormat="1" applyFont="1" applyFill="1" applyBorder="1" applyAlignment="1">
      <alignment horizontal="right" vertical="top"/>
    </xf>
    <xf numFmtId="3" fontId="36" fillId="0" borderId="11" xfId="0" applyNumberFormat="1" applyFont="1" applyFill="1" applyBorder="1" applyAlignment="1">
      <alignment horizontal="right" vertical="top"/>
    </xf>
    <xf numFmtId="3" fontId="37" fillId="0" borderId="11" xfId="0" applyNumberFormat="1" applyFont="1" applyFill="1" applyBorder="1" applyAlignment="1">
      <alignment horizontal="right" vertical="top"/>
    </xf>
    <xf numFmtId="3" fontId="38" fillId="0" borderId="13" xfId="0" applyNumberFormat="1" applyFont="1" applyFill="1" applyBorder="1" applyAlignment="1">
      <alignment horizontal="right" vertical="top"/>
    </xf>
    <xf numFmtId="3" fontId="38" fillId="0" borderId="11" xfId="0" applyNumberFormat="1" applyFont="1" applyFill="1" applyBorder="1" applyAlignment="1">
      <alignment horizontal="right" vertical="top"/>
    </xf>
    <xf numFmtId="3" fontId="39" fillId="0" borderId="11" xfId="0" applyNumberFormat="1" applyFont="1" applyFill="1" applyBorder="1" applyAlignment="1">
      <alignment horizontal="right" vertical="top"/>
    </xf>
    <xf numFmtId="3" fontId="36" fillId="0" borderId="34" xfId="0" applyNumberFormat="1" applyFont="1" applyFill="1" applyBorder="1" applyAlignment="1">
      <alignment horizontal="right" vertical="top"/>
    </xf>
    <xf numFmtId="3" fontId="36" fillId="0" borderId="25" xfId="0" applyNumberFormat="1" applyFont="1" applyFill="1" applyBorder="1" applyAlignment="1">
      <alignment horizontal="right" vertical="top"/>
    </xf>
    <xf numFmtId="3" fontId="37" fillId="0" borderId="25" xfId="0" applyNumberFormat="1" applyFont="1" applyFill="1" applyBorder="1" applyAlignment="1">
      <alignment horizontal="right" vertical="top"/>
    </xf>
    <xf numFmtId="0" fontId="7" fillId="0" borderId="0" xfId="82" applyFont="1" applyFill="1"/>
    <xf numFmtId="0" fontId="9" fillId="0" borderId="46" xfId="82" applyFont="1" applyFill="1" applyBorder="1" applyAlignment="1"/>
    <xf numFmtId="0" fontId="32" fillId="0" borderId="0" xfId="49" applyFont="1" applyFill="1"/>
    <xf numFmtId="3" fontId="7" fillId="0" borderId="0" xfId="78" applyNumberFormat="1" applyFont="1" applyFill="1" applyAlignment="1">
      <alignment horizontal="left"/>
    </xf>
    <xf numFmtId="9" fontId="7" fillId="0" borderId="0" xfId="78" applyNumberFormat="1" applyFont="1" applyFill="1"/>
    <xf numFmtId="3" fontId="7" fillId="0" borderId="0" xfId="78" applyNumberFormat="1" applyFont="1" applyFill="1"/>
    <xf numFmtId="3" fontId="3" fillId="0" borderId="44" xfId="79" applyNumberFormat="1" applyFont="1" applyFill="1" applyBorder="1"/>
    <xf numFmtId="9" fontId="3" fillId="0" borderId="44" xfId="79" applyNumberFormat="1" applyFont="1" applyFill="1" applyBorder="1"/>
    <xf numFmtId="9" fontId="3" fillId="0" borderId="45" xfId="79" applyNumberFormat="1" applyFont="1" applyFill="1" applyBorder="1"/>
    <xf numFmtId="0" fontId="3" fillId="0" borderId="39" xfId="79" applyFont="1" applyFill="1" applyBorder="1"/>
    <xf numFmtId="0" fontId="3" fillId="0" borderId="0" xfId="79" applyFont="1" applyFill="1" applyBorder="1"/>
    <xf numFmtId="0" fontId="3" fillId="0" borderId="0" xfId="79" applyFont="1" applyFill="1" applyBorder="1" applyAlignment="1">
      <alignment horizontal="right"/>
    </xf>
    <xf numFmtId="0" fontId="3" fillId="0" borderId="40" xfId="79" applyFont="1" applyFill="1" applyBorder="1"/>
    <xf numFmtId="0" fontId="3" fillId="0" borderId="41" xfId="79" applyFont="1" applyFill="1" applyBorder="1"/>
    <xf numFmtId="165" fontId="3" fillId="0" borderId="72" xfId="53" applyNumberFormat="1" applyFont="1" applyFill="1" applyBorder="1"/>
    <xf numFmtId="9" fontId="3" fillId="0" borderId="72" xfId="53" applyNumberFormat="1" applyFont="1" applyFill="1" applyBorder="1"/>
    <xf numFmtId="3" fontId="32" fillId="0" borderId="0" xfId="26" applyNumberFormat="1" applyFont="1" applyFill="1" applyBorder="1"/>
    <xf numFmtId="0" fontId="32" fillId="0" borderId="0" xfId="26" applyFont="1" applyFill="1"/>
    <xf numFmtId="0" fontId="32" fillId="0" borderId="52" xfId="26" applyFont="1" applyFill="1" applyBorder="1" applyAlignment="1"/>
    <xf numFmtId="3" fontId="33" fillId="0" borderId="0" xfId="26" applyNumberFormat="1" applyFont="1" applyFill="1" applyBorder="1" applyAlignment="1">
      <alignment horizontal="center" vertical="center"/>
    </xf>
    <xf numFmtId="171" fontId="32" fillId="0" borderId="26" xfId="26" applyNumberFormat="1" applyFont="1" applyFill="1" applyBorder="1"/>
    <xf numFmtId="9" fontId="32" fillId="0" borderId="27" xfId="26" applyNumberFormat="1" applyFont="1" applyFill="1" applyBorder="1"/>
    <xf numFmtId="171" fontId="32" fillId="0" borderId="49" xfId="26" applyNumberFormat="1" applyFont="1" applyFill="1" applyBorder="1"/>
    <xf numFmtId="171" fontId="32" fillId="0" borderId="10" xfId="26" applyNumberFormat="1" applyFont="1" applyFill="1" applyBorder="1"/>
    <xf numFmtId="9" fontId="32" fillId="0" borderId="12" xfId="26" applyNumberFormat="1" applyFont="1" applyFill="1" applyBorder="1"/>
    <xf numFmtId="171" fontId="32" fillId="0" borderId="38" xfId="26" applyNumberFormat="1" applyFont="1" applyFill="1" applyBorder="1"/>
    <xf numFmtId="171" fontId="32" fillId="0" borderId="23" xfId="26" applyNumberFormat="1" applyFont="1" applyFill="1" applyBorder="1"/>
    <xf numFmtId="9" fontId="32" fillId="0" borderId="24" xfId="26" applyNumberFormat="1" applyFont="1" applyFill="1" applyBorder="1"/>
    <xf numFmtId="171" fontId="32" fillId="0" borderId="51" xfId="26" applyNumberFormat="1" applyFont="1" applyFill="1" applyBorder="1"/>
    <xf numFmtId="0" fontId="5" fillId="0" borderId="0" xfId="26" applyFont="1" applyFill="1"/>
    <xf numFmtId="0" fontId="3" fillId="0" borderId="0" xfId="26" applyFont="1" applyFill="1" applyAlignment="1">
      <alignment horizontal="left" vertical="top"/>
    </xf>
    <xf numFmtId="0" fontId="5" fillId="0" borderId="0" xfId="26" applyFont="1" applyFill="1" applyAlignment="1">
      <alignment horizontal="left" vertical="top"/>
    </xf>
    <xf numFmtId="49" fontId="3" fillId="0" borderId="0" xfId="26" applyNumberFormat="1" applyFont="1" applyFill="1" applyAlignment="1">
      <alignment horizontal="center"/>
    </xf>
    <xf numFmtId="3" fontId="5" fillId="0" borderId="0" xfId="26" applyNumberFormat="1" applyFont="1" applyFill="1"/>
    <xf numFmtId="167" fontId="5" fillId="0" borderId="0" xfId="26" applyNumberFormat="1" applyFont="1" applyFill="1"/>
    <xf numFmtId="169" fontId="5" fillId="0" borderId="0" xfId="26" applyNumberFormat="1" applyFont="1" applyFill="1" applyAlignment="1">
      <alignment horizontal="right"/>
    </xf>
    <xf numFmtId="9" fontId="5" fillId="0" borderId="0" xfId="26" applyNumberFormat="1" applyFont="1" applyFill="1"/>
    <xf numFmtId="0" fontId="35" fillId="0" borderId="32" xfId="0" applyFont="1" applyFill="1" applyBorder="1" applyAlignment="1"/>
    <xf numFmtId="0" fontId="35" fillId="0" borderId="33" xfId="0" applyFont="1" applyFill="1" applyBorder="1" applyAlignment="1"/>
    <xf numFmtId="0" fontId="35" fillId="0" borderId="64" xfId="0" applyFont="1" applyFill="1" applyBorder="1" applyAlignment="1"/>
    <xf numFmtId="0" fontId="31" fillId="2" borderId="28" xfId="78" applyFont="1" applyFill="1" applyBorder="1" applyAlignment="1">
      <alignment horizontal="right"/>
    </xf>
    <xf numFmtId="3" fontId="31" fillId="2" borderId="63" xfId="78" applyNumberFormat="1" applyFont="1" applyFill="1" applyBorder="1"/>
    <xf numFmtId="0" fontId="3" fillId="2" borderId="21" xfId="79" applyFont="1" applyFill="1" applyBorder="1" applyAlignment="1">
      <alignment horizontal="left"/>
    </xf>
    <xf numFmtId="0" fontId="3" fillId="2" borderId="29" xfId="79" applyFont="1" applyFill="1" applyBorder="1" applyAlignment="1">
      <alignment horizontal="left"/>
    </xf>
    <xf numFmtId="0" fontId="3" fillId="2" borderId="25" xfId="80" applyFont="1" applyFill="1" applyBorder="1"/>
    <xf numFmtId="0" fontId="3" fillId="2" borderId="24" xfId="80" applyFont="1" applyFill="1" applyBorder="1"/>
    <xf numFmtId="0" fontId="3" fillId="2" borderId="43" xfId="79" applyFont="1" applyFill="1" applyBorder="1"/>
    <xf numFmtId="0" fontId="3" fillId="2" borderId="42" xfId="79" applyFont="1" applyFill="1" applyBorder="1"/>
    <xf numFmtId="0" fontId="3" fillId="2" borderId="70" xfId="53" applyFont="1" applyFill="1" applyBorder="1" applyAlignment="1">
      <alignment horizontal="right"/>
    </xf>
    <xf numFmtId="3" fontId="32" fillId="7" borderId="11" xfId="26" applyNumberFormat="1" applyFont="1" applyFill="1" applyBorder="1"/>
    <xf numFmtId="3" fontId="32" fillId="7" borderId="6" xfId="26" applyNumberFormat="1" applyFont="1" applyFill="1" applyBorder="1"/>
    <xf numFmtId="3" fontId="34" fillId="2" borderId="21" xfId="26" applyNumberFormat="1" applyFont="1" applyFill="1" applyBorder="1"/>
    <xf numFmtId="3" fontId="34" fillId="2" borderId="29" xfId="26" applyNumberFormat="1" applyFont="1" applyFill="1" applyBorder="1"/>
    <xf numFmtId="3" fontId="34" fillId="4" borderId="21" xfId="26" applyNumberFormat="1" applyFont="1" applyFill="1" applyBorder="1"/>
    <xf numFmtId="3" fontId="34" fillId="7" borderId="4" xfId="26" applyNumberFormat="1" applyFont="1" applyFill="1" applyBorder="1"/>
    <xf numFmtId="3" fontId="34" fillId="7" borderId="9" xfId="26" applyNumberFormat="1" applyFont="1" applyFill="1" applyBorder="1"/>
    <xf numFmtId="3" fontId="34" fillId="2" borderId="28" xfId="26" applyNumberFormat="1" applyFont="1" applyFill="1" applyBorder="1"/>
    <xf numFmtId="3" fontId="32" fillId="7" borderId="5" xfId="26" applyNumberFormat="1" applyFont="1" applyFill="1" applyBorder="1"/>
    <xf numFmtId="3" fontId="32" fillId="7" borderId="10" xfId="26" applyNumberFormat="1" applyFont="1" applyFill="1" applyBorder="1"/>
    <xf numFmtId="3" fontId="32" fillId="5" borderId="0" xfId="26" applyNumberFormat="1" applyFont="1" applyFill="1" applyBorder="1"/>
    <xf numFmtId="3" fontId="48" fillId="5" borderId="0" xfId="26" applyNumberFormat="1" applyFont="1" applyFill="1" applyBorder="1"/>
    <xf numFmtId="168" fontId="32" fillId="5" borderId="0" xfId="26" applyNumberFormat="1" applyFont="1" applyFill="1" applyBorder="1"/>
    <xf numFmtId="0" fontId="34" fillId="2" borderId="1" xfId="26" applyNumberFormat="1" applyFont="1" applyFill="1" applyBorder="1" applyAlignment="1">
      <alignment horizontal="center"/>
    </xf>
    <xf numFmtId="0" fontId="34" fillId="2" borderId="2" xfId="26" applyNumberFormat="1" applyFont="1" applyFill="1" applyBorder="1" applyAlignment="1">
      <alignment horizontal="center"/>
    </xf>
    <xf numFmtId="168" fontId="34" fillId="2" borderId="3" xfId="26" applyNumberFormat="1" applyFont="1" applyFill="1" applyBorder="1" applyAlignment="1">
      <alignment horizontal="center"/>
    </xf>
    <xf numFmtId="3" fontId="34" fillId="2" borderId="21" xfId="26" applyNumberFormat="1" applyFont="1" applyFill="1" applyBorder="1" applyAlignment="1">
      <alignment horizontal="center"/>
    </xf>
    <xf numFmtId="168" fontId="34" fillId="2" borderId="22" xfId="26" applyNumberFormat="1" applyFont="1" applyFill="1" applyBorder="1" applyAlignment="1">
      <alignment horizontal="center"/>
    </xf>
    <xf numFmtId="168" fontId="34" fillId="7" borderId="7" xfId="86" applyNumberFormat="1" applyFont="1" applyFill="1" applyBorder="1" applyAlignment="1">
      <alignment horizontal="right"/>
    </xf>
    <xf numFmtId="3" fontId="32" fillId="7" borderId="8" xfId="26" applyNumberFormat="1" applyFont="1" applyFill="1" applyBorder="1"/>
    <xf numFmtId="168" fontId="34" fillId="7" borderId="7" xfId="86" applyNumberFormat="1" applyFont="1" applyFill="1" applyBorder="1"/>
    <xf numFmtId="168" fontId="34" fillId="7" borderId="12" xfId="86" applyNumberFormat="1" applyFont="1" applyFill="1" applyBorder="1" applyAlignment="1">
      <alignment horizontal="right"/>
    </xf>
    <xf numFmtId="3" fontId="32" fillId="7" borderId="13" xfId="26" applyNumberFormat="1" applyFont="1" applyFill="1" applyBorder="1"/>
    <xf numFmtId="168" fontId="34" fillId="7" borderId="12" xfId="86" applyNumberFormat="1" applyFont="1" applyFill="1" applyBorder="1"/>
    <xf numFmtId="168" fontId="34" fillId="2" borderId="22" xfId="86" applyNumberFormat="1" applyFont="1" applyFill="1" applyBorder="1" applyAlignment="1">
      <alignment horizontal="right"/>
    </xf>
    <xf numFmtId="3" fontId="34" fillId="2" borderId="30" xfId="26" applyNumberFormat="1" applyFont="1" applyFill="1" applyBorder="1"/>
    <xf numFmtId="168" fontId="34" fillId="2" borderId="22" xfId="86" applyNumberFormat="1" applyFont="1" applyFill="1" applyBorder="1"/>
    <xf numFmtId="3" fontId="34" fillId="2" borderId="22" xfId="26" applyNumberFormat="1" applyFont="1" applyFill="1" applyBorder="1" applyAlignment="1">
      <alignment horizontal="center"/>
    </xf>
    <xf numFmtId="3" fontId="34" fillId="7" borderId="0" xfId="26" applyNumberFormat="1" applyFont="1" applyFill="1" applyBorder="1" applyAlignment="1">
      <alignment horizontal="left"/>
    </xf>
    <xf numFmtId="0" fontId="34" fillId="3" borderId="1" xfId="26" applyNumberFormat="1" applyFont="1" applyFill="1" applyBorder="1" applyAlignment="1">
      <alignment horizontal="center"/>
    </xf>
    <xf numFmtId="0" fontId="34" fillId="3" borderId="2" xfId="26" applyNumberFormat="1" applyFont="1" applyFill="1" applyBorder="1" applyAlignment="1">
      <alignment horizontal="center"/>
    </xf>
    <xf numFmtId="168" fontId="34" fillId="3" borderId="3" xfId="26" applyNumberFormat="1" applyFont="1" applyFill="1" applyBorder="1" applyAlignment="1">
      <alignment horizontal="center"/>
    </xf>
    <xf numFmtId="3" fontId="34" fillId="3" borderId="21" xfId="26" applyNumberFormat="1" applyFont="1" applyFill="1" applyBorder="1" applyAlignment="1">
      <alignment horizontal="center"/>
    </xf>
    <xf numFmtId="168" fontId="34" fillId="3" borderId="22" xfId="26" applyNumberFormat="1" applyFont="1" applyFill="1" applyBorder="1" applyAlignment="1">
      <alignment horizontal="center"/>
    </xf>
    <xf numFmtId="3" fontId="32" fillId="7" borderId="26" xfId="26" applyNumberFormat="1" applyFont="1" applyFill="1" applyBorder="1" applyAlignment="1">
      <alignment horizontal="center"/>
    </xf>
    <xf numFmtId="3" fontId="32" fillId="7" borderId="27" xfId="26" applyNumberFormat="1" applyFont="1" applyFill="1" applyBorder="1" applyAlignment="1">
      <alignment horizontal="center"/>
    </xf>
    <xf numFmtId="3" fontId="32" fillId="7" borderId="10" xfId="26" applyNumberFormat="1" applyFont="1" applyFill="1" applyBorder="1" applyAlignment="1">
      <alignment horizontal="center"/>
    </xf>
    <xf numFmtId="3" fontId="32" fillId="7" borderId="12" xfId="26" applyNumberFormat="1" applyFont="1" applyFill="1" applyBorder="1" applyAlignment="1">
      <alignment horizontal="center"/>
    </xf>
    <xf numFmtId="3" fontId="34" fillId="3" borderId="28" xfId="26" applyNumberFormat="1" applyFont="1" applyFill="1" applyBorder="1"/>
    <xf numFmtId="3" fontId="34" fillId="3" borderId="21" xfId="26" applyNumberFormat="1" applyFont="1" applyFill="1" applyBorder="1"/>
    <xf numFmtId="3" fontId="34" fillId="3" borderId="29" xfId="26" applyNumberFormat="1" applyFont="1" applyFill="1" applyBorder="1"/>
    <xf numFmtId="168" fontId="34" fillId="3" borderId="22" xfId="86" applyNumberFormat="1" applyFont="1" applyFill="1" applyBorder="1" applyAlignment="1">
      <alignment horizontal="right"/>
    </xf>
    <xf numFmtId="168" fontId="34" fillId="3" borderId="22" xfId="86" applyNumberFormat="1" applyFont="1" applyFill="1" applyBorder="1"/>
    <xf numFmtId="3" fontId="34" fillId="3" borderId="22" xfId="26" applyNumberFormat="1" applyFont="1" applyFill="1" applyBorder="1" applyAlignment="1">
      <alignment horizontal="center"/>
    </xf>
    <xf numFmtId="3" fontId="34" fillId="7" borderId="0" xfId="26" applyNumberFormat="1" applyFont="1" applyFill="1" applyBorder="1"/>
    <xf numFmtId="3" fontId="32" fillId="7" borderId="0" xfId="26" applyNumberFormat="1" applyFont="1" applyFill="1" applyBorder="1"/>
    <xf numFmtId="168" fontId="32" fillId="7" borderId="0" xfId="26" applyNumberFormat="1" applyFont="1" applyFill="1" applyBorder="1"/>
    <xf numFmtId="0" fontId="34" fillId="4" borderId="1" xfId="26" applyNumberFormat="1" applyFont="1" applyFill="1" applyBorder="1" applyAlignment="1">
      <alignment horizontal="center"/>
    </xf>
    <xf numFmtId="0" fontId="34" fillId="4" borderId="2" xfId="26" applyNumberFormat="1" applyFont="1" applyFill="1" applyBorder="1" applyAlignment="1">
      <alignment horizontal="center"/>
    </xf>
    <xf numFmtId="168" fontId="34" fillId="4" borderId="3" xfId="26" applyNumberFormat="1" applyFont="1" applyFill="1" applyBorder="1" applyAlignment="1">
      <alignment horizontal="center"/>
    </xf>
    <xf numFmtId="3" fontId="34" fillId="4" borderId="21" xfId="26" applyNumberFormat="1" applyFont="1" applyFill="1" applyBorder="1" applyAlignment="1">
      <alignment horizontal="center"/>
    </xf>
    <xf numFmtId="168" fontId="34" fillId="4" borderId="22" xfId="26" applyNumberFormat="1" applyFont="1" applyFill="1" applyBorder="1" applyAlignment="1">
      <alignment horizontal="center"/>
    </xf>
    <xf numFmtId="3" fontId="34" fillId="4" borderId="28" xfId="26" applyNumberFormat="1" applyFont="1" applyFill="1" applyBorder="1"/>
    <xf numFmtId="3" fontId="34" fillId="4" borderId="29" xfId="26" applyNumberFormat="1" applyFont="1" applyFill="1" applyBorder="1"/>
    <xf numFmtId="168" fontId="34" fillId="4" borderId="22" xfId="86" applyNumberFormat="1" applyFont="1" applyFill="1" applyBorder="1" applyAlignment="1">
      <alignment horizontal="right"/>
    </xf>
    <xf numFmtId="3" fontId="34" fillId="4" borderId="30" xfId="26" applyNumberFormat="1" applyFont="1" applyFill="1" applyBorder="1"/>
    <xf numFmtId="168" fontId="34" fillId="4" borderId="22" xfId="86" applyNumberFormat="1" applyFont="1" applyFill="1" applyBorder="1"/>
    <xf numFmtId="3" fontId="34" fillId="4" borderId="22" xfId="26" applyNumberFormat="1" applyFont="1" applyFill="1" applyBorder="1" applyAlignment="1">
      <alignment horizontal="center"/>
    </xf>
    <xf numFmtId="9" fontId="3" fillId="2" borderId="32" xfId="27" applyNumberFormat="1" applyFont="1" applyFill="1" applyBorder="1" applyAlignment="1">
      <alignment horizontal="center" vertical="center" wrapText="1"/>
    </xf>
    <xf numFmtId="3" fontId="3" fillId="2" borderId="1" xfId="27" applyNumberFormat="1" applyFont="1" applyFill="1" applyBorder="1" applyAlignment="1">
      <alignment horizontal="center" vertical="center" wrapText="1"/>
    </xf>
    <xf numFmtId="3" fontId="3" fillId="2" borderId="2" xfId="27" applyNumberFormat="1" applyFont="1" applyFill="1" applyBorder="1" applyAlignment="1">
      <alignment horizontal="center" vertical="center" wrapText="1"/>
    </xf>
    <xf numFmtId="9" fontId="3" fillId="2" borderId="3" xfId="27" applyNumberFormat="1" applyFont="1" applyFill="1" applyBorder="1" applyAlignment="1">
      <alignment horizontal="center" vertical="center" wrapText="1"/>
    </xf>
    <xf numFmtId="9" fontId="3" fillId="2" borderId="3" xfId="27" applyNumberFormat="1" applyFont="1" applyFill="1" applyBorder="1" applyAlignment="1">
      <alignment horizontal="center" vertical="center"/>
    </xf>
    <xf numFmtId="171" fontId="34" fillId="2" borderId="48" xfId="26" quotePrefix="1" applyNumberFormat="1" applyFont="1" applyFill="1" applyBorder="1" applyAlignment="1">
      <alignment horizontal="center"/>
    </xf>
    <xf numFmtId="171" fontId="34" fillId="2" borderId="9" xfId="26" quotePrefix="1" applyNumberFormat="1" applyFont="1" applyFill="1" applyBorder="1" applyAlignment="1">
      <alignment horizontal="center"/>
    </xf>
    <xf numFmtId="171" fontId="34" fillId="2" borderId="50" xfId="26" quotePrefix="1" applyNumberFormat="1" applyFont="1" applyFill="1" applyBorder="1" applyAlignment="1">
      <alignment horizontal="center"/>
    </xf>
    <xf numFmtId="0" fontId="32" fillId="2" borderId="32" xfId="26" applyFont="1" applyFill="1" applyBorder="1"/>
    <xf numFmtId="0" fontId="3" fillId="2" borderId="64" xfId="33" applyFont="1" applyFill="1" applyBorder="1" applyAlignment="1">
      <alignment horizontal="center" vertical="center"/>
    </xf>
    <xf numFmtId="9" fontId="3" fillId="0" borderId="71" xfId="53" applyNumberFormat="1" applyFont="1" applyFill="1" applyBorder="1"/>
    <xf numFmtId="0" fontId="35" fillId="0" borderId="27" xfId="0" applyFont="1" applyBorder="1" applyAlignment="1"/>
    <xf numFmtId="0" fontId="35" fillId="5" borderId="7" xfId="0" applyFont="1" applyFill="1" applyBorder="1"/>
    <xf numFmtId="0" fontId="35" fillId="5" borderId="12" xfId="0" applyFont="1" applyFill="1" applyBorder="1"/>
    <xf numFmtId="0" fontId="35" fillId="5" borderId="24" xfId="0" applyFont="1" applyFill="1" applyBorder="1"/>
    <xf numFmtId="0" fontId="35" fillId="5" borderId="46" xfId="0" applyFont="1" applyFill="1" applyBorder="1"/>
    <xf numFmtId="0" fontId="35" fillId="5" borderId="52" xfId="0" applyFont="1" applyFill="1" applyBorder="1"/>
    <xf numFmtId="9" fontId="37" fillId="0" borderId="7" xfId="0" applyNumberFormat="1" applyFont="1" applyFill="1" applyBorder="1" applyAlignment="1">
      <alignment horizontal="right" vertical="top"/>
    </xf>
    <xf numFmtId="9" fontId="37" fillId="0" borderId="12" xfId="0" applyNumberFormat="1" applyFont="1" applyFill="1" applyBorder="1" applyAlignment="1">
      <alignment horizontal="right" vertical="top"/>
    </xf>
    <xf numFmtId="9" fontId="39" fillId="0" borderId="12" xfId="0" applyNumberFormat="1" applyFont="1" applyFill="1" applyBorder="1" applyAlignment="1">
      <alignment horizontal="right" vertical="top"/>
    </xf>
    <xf numFmtId="9" fontId="37" fillId="0" borderId="24" xfId="0" applyNumberFormat="1" applyFont="1" applyFill="1" applyBorder="1" applyAlignment="1">
      <alignment horizontal="right" vertical="top"/>
    </xf>
    <xf numFmtId="0" fontId="32" fillId="0" borderId="0" xfId="76" applyFont="1" applyFill="1"/>
    <xf numFmtId="0" fontId="32" fillId="0" borderId="0" xfId="26" applyFont="1" applyFill="1" applyBorder="1" applyAlignment="1"/>
    <xf numFmtId="0" fontId="32" fillId="0" borderId="2" xfId="76" applyFont="1" applyFill="1" applyBorder="1" applyAlignment="1"/>
    <xf numFmtId="0" fontId="34" fillId="2" borderId="70" xfId="53" applyFont="1" applyFill="1" applyBorder="1" applyAlignment="1">
      <alignment horizontal="right"/>
    </xf>
    <xf numFmtId="165" fontId="34" fillId="0" borderId="75" xfId="53" applyNumberFormat="1" applyFont="1" applyFill="1" applyBorder="1"/>
    <xf numFmtId="165" fontId="34" fillId="0" borderId="76" xfId="53" applyNumberFormat="1" applyFont="1" applyFill="1" applyBorder="1"/>
    <xf numFmtId="9" fontId="34" fillId="0" borderId="77" xfId="83" applyNumberFormat="1" applyFont="1" applyFill="1" applyBorder="1"/>
    <xf numFmtId="170" fontId="34" fillId="0" borderId="75" xfId="53" applyNumberFormat="1" applyFont="1" applyFill="1" applyBorder="1"/>
    <xf numFmtId="170" fontId="34" fillId="0" borderId="76" xfId="53" applyNumberFormat="1" applyFont="1" applyFill="1" applyBorder="1"/>
    <xf numFmtId="3" fontId="34" fillId="0" borderId="77" xfId="83" applyNumberFormat="1" applyFont="1" applyFill="1" applyBorder="1"/>
    <xf numFmtId="3" fontId="32" fillId="0" borderId="0" xfId="76" applyNumberFormat="1" applyFont="1" applyFill="1"/>
    <xf numFmtId="9" fontId="32" fillId="0" borderId="0" xfId="76" applyNumberFormat="1" applyFont="1" applyFill="1"/>
    <xf numFmtId="170" fontId="32" fillId="0" borderId="0" xfId="76" applyNumberFormat="1" applyFont="1" applyFill="1"/>
    <xf numFmtId="0" fontId="32" fillId="0" borderId="52" xfId="26" applyFont="1" applyFill="1" applyBorder="1" applyAlignment="1">
      <alignment horizontal="right"/>
    </xf>
    <xf numFmtId="171" fontId="32" fillId="0" borderId="48" xfId="26" quotePrefix="1" applyNumberFormat="1" applyFont="1" applyFill="1" applyBorder="1" applyAlignment="1">
      <alignment horizontal="right"/>
    </xf>
    <xf numFmtId="171" fontId="32" fillId="0" borderId="9" xfId="26" quotePrefix="1" applyNumberFormat="1" applyFont="1" applyFill="1" applyBorder="1" applyAlignment="1">
      <alignment horizontal="right"/>
    </xf>
    <xf numFmtId="171" fontId="32" fillId="0" borderId="50" xfId="26" quotePrefix="1" applyNumberFormat="1" applyFont="1" applyFill="1" applyBorder="1" applyAlignment="1">
      <alignment horizontal="right"/>
    </xf>
    <xf numFmtId="0" fontId="32" fillId="0" borderId="0" xfId="26" applyFont="1" applyFill="1" applyAlignment="1">
      <alignment horizontal="right"/>
    </xf>
    <xf numFmtId="3" fontId="34" fillId="0" borderId="31" xfId="53" applyNumberFormat="1" applyFont="1" applyFill="1" applyBorder="1"/>
    <xf numFmtId="3" fontId="34" fillId="0" borderId="27" xfId="53" applyNumberFormat="1" applyFont="1" applyFill="1" applyBorder="1"/>
    <xf numFmtId="0" fontId="31" fillId="0" borderId="3" xfId="78" applyFont="1" applyFill="1" applyBorder="1" applyAlignment="1">
      <alignment horizontal="left"/>
    </xf>
    <xf numFmtId="0" fontId="34" fillId="2" borderId="52" xfId="0" applyFont="1" applyFill="1" applyBorder="1" applyAlignment="1">
      <alignment horizontal="center"/>
    </xf>
    <xf numFmtId="3" fontId="3" fillId="0" borderId="71" xfId="53" applyNumberFormat="1" applyFont="1" applyFill="1" applyBorder="1"/>
    <xf numFmtId="3" fontId="3" fillId="0" borderId="72" xfId="53" applyNumberFormat="1" applyFont="1" applyFill="1" applyBorder="1"/>
    <xf numFmtId="3" fontId="3" fillId="0" borderId="73" xfId="53" applyNumberFormat="1" applyFont="1" applyFill="1" applyBorder="1"/>
    <xf numFmtId="0" fontId="34" fillId="2" borderId="52" xfId="0" applyNumberFormat="1" applyFont="1" applyFill="1" applyBorder="1" applyAlignment="1">
      <alignment horizontal="center"/>
    </xf>
    <xf numFmtId="3" fontId="3" fillId="0" borderId="74" xfId="53" applyNumberFormat="1" applyFont="1" applyFill="1" applyBorder="1"/>
    <xf numFmtId="3" fontId="3" fillId="0" borderId="79" xfId="53" applyNumberFormat="1" applyFont="1" applyFill="1" applyBorder="1"/>
    <xf numFmtId="169" fontId="5" fillId="0" borderId="0" xfId="26" applyNumberFormat="1" applyFont="1" applyFill="1"/>
    <xf numFmtId="167" fontId="3" fillId="2" borderId="32" xfId="24" applyNumberFormat="1" applyFont="1" applyFill="1" applyBorder="1" applyAlignment="1">
      <alignment horizontal="center" vertical="center" wrapText="1"/>
    </xf>
    <xf numFmtId="170" fontId="35" fillId="0" borderId="0" xfId="0" applyNumberFormat="1" applyFont="1" applyFill="1"/>
    <xf numFmtId="0" fontId="34" fillId="2" borderId="48" xfId="74" applyFont="1" applyFill="1" applyBorder="1" applyAlignment="1">
      <alignment horizontal="center"/>
    </xf>
    <xf numFmtId="0" fontId="30" fillId="5" borderId="46" xfId="81" applyFont="1" applyFill="1" applyBorder="1"/>
    <xf numFmtId="0" fontId="34" fillId="2" borderId="25" xfId="81" applyFont="1" applyFill="1" applyBorder="1" applyAlignment="1">
      <alignment horizontal="center"/>
    </xf>
    <xf numFmtId="0" fontId="34" fillId="2" borderId="24" xfId="81" applyFont="1" applyFill="1" applyBorder="1" applyAlignment="1">
      <alignment horizontal="center"/>
    </xf>
    <xf numFmtId="0" fontId="35" fillId="0" borderId="0" xfId="0" applyFont="1" applyFill="1" applyBorder="1" applyAlignment="1"/>
    <xf numFmtId="0" fontId="49" fillId="2" borderId="19" xfId="1" applyFont="1" applyFill="1" applyBorder="1"/>
    <xf numFmtId="0" fontId="50" fillId="0" borderId="0" xfId="0" applyFont="1" applyFill="1"/>
    <xf numFmtId="0" fontId="51" fillId="0" borderId="0" xfId="0" applyFont="1" applyFill="1"/>
    <xf numFmtId="0" fontId="51" fillId="0" borderId="0" xfId="0" applyFont="1" applyFill="1" applyBorder="1"/>
    <xf numFmtId="3" fontId="35" fillId="0" borderId="31" xfId="0" applyNumberFormat="1" applyFont="1" applyFill="1" applyBorder="1"/>
    <xf numFmtId="3" fontId="35" fillId="0" borderId="26" xfId="0" applyNumberFormat="1" applyFont="1" applyFill="1" applyBorder="1"/>
    <xf numFmtId="3" fontId="35" fillId="0" borderId="10" xfId="0" applyNumberFormat="1" applyFont="1" applyFill="1" applyBorder="1"/>
    <xf numFmtId="3" fontId="35" fillId="0" borderId="11" xfId="0" applyNumberFormat="1" applyFont="1" applyFill="1" applyBorder="1"/>
    <xf numFmtId="3" fontId="35" fillId="0" borderId="14" xfId="0" applyNumberFormat="1" applyFont="1" applyFill="1" applyBorder="1"/>
    <xf numFmtId="3" fontId="35" fillId="0" borderId="15" xfId="0" applyNumberFormat="1" applyFont="1" applyFill="1" applyBorder="1"/>
    <xf numFmtId="9" fontId="35" fillId="0" borderId="27" xfId="0" applyNumberFormat="1" applyFont="1" applyFill="1" applyBorder="1"/>
    <xf numFmtId="9" fontId="35" fillId="0" borderId="12" xfId="0" applyNumberFormat="1" applyFont="1" applyFill="1" applyBorder="1"/>
    <xf numFmtId="9" fontId="35" fillId="0" borderId="16" xfId="0" applyNumberFormat="1" applyFont="1" applyFill="1" applyBorder="1"/>
    <xf numFmtId="9" fontId="31" fillId="2" borderId="22" xfId="81" applyNumberFormat="1" applyFont="1" applyFill="1" applyBorder="1"/>
    <xf numFmtId="9" fontId="31" fillId="4" borderId="22" xfId="81" applyNumberFormat="1" applyFont="1" applyFill="1" applyBorder="1"/>
    <xf numFmtId="9" fontId="31" fillId="3" borderId="22" xfId="81" applyNumberFormat="1" applyFont="1" applyFill="1" applyBorder="1"/>
    <xf numFmtId="0" fontId="34" fillId="2" borderId="23" xfId="81" applyFont="1" applyFill="1" applyBorder="1" applyAlignment="1">
      <alignment horizontal="center"/>
    </xf>
    <xf numFmtId="49" fontId="40" fillId="2" borderId="11" xfId="0" applyNumberFormat="1" applyFont="1" applyFill="1" applyBorder="1" applyAlignment="1">
      <alignment horizontal="center" vertical="center"/>
    </xf>
    <xf numFmtId="3" fontId="51" fillId="0" borderId="0" xfId="76" applyNumberFormat="1" applyFont="1" applyFill="1" applyBorder="1"/>
    <xf numFmtId="3" fontId="34" fillId="7" borderId="17" xfId="26" applyNumberFormat="1" applyFont="1" applyFill="1" applyBorder="1"/>
    <xf numFmtId="3" fontId="32" fillId="7" borderId="81" xfId="26" applyNumberFormat="1" applyFont="1" applyFill="1" applyBorder="1"/>
    <xf numFmtId="3" fontId="32" fillId="7" borderId="61" xfId="26" applyNumberFormat="1" applyFont="1" applyFill="1" applyBorder="1"/>
    <xf numFmtId="168" fontId="34" fillId="7" borderId="69" xfId="86" applyNumberFormat="1" applyFont="1" applyFill="1" applyBorder="1" applyAlignment="1">
      <alignment horizontal="right"/>
    </xf>
    <xf numFmtId="3" fontId="32" fillId="7" borderId="82" xfId="26" applyNumberFormat="1" applyFont="1" applyFill="1" applyBorder="1"/>
    <xf numFmtId="168" fontId="34" fillId="7" borderId="69" xfId="86" applyNumberFormat="1" applyFont="1" applyFill="1" applyBorder="1"/>
    <xf numFmtId="3" fontId="32" fillId="0" borderId="81" xfId="26" applyNumberFormat="1" applyFont="1" applyFill="1" applyBorder="1" applyAlignment="1">
      <alignment horizontal="center"/>
    </xf>
    <xf numFmtId="3" fontId="32" fillId="0" borderId="69" xfId="26" applyNumberFormat="1" applyFont="1" applyFill="1" applyBorder="1" applyAlignment="1">
      <alignment horizontal="center"/>
    </xf>
    <xf numFmtId="3" fontId="32" fillId="7" borderId="81" xfId="26" applyNumberFormat="1" applyFont="1" applyFill="1" applyBorder="1" applyAlignment="1">
      <alignment horizontal="center"/>
    </xf>
    <xf numFmtId="3" fontId="32" fillId="7" borderId="69" xfId="26" applyNumberFormat="1" applyFont="1" applyFill="1" applyBorder="1" applyAlignment="1">
      <alignment horizontal="center"/>
    </xf>
    <xf numFmtId="0" fontId="35" fillId="0" borderId="0" xfId="0" applyFont="1" applyFill="1"/>
    <xf numFmtId="0" fontId="35" fillId="0" borderId="52" xfId="0" applyFont="1" applyFill="1" applyBorder="1" applyAlignment="1"/>
    <xf numFmtId="0" fontId="35" fillId="0" borderId="0" xfId="0" applyFont="1" applyFill="1" applyAlignment="1"/>
    <xf numFmtId="0" fontId="49" fillId="4" borderId="35" xfId="1" applyFont="1" applyFill="1" applyBorder="1"/>
    <xf numFmtId="0" fontId="49" fillId="4" borderId="19" xfId="1" applyFont="1" applyFill="1" applyBorder="1"/>
    <xf numFmtId="0" fontId="49" fillId="3" borderId="20" xfId="1" applyFont="1" applyFill="1" applyBorder="1"/>
    <xf numFmtId="0" fontId="52" fillId="0" borderId="0" xfId="0" applyFont="1" applyFill="1" applyBorder="1" applyAlignment="1">
      <alignment vertical="center"/>
    </xf>
    <xf numFmtId="0" fontId="52" fillId="0" borderId="0" xfId="0" applyFont="1" applyFill="1" applyAlignment="1">
      <alignment vertical="center"/>
    </xf>
    <xf numFmtId="3" fontId="50" fillId="0" borderId="0" xfId="76" applyNumberFormat="1" applyFont="1" applyFill="1" applyBorder="1"/>
    <xf numFmtId="0" fontId="35" fillId="2" borderId="31" xfId="0" applyFont="1" applyFill="1" applyBorder="1" applyAlignment="1">
      <alignment horizontal="center" vertical="center"/>
    </xf>
    <xf numFmtId="0" fontId="40" fillId="2" borderId="11" xfId="0" applyFont="1" applyFill="1" applyBorder="1" applyAlignment="1">
      <alignment horizontal="center" vertical="center"/>
    </xf>
    <xf numFmtId="0" fontId="35" fillId="2" borderId="27" xfId="0" applyFont="1" applyFill="1" applyBorder="1" applyAlignment="1">
      <alignment horizontal="center" vertical="center"/>
    </xf>
    <xf numFmtId="0" fontId="41" fillId="2" borderId="11" xfId="0" applyFont="1" applyFill="1" applyBorder="1" applyAlignment="1">
      <alignment horizontal="center" vertical="center" wrapText="1"/>
    </xf>
    <xf numFmtId="165" fontId="34" fillId="2" borderId="26" xfId="53" applyNumberFormat="1" applyFont="1" applyFill="1" applyBorder="1" applyAlignment="1">
      <alignment horizontal="right"/>
    </xf>
    <xf numFmtId="0" fontId="3" fillId="2" borderId="31" xfId="80" applyFont="1" applyFill="1" applyBorder="1" applyAlignment="1">
      <alignment horizontal="left"/>
    </xf>
    <xf numFmtId="0" fontId="3" fillId="0" borderId="0" xfId="79" applyFont="1" applyFill="1" applyBorder="1" applyAlignment="1">
      <alignment horizontal="left"/>
    </xf>
    <xf numFmtId="169" fontId="3" fillId="2" borderId="32" xfId="26" applyNumberFormat="1" applyFont="1" applyFill="1" applyBorder="1" applyAlignment="1">
      <alignment horizontal="left" vertical="top"/>
    </xf>
    <xf numFmtId="0" fontId="49" fillId="3" borderId="10" xfId="1" applyFont="1" applyFill="1" applyBorder="1"/>
    <xf numFmtId="0" fontId="49" fillId="3" borderId="5" xfId="1" applyFont="1" applyFill="1" applyBorder="1"/>
    <xf numFmtId="0" fontId="49" fillId="6" borderId="5" xfId="1" applyFont="1" applyFill="1" applyBorder="1"/>
    <xf numFmtId="0" fontId="49" fillId="6" borderId="62" xfId="1" applyFont="1" applyFill="1" applyBorder="1"/>
    <xf numFmtId="0" fontId="49" fillId="2" borderId="5" xfId="1" applyFont="1" applyFill="1" applyBorder="1"/>
    <xf numFmtId="0" fontId="49" fillId="4" borderId="5" xfId="1" applyFont="1" applyFill="1" applyBorder="1"/>
    <xf numFmtId="0" fontId="35" fillId="0" borderId="0" xfId="0" applyFont="1"/>
    <xf numFmtId="0" fontId="35" fillId="0" borderId="0" xfId="0" applyFont="1" applyBorder="1" applyAlignment="1"/>
    <xf numFmtId="3" fontId="35" fillId="0" borderId="0" xfId="0" applyNumberFormat="1" applyFont="1"/>
    <xf numFmtId="9" fontId="35" fillId="0" borderId="0" xfId="0" applyNumberFormat="1" applyFont="1"/>
    <xf numFmtId="0" fontId="35" fillId="0" borderId="0" xfId="0" applyFont="1" applyBorder="1"/>
    <xf numFmtId="3" fontId="42" fillId="2" borderId="55" xfId="0" applyNumberFormat="1" applyFont="1" applyFill="1" applyBorder="1"/>
    <xf numFmtId="3" fontId="42" fillId="2" borderId="57" xfId="0" applyNumberFormat="1" applyFont="1" applyFill="1" applyBorder="1"/>
    <xf numFmtId="9" fontId="42" fillId="2" borderId="63" xfId="0" applyNumberFormat="1" applyFont="1" applyFill="1" applyBorder="1"/>
    <xf numFmtId="0" fontId="53" fillId="2" borderId="20" xfId="1" applyFont="1" applyFill="1" applyBorder="1" applyAlignment="1"/>
    <xf numFmtId="0" fontId="35" fillId="2" borderId="30" xfId="0" applyFont="1" applyFill="1" applyBorder="1" applyAlignment="1"/>
    <xf numFmtId="3" fontId="35" fillId="2" borderId="29" xfId="0" applyNumberFormat="1" applyFont="1" applyFill="1" applyBorder="1" applyAlignment="1"/>
    <xf numFmtId="9" fontId="35" fillId="2" borderId="22" xfId="0" applyNumberFormat="1" applyFont="1" applyFill="1" applyBorder="1" applyAlignment="1"/>
    <xf numFmtId="0" fontId="42" fillId="2" borderId="60" xfId="0" applyFont="1" applyFill="1" applyBorder="1" applyAlignment="1"/>
    <xf numFmtId="0" fontId="35" fillId="0" borderId="8" xfId="0" applyFont="1" applyBorder="1" applyAlignment="1"/>
    <xf numFmtId="3" fontId="35" fillId="0" borderId="6" xfId="0" applyNumberFormat="1" applyFont="1" applyBorder="1" applyAlignment="1"/>
    <xf numFmtId="9" fontId="35" fillId="0" borderId="12" xfId="0" applyNumberFormat="1" applyFont="1" applyBorder="1" applyAlignment="1"/>
    <xf numFmtId="0" fontId="32" fillId="2" borderId="36" xfId="1" applyFont="1" applyFill="1" applyBorder="1" applyAlignment="1">
      <alignment horizontal="left" indent="2"/>
    </xf>
    <xf numFmtId="0" fontId="35" fillId="0" borderId="13" xfId="0" applyFont="1" applyBorder="1" applyAlignment="1"/>
    <xf numFmtId="3" fontId="35" fillId="0" borderId="11" xfId="0" applyNumberFormat="1" applyFont="1" applyBorder="1" applyAlignment="1"/>
    <xf numFmtId="0" fontId="49" fillId="2" borderId="36" xfId="1" applyFont="1" applyFill="1" applyBorder="1" applyAlignment="1">
      <alignment horizontal="left" indent="4"/>
    </xf>
    <xf numFmtId="9" fontId="35" fillId="0" borderId="11" xfId="0" applyNumberFormat="1" applyFont="1" applyBorder="1" applyAlignment="1"/>
    <xf numFmtId="0" fontId="35" fillId="2" borderId="36" xfId="0" applyFont="1" applyFill="1" applyBorder="1" applyAlignment="1">
      <alignment horizontal="left" indent="2"/>
    </xf>
    <xf numFmtId="0" fontId="34" fillId="2" borderId="36" xfId="1" applyFont="1" applyFill="1" applyBorder="1" applyAlignment="1"/>
    <xf numFmtId="0" fontId="49" fillId="2" borderId="36" xfId="1" applyFont="1" applyFill="1" applyBorder="1" applyAlignment="1">
      <alignment horizontal="left" indent="2"/>
    </xf>
    <xf numFmtId="0" fontId="53" fillId="2" borderId="36" xfId="1" applyFont="1" applyFill="1" applyBorder="1" applyAlignment="1"/>
    <xf numFmtId="0" fontId="35" fillId="0" borderId="34" xfId="0" applyFont="1" applyBorder="1" applyAlignment="1"/>
    <xf numFmtId="3" fontId="35" fillId="0" borderId="25" xfId="0" applyNumberFormat="1" applyFont="1" applyBorder="1" applyAlignment="1"/>
    <xf numFmtId="9" fontId="35" fillId="0" borderId="24" xfId="0" applyNumberFormat="1" applyFont="1" applyBorder="1" applyAlignment="1"/>
    <xf numFmtId="0" fontId="42" fillId="0" borderId="46" xfId="0" applyFont="1" applyFill="1" applyBorder="1" applyAlignment="1">
      <alignment horizontal="left" indent="2"/>
    </xf>
    <xf numFmtId="0" fontId="35" fillId="0" borderId="46" xfId="0" applyFont="1" applyBorder="1" applyAlignment="1"/>
    <xf numFmtId="3" fontId="35" fillId="0" borderId="46" xfId="0" applyNumberFormat="1" applyFont="1" applyBorder="1" applyAlignment="1"/>
    <xf numFmtId="9" fontId="35" fillId="0" borderId="46" xfId="0" applyNumberFormat="1" applyFont="1" applyBorder="1" applyAlignment="1"/>
    <xf numFmtId="0" fontId="53" fillId="4" borderId="20" xfId="1" applyFont="1" applyFill="1" applyBorder="1" applyAlignment="1">
      <alignment horizontal="left"/>
    </xf>
    <xf numFmtId="0" fontId="35" fillId="4" borderId="30" xfId="0" applyFont="1" applyFill="1" applyBorder="1" applyAlignment="1"/>
    <xf numFmtId="3" fontId="35" fillId="4" borderId="29" xfId="0" applyNumberFormat="1" applyFont="1" applyFill="1" applyBorder="1" applyAlignment="1"/>
    <xf numFmtId="9" fontId="35" fillId="4" borderId="22" xfId="0" applyNumberFormat="1" applyFont="1" applyFill="1" applyBorder="1" applyAlignment="1"/>
    <xf numFmtId="0" fontId="53" fillId="4" borderId="60" xfId="1" applyFont="1" applyFill="1" applyBorder="1" applyAlignment="1">
      <alignment horizontal="left"/>
    </xf>
    <xf numFmtId="0" fontId="49" fillId="4" borderId="36" xfId="1" applyFont="1" applyFill="1" applyBorder="1" applyAlignment="1">
      <alignment horizontal="left" indent="2"/>
    </xf>
    <xf numFmtId="0" fontId="53" fillId="4" borderId="36" xfId="1" applyFont="1" applyFill="1" applyBorder="1" applyAlignment="1">
      <alignment horizontal="left"/>
    </xf>
    <xf numFmtId="0" fontId="49" fillId="4" borderId="36" xfId="1" applyFont="1" applyFill="1" applyBorder="1" applyAlignment="1">
      <alignment horizontal="left" indent="4"/>
    </xf>
    <xf numFmtId="9" fontId="35" fillId="0" borderId="11" xfId="0" applyNumberFormat="1" applyFont="1" applyBorder="1" applyAlignment="1">
      <alignment horizontal="right"/>
    </xf>
    <xf numFmtId="0" fontId="49" fillId="4" borderId="36" xfId="1" applyFont="1" applyFill="1" applyBorder="1" applyAlignment="1">
      <alignment horizontal="left" wrapText="1" indent="2"/>
    </xf>
    <xf numFmtId="0" fontId="35" fillId="4" borderId="37" xfId="0" applyFont="1" applyFill="1" applyBorder="1" applyAlignment="1">
      <alignment horizontal="left" indent="2"/>
    </xf>
    <xf numFmtId="0" fontId="42" fillId="0" borderId="0" xfId="0" applyFont="1" applyFill="1" applyBorder="1" applyAlignment="1"/>
    <xf numFmtId="0" fontId="35" fillId="0" borderId="0" xfId="0" applyFont="1" applyAlignment="1"/>
    <xf numFmtId="3" fontId="35" fillId="0" borderId="0" xfId="0" applyNumberFormat="1" applyFont="1" applyAlignment="1"/>
    <xf numFmtId="9" fontId="35" fillId="0" borderId="52" xfId="0" applyNumberFormat="1" applyFont="1" applyBorder="1" applyAlignment="1"/>
    <xf numFmtId="0" fontId="42" fillId="3" borderId="20" xfId="0" applyFont="1" applyFill="1" applyBorder="1" applyAlignment="1"/>
    <xf numFmtId="0" fontId="35" fillId="3" borderId="30" xfId="0" applyFont="1" applyFill="1" applyBorder="1" applyAlignment="1"/>
    <xf numFmtId="3" fontId="35" fillId="3" borderId="29" xfId="0" applyNumberFormat="1" applyFont="1" applyFill="1" applyBorder="1" applyAlignment="1"/>
    <xf numFmtId="9" fontId="35" fillId="3" borderId="22" xfId="0" applyNumberFormat="1" applyFont="1" applyFill="1" applyBorder="1" applyAlignment="1"/>
    <xf numFmtId="0" fontId="43" fillId="0" borderId="0" xfId="0" applyFont="1" applyFill="1"/>
    <xf numFmtId="16" fontId="43" fillId="0" borderId="0" xfId="0" quotePrefix="1" applyNumberFormat="1" applyFont="1" applyFill="1"/>
    <xf numFmtId="0" fontId="43" fillId="0" borderId="0" xfId="0" quotePrefix="1" applyFont="1" applyFill="1"/>
    <xf numFmtId="172" fontId="43" fillId="0" borderId="0" xfId="0" applyNumberFormat="1" applyFont="1" applyFill="1"/>
    <xf numFmtId="173" fontId="43" fillId="0" borderId="0" xfId="0" applyNumberFormat="1" applyFont="1" applyFill="1"/>
    <xf numFmtId="3" fontId="43" fillId="0" borderId="0" xfId="0" applyNumberFormat="1" applyFont="1" applyFill="1"/>
    <xf numFmtId="0" fontId="8" fillId="0" borderId="0" xfId="81" applyFont="1" applyFill="1"/>
    <xf numFmtId="0" fontId="54" fillId="0" borderId="46" xfId="81" applyFont="1" applyFill="1" applyBorder="1" applyAlignment="1"/>
    <xf numFmtId="0" fontId="7" fillId="0" borderId="0" xfId="78" applyFont="1" applyFill="1" applyBorder="1" applyAlignment="1"/>
    <xf numFmtId="3" fontId="35" fillId="0" borderId="0" xfId="0" applyNumberFormat="1" applyFont="1" applyFill="1"/>
    <xf numFmtId="0" fontId="35" fillId="0" borderId="0" xfId="0" applyFont="1" applyFill="1" applyAlignment="1">
      <alignment horizontal="left"/>
    </xf>
    <xf numFmtId="165" fontId="35" fillId="0" borderId="0" xfId="0" applyNumberFormat="1" applyFont="1" applyFill="1"/>
    <xf numFmtId="9" fontId="35" fillId="0" borderId="0" xfId="0" applyNumberFormat="1" applyFont="1" applyFill="1"/>
    <xf numFmtId="165" fontId="30" fillId="0" borderId="0" xfId="78" applyNumberFormat="1" applyFont="1" applyFill="1" applyBorder="1" applyAlignment="1"/>
    <xf numFmtId="3" fontId="30" fillId="0" borderId="0" xfId="78" applyNumberFormat="1" applyFont="1" applyFill="1" applyBorder="1" applyAlignment="1"/>
    <xf numFmtId="165" fontId="35" fillId="0" borderId="0" xfId="0" applyNumberFormat="1" applyFont="1" applyFill="1" applyAlignment="1">
      <alignment horizontal="right"/>
    </xf>
    <xf numFmtId="3" fontId="7" fillId="0" borderId="0" xfId="78" applyNumberFormat="1" applyFont="1" applyFill="1" applyBorder="1" applyAlignment="1"/>
    <xf numFmtId="9" fontId="7" fillId="0" borderId="0" xfId="78" applyNumberFormat="1" applyFont="1" applyFill="1" applyBorder="1" applyAlignment="1"/>
    <xf numFmtId="0" fontId="7" fillId="0" borderId="0" xfId="78" applyFont="1" applyFill="1"/>
    <xf numFmtId="0" fontId="7" fillId="0" borderId="0" xfId="78" applyFont="1" applyFill="1" applyBorder="1" applyAlignment="1">
      <alignment horizontal="left"/>
    </xf>
    <xf numFmtId="0" fontId="35" fillId="0" borderId="0" xfId="0" applyFont="1" applyFill="1" applyAlignment="1">
      <alignment horizontal="right"/>
    </xf>
    <xf numFmtId="166" fontId="35" fillId="0" borderId="0" xfId="0" applyNumberFormat="1" applyFont="1" applyFill="1"/>
    <xf numFmtId="0" fontId="42" fillId="2" borderId="28" xfId="0" applyFont="1" applyFill="1" applyBorder="1" applyAlignment="1">
      <alignment horizontal="right"/>
    </xf>
    <xf numFmtId="170" fontId="42" fillId="0" borderId="21" xfId="0" applyNumberFormat="1" applyFont="1" applyFill="1" applyBorder="1" applyAlignment="1"/>
    <xf numFmtId="170" fontId="42" fillId="0" borderId="29" xfId="0" applyNumberFormat="1" applyFont="1" applyFill="1" applyBorder="1" applyAlignment="1"/>
    <xf numFmtId="9" fontId="42" fillId="0" borderId="22" xfId="0" applyNumberFormat="1" applyFont="1" applyFill="1" applyBorder="1" applyAlignment="1"/>
    <xf numFmtId="170" fontId="42" fillId="0" borderId="30" xfId="0" applyNumberFormat="1" applyFont="1" applyFill="1" applyBorder="1" applyAlignment="1"/>
    <xf numFmtId="9" fontId="42" fillId="0" borderId="54" xfId="0" applyNumberFormat="1" applyFont="1" applyFill="1" applyBorder="1" applyAlignment="1"/>
    <xf numFmtId="170" fontId="35" fillId="0" borderId="0" xfId="0" applyNumberFormat="1" applyFont="1" applyFill="1" applyBorder="1" applyAlignment="1"/>
    <xf numFmtId="9" fontId="35" fillId="0" borderId="0" xfId="0" applyNumberFormat="1" applyFont="1" applyFill="1" applyBorder="1" applyAlignment="1"/>
    <xf numFmtId="3" fontId="35" fillId="0" borderId="52" xfId="0" applyNumberFormat="1" applyFont="1" applyFill="1" applyBorder="1" applyAlignment="1"/>
    <xf numFmtId="9" fontId="35" fillId="0" borderId="52" xfId="0" applyNumberFormat="1" applyFont="1" applyFill="1" applyBorder="1" applyAlignment="1"/>
    <xf numFmtId="3" fontId="35" fillId="0" borderId="0" xfId="0" applyNumberFormat="1" applyFont="1" applyFill="1" applyBorder="1" applyAlignment="1"/>
    <xf numFmtId="3" fontId="4" fillId="0" borderId="0" xfId="76" applyNumberFormat="1" applyFont="1" applyFill="1"/>
    <xf numFmtId="0" fontId="7" fillId="0" borderId="52" xfId="26" applyFont="1" applyFill="1" applyBorder="1" applyAlignment="1"/>
    <xf numFmtId="3" fontId="34" fillId="0" borderId="2" xfId="26" applyNumberFormat="1" applyFont="1" applyFill="1" applyBorder="1" applyAlignment="1">
      <alignment horizontal="right" vertical="top"/>
    </xf>
    <xf numFmtId="0" fontId="35" fillId="0" borderId="2" xfId="0" applyFont="1" applyFill="1" applyBorder="1" applyAlignment="1">
      <alignment horizontal="right" vertical="top"/>
    </xf>
    <xf numFmtId="168" fontId="32" fillId="5" borderId="0" xfId="26" applyNumberFormat="1" applyFont="1" applyFill="1" applyBorder="1" applyAlignment="1">
      <alignment horizontal="center"/>
    </xf>
    <xf numFmtId="0" fontId="35" fillId="0" borderId="0" xfId="98" applyFont="1" applyBorder="1" applyAlignment="1">
      <alignment horizontal="center"/>
    </xf>
    <xf numFmtId="3" fontId="57" fillId="0" borderId="0" xfId="76" applyNumberFormat="1" applyFont="1" applyFill="1" applyBorder="1"/>
    <xf numFmtId="9" fontId="57" fillId="0" borderId="0" xfId="76" applyNumberFormat="1" applyFont="1" applyFill="1" applyBorder="1" applyAlignment="1">
      <alignment horizontal="right"/>
    </xf>
    <xf numFmtId="9" fontId="57" fillId="0" borderId="0" xfId="76" applyNumberFormat="1" applyFont="1" applyFill="1" applyBorder="1"/>
    <xf numFmtId="9" fontId="4" fillId="0" borderId="0" xfId="76" applyNumberFormat="1" applyFont="1" applyFill="1" applyAlignment="1">
      <alignment horizontal="right"/>
    </xf>
    <xf numFmtId="9" fontId="4" fillId="0" borderId="0" xfId="76" applyNumberFormat="1" applyFont="1" applyFill="1"/>
    <xf numFmtId="3" fontId="32" fillId="0" borderId="0" xfId="26" applyNumberFormat="1" applyFont="1" applyFill="1" applyBorder="1" applyAlignment="1">
      <alignment horizontal="right"/>
    </xf>
    <xf numFmtId="0" fontId="33" fillId="0" borderId="0" xfId="26" applyFont="1" applyFill="1" applyBorder="1" applyAlignment="1">
      <alignment horizontal="right"/>
    </xf>
    <xf numFmtId="9" fontId="33" fillId="0" borderId="0" xfId="26" applyNumberFormat="1" applyFont="1" applyFill="1" applyBorder="1" applyAlignment="1">
      <alignment horizontal="right"/>
    </xf>
    <xf numFmtId="3" fontId="43" fillId="0" borderId="0" xfId="26" applyNumberFormat="1" applyFont="1" applyFill="1" applyBorder="1"/>
    <xf numFmtId="0" fontId="3" fillId="0" borderId="46" xfId="26" applyFont="1" applyFill="1" applyBorder="1" applyAlignment="1">
      <alignment vertical="center"/>
    </xf>
    <xf numFmtId="169" fontId="3" fillId="0" borderId="46" xfId="26" applyNumberFormat="1" applyFont="1" applyFill="1" applyBorder="1" applyAlignment="1">
      <alignment vertical="center"/>
    </xf>
    <xf numFmtId="167" fontId="3" fillId="0" borderId="46" xfId="26" applyNumberFormat="1" applyFont="1" applyFill="1" applyBorder="1" applyAlignment="1">
      <alignment vertical="center"/>
    </xf>
    <xf numFmtId="3" fontId="0" fillId="0" borderId="0" xfId="0" applyNumberFormat="1"/>
    <xf numFmtId="3" fontId="0" fillId="8" borderId="83" xfId="0" applyNumberFormat="1" applyFont="1" applyFill="1" applyBorder="1"/>
    <xf numFmtId="3" fontId="59" fillId="9" borderId="84" xfId="0" applyNumberFormat="1" applyFont="1" applyFill="1" applyBorder="1"/>
    <xf numFmtId="3" fontId="59" fillId="9" borderId="83" xfId="0" applyNumberFormat="1" applyFont="1" applyFill="1" applyBorder="1"/>
    <xf numFmtId="0" fontId="60" fillId="0" borderId="0" xfId="1" applyFont="1" applyFill="1"/>
    <xf numFmtId="3" fontId="55" fillId="0" borderId="0" xfId="26" applyNumberFormat="1" applyFont="1" applyFill="1" applyBorder="1" applyAlignment="1"/>
    <xf numFmtId="3" fontId="42" fillId="2" borderId="87" xfId="0" applyNumberFormat="1" applyFont="1" applyFill="1" applyBorder="1" applyAlignment="1">
      <alignment horizontal="center" vertical="center"/>
    </xf>
    <xf numFmtId="0" fontId="42" fillId="2" borderId="88" xfId="0" applyFont="1" applyFill="1" applyBorder="1" applyAlignment="1">
      <alignment horizontal="center" vertical="center"/>
    </xf>
    <xf numFmtId="3" fontId="61" fillId="2" borderId="90" xfId="0" applyNumberFormat="1" applyFont="1" applyFill="1" applyBorder="1" applyAlignment="1">
      <alignment horizontal="center" vertical="center" wrapText="1"/>
    </xf>
    <xf numFmtId="0" fontId="61" fillId="2" borderId="91" xfId="0" applyFont="1" applyFill="1" applyBorder="1" applyAlignment="1">
      <alignment horizontal="center" vertical="center" wrapText="1"/>
    </xf>
    <xf numFmtId="0" fontId="42" fillId="2" borderId="93" xfId="0" applyFont="1" applyFill="1" applyBorder="1" applyAlignment="1"/>
    <xf numFmtId="0" fontId="42" fillId="2" borderId="95" xfId="0" applyFont="1" applyFill="1" applyBorder="1" applyAlignment="1">
      <alignment horizontal="left" indent="1"/>
    </xf>
    <xf numFmtId="0" fontId="42" fillId="2" borderId="101" xfId="0" applyFont="1" applyFill="1" applyBorder="1" applyAlignment="1">
      <alignment horizontal="left" indent="1"/>
    </xf>
    <xf numFmtId="0" fontId="42" fillId="4" borderId="93" xfId="0" applyFont="1" applyFill="1" applyBorder="1" applyAlignment="1"/>
    <xf numFmtId="0" fontId="42" fillId="4" borderId="95" xfId="0" applyFont="1" applyFill="1" applyBorder="1" applyAlignment="1">
      <alignment horizontal="left" indent="1"/>
    </xf>
    <xf numFmtId="0" fontId="42" fillId="4" borderId="106" xfId="0" applyFont="1" applyFill="1" applyBorder="1" applyAlignment="1">
      <alignment horizontal="left" indent="1"/>
    </xf>
    <xf numFmtId="0" fontId="35" fillId="2" borderId="95" xfId="0" quotePrefix="1" applyFont="1" applyFill="1" applyBorder="1" applyAlignment="1">
      <alignment horizontal="left" indent="2"/>
    </xf>
    <xf numFmtId="0" fontId="35" fillId="2" borderId="101" xfId="0" quotePrefix="1" applyFont="1" applyFill="1" applyBorder="1" applyAlignment="1">
      <alignment horizontal="left" indent="2"/>
    </xf>
    <xf numFmtId="0" fontId="42" fillId="2" borderId="93" xfId="0" applyFont="1" applyFill="1" applyBorder="1" applyAlignment="1">
      <alignment horizontal="left" indent="1"/>
    </xf>
    <xf numFmtId="0" fontId="42" fillId="2" borderId="106" xfId="0" applyFont="1" applyFill="1" applyBorder="1" applyAlignment="1">
      <alignment horizontal="left" indent="1"/>
    </xf>
    <xf numFmtId="0" fontId="42" fillId="4" borderId="101" xfId="0" applyFont="1" applyFill="1" applyBorder="1" applyAlignment="1">
      <alignment horizontal="left" indent="1"/>
    </xf>
    <xf numFmtId="0" fontId="35" fillId="0" borderId="111" xfId="0" applyFont="1" applyBorder="1"/>
    <xf numFmtId="3" fontId="35" fillId="0" borderId="111" xfId="0" applyNumberFormat="1" applyFont="1" applyBorder="1"/>
    <xf numFmtId="0" fontId="42" fillId="4" borderId="85" xfId="0" applyFont="1" applyFill="1" applyBorder="1" applyAlignment="1">
      <alignment horizontal="center" vertical="center"/>
    </xf>
    <xf numFmtId="0" fontId="42" fillId="4" borderId="64" xfId="0" applyFont="1" applyFill="1" applyBorder="1" applyAlignment="1">
      <alignment horizontal="center" vertical="center"/>
    </xf>
    <xf numFmtId="0" fontId="0" fillId="0" borderId="0" xfId="0" applyNumberFormat="1"/>
    <xf numFmtId="3" fontId="42" fillId="2" borderId="110" xfId="0" applyNumberFormat="1" applyFont="1" applyFill="1" applyBorder="1" applyAlignment="1">
      <alignment horizontal="center" vertical="center"/>
    </xf>
    <xf numFmtId="3" fontId="61" fillId="2" borderId="108" xfId="0" applyNumberFormat="1" applyFont="1" applyFill="1" applyBorder="1" applyAlignment="1">
      <alignment horizontal="center" vertical="center" wrapText="1"/>
    </xf>
    <xf numFmtId="174" fontId="42" fillId="4" borderId="94" xfId="0" applyNumberFormat="1" applyFont="1" applyFill="1" applyBorder="1" applyAlignment="1"/>
    <xf numFmtId="174" fontId="42" fillId="4" borderId="87" xfId="0" applyNumberFormat="1" applyFont="1" applyFill="1" applyBorder="1" applyAlignment="1"/>
    <xf numFmtId="174" fontId="42" fillId="4" borderId="88" xfId="0" applyNumberFormat="1" applyFont="1" applyFill="1" applyBorder="1" applyAlignment="1"/>
    <xf numFmtId="174" fontId="42" fillId="0" borderId="96" xfId="0" applyNumberFormat="1" applyFont="1" applyBorder="1"/>
    <xf numFmtId="174" fontId="35" fillId="0" borderId="100" xfId="0" applyNumberFormat="1" applyFont="1" applyBorder="1"/>
    <xf numFmtId="174" fontId="35" fillId="0" borderId="98" xfId="0" applyNumberFormat="1" applyFont="1" applyBorder="1"/>
    <xf numFmtId="174" fontId="42" fillId="0" borderId="107" xfId="0" applyNumberFormat="1" applyFont="1" applyBorder="1"/>
    <xf numFmtId="174" fontId="35" fillId="0" borderId="108" xfId="0" applyNumberFormat="1" applyFont="1" applyBorder="1"/>
    <xf numFmtId="174" fontId="35" fillId="0" borderId="91" xfId="0" applyNumberFormat="1" applyFont="1" applyBorder="1"/>
    <xf numFmtId="174" fontId="42" fillId="2" borderId="109" xfId="0" applyNumberFormat="1" applyFont="1" applyFill="1" applyBorder="1" applyAlignment="1"/>
    <xf numFmtId="174" fontId="42" fillId="2" borderId="87" xfId="0" applyNumberFormat="1" applyFont="1" applyFill="1" applyBorder="1" applyAlignment="1"/>
    <xf numFmtId="174" fontId="42" fillId="2" borderId="88" xfId="0" applyNumberFormat="1" applyFont="1" applyFill="1" applyBorder="1" applyAlignment="1"/>
    <xf numFmtId="174" fontId="42" fillId="0" borderId="102" xfId="0" applyNumberFormat="1" applyFont="1" applyBorder="1"/>
    <xf numFmtId="174" fontId="35" fillId="0" borderId="103" xfId="0" applyNumberFormat="1" applyFont="1" applyBorder="1"/>
    <xf numFmtId="174" fontId="35" fillId="0" borderId="104" xfId="0" applyNumberFormat="1" applyFont="1" applyBorder="1"/>
    <xf numFmtId="174" fontId="42" fillId="0" borderId="94" xfId="0" applyNumberFormat="1" applyFont="1" applyBorder="1"/>
    <xf numFmtId="174" fontId="35" fillId="0" borderId="110" xfId="0" applyNumberFormat="1" applyFont="1" applyBorder="1"/>
    <xf numFmtId="174" fontId="35" fillId="0" borderId="88" xfId="0" applyNumberFormat="1" applyFont="1" applyBorder="1"/>
    <xf numFmtId="175" fontId="42" fillId="2" borderId="94" xfId="0" applyNumberFormat="1" applyFont="1" applyFill="1" applyBorder="1" applyAlignment="1"/>
    <xf numFmtId="175" fontId="35" fillId="2" borderId="87" xfId="0" applyNumberFormat="1" applyFont="1" applyFill="1" applyBorder="1" applyAlignment="1"/>
    <xf numFmtId="175" fontId="35" fillId="2" borderId="88" xfId="0" applyNumberFormat="1" applyFont="1" applyFill="1" applyBorder="1" applyAlignment="1"/>
    <xf numFmtId="175" fontId="42" fillId="0" borderId="96" xfId="0" applyNumberFormat="1" applyFont="1" applyBorder="1"/>
    <xf numFmtId="175" fontId="35" fillId="0" borderId="97" xfId="0" applyNumberFormat="1" applyFont="1" applyBorder="1"/>
    <xf numFmtId="175" fontId="35" fillId="0" borderId="98" xfId="0" applyNumberFormat="1" applyFont="1" applyBorder="1"/>
    <xf numFmtId="175" fontId="35" fillId="0" borderId="100" xfId="0" applyNumberFormat="1" applyFont="1" applyBorder="1"/>
    <xf numFmtId="175" fontId="42" fillId="0" borderId="102" xfId="0" applyNumberFormat="1" applyFont="1" applyBorder="1"/>
    <xf numFmtId="175" fontId="35" fillId="0" borderId="103" xfId="0" applyNumberFormat="1" applyFont="1" applyBorder="1"/>
    <xf numFmtId="175" fontId="35" fillId="0" borderId="104" xfId="0" applyNumberFormat="1" applyFont="1" applyBorder="1"/>
    <xf numFmtId="0" fontId="63" fillId="0" borderId="0" xfId="0" applyFont="1" applyAlignment="1">
      <alignment horizontal="left" vertical="center" indent="1"/>
    </xf>
    <xf numFmtId="0" fontId="63" fillId="0" borderId="0" xfId="0" applyFont="1" applyAlignment="1">
      <alignment vertical="center"/>
    </xf>
    <xf numFmtId="0" fontId="0" fillId="0" borderId="0" xfId="0" applyAlignment="1"/>
    <xf numFmtId="0" fontId="64" fillId="0" borderId="0" xfId="0" applyFont="1"/>
    <xf numFmtId="174" fontId="42" fillId="4" borderId="94" xfId="0" applyNumberFormat="1" applyFont="1" applyFill="1" applyBorder="1" applyAlignment="1">
      <alignment horizontal="center"/>
    </xf>
    <xf numFmtId="176" fontId="42" fillId="0" borderId="102" xfId="0" applyNumberFormat="1" applyFont="1" applyBorder="1"/>
    <xf numFmtId="0" fontId="34" fillId="2" borderId="118" xfId="74" applyFont="1" applyFill="1" applyBorder="1" applyAlignment="1">
      <alignment horizontal="center"/>
    </xf>
    <xf numFmtId="0" fontId="34" fillId="2" borderId="89" xfId="81" applyFont="1" applyFill="1" applyBorder="1" applyAlignment="1">
      <alignment horizontal="center"/>
    </xf>
    <xf numFmtId="0" fontId="34" fillId="2" borderId="90" xfId="81" applyFont="1" applyFill="1" applyBorder="1" applyAlignment="1">
      <alignment horizontal="center"/>
    </xf>
    <xf numFmtId="0" fontId="34" fillId="2" borderId="91" xfId="81" applyFont="1" applyFill="1" applyBorder="1" applyAlignment="1">
      <alignment horizontal="center"/>
    </xf>
    <xf numFmtId="0" fontId="34" fillId="2" borderId="92" xfId="81" applyFont="1" applyFill="1" applyBorder="1" applyAlignment="1">
      <alignment horizontal="center"/>
    </xf>
    <xf numFmtId="0" fontId="3" fillId="2" borderId="21" xfId="79" applyFont="1" applyFill="1" applyBorder="1" applyAlignment="1"/>
    <xf numFmtId="0" fontId="3" fillId="2" borderId="29" xfId="79" applyFont="1" applyFill="1" applyBorder="1" applyAlignment="1"/>
    <xf numFmtId="0" fontId="32" fillId="5" borderId="0" xfId="74" applyFont="1" applyFill="1" applyAlignment="1">
      <alignment horizontal="center"/>
    </xf>
    <xf numFmtId="3" fontId="65" fillId="0" borderId="0" xfId="76" applyNumberFormat="1" applyFont="1" applyFill="1"/>
    <xf numFmtId="3" fontId="65" fillId="0" borderId="0" xfId="76" applyNumberFormat="1" applyFont="1" applyFill="1" applyAlignment="1">
      <alignment horizontal="left" indent="1"/>
    </xf>
    <xf numFmtId="0" fontId="42" fillId="3" borderId="28" xfId="0" applyFont="1" applyFill="1" applyBorder="1" applyAlignment="1"/>
    <xf numFmtId="0" fontId="35" fillId="0" borderId="47" xfId="0" applyFont="1" applyBorder="1" applyAlignment="1"/>
    <xf numFmtId="0" fontId="42" fillId="2" borderId="28" xfId="0" applyFont="1" applyFill="1" applyBorder="1" applyAlignment="1"/>
    <xf numFmtId="0" fontId="42" fillId="4" borderId="28" xfId="0" applyFont="1" applyFill="1" applyBorder="1" applyAlignment="1"/>
    <xf numFmtId="0" fontId="44" fillId="0" borderId="2" xfId="0" applyFont="1" applyFill="1" applyBorder="1" applyAlignment="1"/>
    <xf numFmtId="0" fontId="44" fillId="0" borderId="2" xfId="0" applyFont="1" applyBorder="1" applyAlignment="1"/>
    <xf numFmtId="0" fontId="33" fillId="5" borderId="18" xfId="81" applyFont="1" applyFill="1" applyBorder="1" applyAlignment="1">
      <alignment horizontal="center" vertical="center"/>
    </xf>
    <xf numFmtId="0" fontId="43" fillId="0" borderId="3" xfId="0" applyFont="1" applyBorder="1" applyAlignment="1">
      <alignment horizontal="center" vertical="center"/>
    </xf>
    <xf numFmtId="0" fontId="34" fillId="2" borderId="50" xfId="81" applyFont="1" applyFill="1" applyBorder="1" applyAlignment="1">
      <alignment horizontal="center"/>
    </xf>
    <xf numFmtId="0" fontId="34" fillId="2" borderId="51" xfId="81" applyFont="1" applyFill="1" applyBorder="1" applyAlignment="1">
      <alignment horizontal="center"/>
    </xf>
    <xf numFmtId="0" fontId="34" fillId="2" borderId="48" xfId="81" applyFont="1" applyFill="1" applyBorder="1" applyAlignment="1">
      <alignment horizontal="center"/>
    </xf>
    <xf numFmtId="0" fontId="34" fillId="2" borderId="80" xfId="81" applyFont="1" applyFill="1" applyBorder="1" applyAlignment="1">
      <alignment horizontal="center"/>
    </xf>
    <xf numFmtId="0" fontId="34" fillId="2" borderId="49" xfId="81" applyFont="1" applyFill="1" applyBorder="1" applyAlignment="1">
      <alignment horizontal="center"/>
    </xf>
    <xf numFmtId="0" fontId="2" fillId="0" borderId="2" xfId="0" applyFont="1" applyFill="1" applyBorder="1" applyAlignment="1"/>
    <xf numFmtId="0" fontId="41" fillId="2" borderId="26" xfId="0" applyFont="1" applyFill="1" applyBorder="1" applyAlignment="1">
      <alignment horizontal="center" vertical="center"/>
    </xf>
    <xf numFmtId="0" fontId="35" fillId="2" borderId="31" xfId="0" applyFont="1" applyFill="1" applyBorder="1" applyAlignment="1">
      <alignment horizontal="center" vertical="center"/>
    </xf>
    <xf numFmtId="0" fontId="40" fillId="2" borderId="11" xfId="0" applyFont="1" applyFill="1" applyBorder="1" applyAlignment="1">
      <alignment horizontal="center" vertical="center"/>
    </xf>
    <xf numFmtId="0" fontId="35" fillId="2" borderId="12" xfId="0" applyFont="1" applyFill="1" applyBorder="1" applyAlignment="1">
      <alignment horizontal="center" vertical="center"/>
    </xf>
    <xf numFmtId="0" fontId="6" fillId="0" borderId="2" xfId="0" applyFont="1" applyFill="1" applyBorder="1" applyAlignment="1"/>
    <xf numFmtId="0" fontId="35" fillId="2" borderId="10" xfId="0" applyFont="1" applyFill="1" applyBorder="1" applyAlignment="1">
      <alignment horizontal="center" vertical="center"/>
    </xf>
    <xf numFmtId="0" fontId="35" fillId="2" borderId="11" xfId="0" applyFont="1" applyFill="1" applyBorder="1" applyAlignment="1">
      <alignment horizontal="center" vertical="center"/>
    </xf>
    <xf numFmtId="0" fontId="41" fillId="2" borderId="31" xfId="0" applyFont="1" applyFill="1" applyBorder="1" applyAlignment="1">
      <alignment horizontal="center" vertical="center"/>
    </xf>
    <xf numFmtId="0" fontId="35" fillId="2" borderId="27" xfId="0" applyFont="1" applyFill="1" applyBorder="1" applyAlignment="1">
      <alignment horizontal="center" vertical="center"/>
    </xf>
    <xf numFmtId="0" fontId="41" fillId="2" borderId="11" xfId="0" applyFont="1" applyFill="1" applyBorder="1" applyAlignment="1">
      <alignment horizontal="center" vertical="center" wrapText="1"/>
    </xf>
    <xf numFmtId="0" fontId="35" fillId="2" borderId="25" xfId="0" applyFont="1" applyFill="1" applyBorder="1" applyAlignment="1">
      <alignment horizontal="center" vertical="center" wrapText="1"/>
    </xf>
    <xf numFmtId="0" fontId="39" fillId="2" borderId="11" xfId="0" applyFont="1" applyFill="1" applyBorder="1" applyAlignment="1">
      <alignment horizontal="center" vertical="center" wrapText="1"/>
    </xf>
    <xf numFmtId="0" fontId="39" fillId="2" borderId="12" xfId="0" applyFont="1" applyFill="1" applyBorder="1" applyAlignment="1">
      <alignment horizontal="center" vertical="center" wrapText="1"/>
    </xf>
    <xf numFmtId="0" fontId="35" fillId="2" borderId="24" xfId="0" applyFont="1" applyFill="1" applyBorder="1" applyAlignment="1">
      <alignment horizontal="center" vertical="center" wrapText="1"/>
    </xf>
    <xf numFmtId="0" fontId="34" fillId="2" borderId="118" xfId="81" applyFont="1" applyFill="1" applyBorder="1" applyAlignment="1">
      <alignment horizontal="center"/>
    </xf>
    <xf numFmtId="0" fontId="34" fillId="2" borderId="115" xfId="81" applyFont="1" applyFill="1" applyBorder="1" applyAlignment="1">
      <alignment horizontal="center"/>
    </xf>
    <xf numFmtId="0" fontId="34" fillId="2" borderId="94" xfId="81" applyFont="1" applyFill="1" applyBorder="1" applyAlignment="1">
      <alignment horizontal="center"/>
    </xf>
    <xf numFmtId="0" fontId="34" fillId="2" borderId="117" xfId="81" applyFont="1" applyFill="1" applyBorder="1" applyAlignment="1">
      <alignment horizontal="center"/>
    </xf>
    <xf numFmtId="0" fontId="34" fillId="2" borderId="107" xfId="81" applyFont="1" applyFill="1" applyBorder="1" applyAlignment="1">
      <alignment horizontal="center"/>
    </xf>
    <xf numFmtId="0" fontId="2" fillId="0" borderId="2" xfId="14" applyFont="1" applyFill="1" applyBorder="1" applyAlignment="1"/>
    <xf numFmtId="0" fontId="44" fillId="0" borderId="2" xfId="14" applyFont="1" applyFill="1" applyBorder="1" applyAlignment="1"/>
    <xf numFmtId="0" fontId="0" fillId="0" borderId="2" xfId="0" applyBorder="1" applyAlignment="1"/>
    <xf numFmtId="165" fontId="34" fillId="0" borderId="0" xfId="53" applyNumberFormat="1" applyFont="1" applyFill="1" applyBorder="1" applyAlignment="1">
      <alignment horizontal="center"/>
    </xf>
    <xf numFmtId="165" fontId="32" fillId="0" borderId="0" xfId="79" applyNumberFormat="1" applyFont="1" applyFill="1" applyBorder="1" applyAlignment="1">
      <alignment horizontal="center"/>
    </xf>
    <xf numFmtId="165" fontId="34" fillId="2" borderId="26" xfId="53" applyNumberFormat="1" applyFont="1" applyFill="1" applyBorder="1" applyAlignment="1">
      <alignment horizontal="right"/>
    </xf>
    <xf numFmtId="165" fontId="32" fillId="2" borderId="31" xfId="79" applyNumberFormat="1" applyFont="1" applyFill="1" applyBorder="1" applyAlignment="1">
      <alignment horizontal="right"/>
    </xf>
    <xf numFmtId="165" fontId="45" fillId="0" borderId="2" xfId="14" applyNumberFormat="1" applyFont="1" applyFill="1" applyBorder="1" applyAlignment="1"/>
    <xf numFmtId="0" fontId="6" fillId="0" borderId="2" xfId="14" applyFont="1" applyFill="1" applyBorder="1" applyAlignment="1">
      <alignment wrapText="1"/>
    </xf>
    <xf numFmtId="0" fontId="6" fillId="0" borderId="2" xfId="14" applyFont="1" applyFill="1" applyBorder="1" applyAlignment="1"/>
    <xf numFmtId="3" fontId="31" fillId="2" borderId="65" xfId="78" applyNumberFormat="1" applyFont="1" applyFill="1" applyBorder="1" applyAlignment="1">
      <alignment horizontal="left"/>
    </xf>
    <xf numFmtId="0" fontId="35" fillId="2" borderId="56" xfId="0" applyFont="1" applyFill="1" applyBorder="1" applyAlignment="1"/>
    <xf numFmtId="3" fontId="31" fillId="2" borderId="58" xfId="78" applyNumberFormat="1" applyFont="1" applyFill="1" applyBorder="1" applyAlignment="1"/>
    <xf numFmtId="0" fontId="42" fillId="2" borderId="65" xfId="0" applyFont="1" applyFill="1" applyBorder="1" applyAlignment="1">
      <alignment horizontal="left"/>
    </xf>
    <xf numFmtId="0" fontId="35" fillId="2" borderId="52" xfId="0" applyFont="1" applyFill="1" applyBorder="1" applyAlignment="1">
      <alignment horizontal="left"/>
    </xf>
    <xf numFmtId="0" fontId="35" fillId="2" borderId="56" xfId="0" applyFont="1" applyFill="1" applyBorder="1" applyAlignment="1">
      <alignment horizontal="left"/>
    </xf>
    <xf numFmtId="0" fontId="42" fillId="2" borderId="58" xfId="0" applyFont="1" applyFill="1" applyBorder="1" applyAlignment="1">
      <alignment horizontal="left"/>
    </xf>
    <xf numFmtId="3" fontId="42" fillId="2" borderId="58" xfId="0" applyNumberFormat="1" applyFont="1" applyFill="1" applyBorder="1" applyAlignment="1">
      <alignment horizontal="left"/>
    </xf>
    <xf numFmtId="3" fontId="35" fillId="2" borderId="53" xfId="0" applyNumberFormat="1" applyFont="1" applyFill="1" applyBorder="1" applyAlignment="1">
      <alignment horizontal="left"/>
    </xf>
    <xf numFmtId="0" fontId="3" fillId="2" borderId="31" xfId="80" applyFont="1" applyFill="1" applyBorder="1" applyAlignment="1">
      <alignment horizontal="left"/>
    </xf>
    <xf numFmtId="0" fontId="3" fillId="2" borderId="26" xfId="80" applyFont="1" applyFill="1" applyBorder="1" applyAlignment="1">
      <alignment horizontal="left"/>
    </xf>
    <xf numFmtId="0" fontId="3" fillId="2" borderId="27" xfId="80" applyFont="1" applyFill="1" applyBorder="1" applyAlignment="1">
      <alignment horizontal="left"/>
    </xf>
    <xf numFmtId="0" fontId="3" fillId="2" borderId="59" xfId="80" applyFont="1" applyFill="1" applyBorder="1" applyAlignment="1">
      <alignment horizontal="left"/>
    </xf>
    <xf numFmtId="0" fontId="3" fillId="2" borderId="42" xfId="79" applyFont="1" applyFill="1" applyBorder="1" applyAlignment="1"/>
    <xf numFmtId="0" fontId="5" fillId="2" borderId="42" xfId="79" applyFont="1" applyFill="1" applyBorder="1" applyAlignment="1"/>
    <xf numFmtId="0" fontId="5" fillId="2" borderId="68" xfId="79" applyFont="1" applyFill="1" applyBorder="1" applyAlignment="1"/>
    <xf numFmtId="0" fontId="3" fillId="0" borderId="0" xfId="79" applyFont="1" applyFill="1" applyBorder="1" applyAlignment="1">
      <alignment horizontal="left"/>
    </xf>
    <xf numFmtId="0" fontId="5" fillId="0" borderId="0" xfId="79" applyFont="1" applyFill="1" applyBorder="1" applyAlignment="1"/>
    <xf numFmtId="0" fontId="3" fillId="2" borderId="66" xfId="53" applyFont="1" applyFill="1" applyBorder="1" applyAlignment="1">
      <alignment horizontal="right"/>
    </xf>
    <xf numFmtId="0" fontId="5" fillId="2" borderId="67" xfId="79" applyFont="1" applyFill="1" applyBorder="1" applyAlignment="1"/>
    <xf numFmtId="0" fontId="3" fillId="2" borderId="43" xfId="79" applyFont="1" applyFill="1" applyBorder="1" applyAlignment="1">
      <alignment horizontal="left"/>
    </xf>
    <xf numFmtId="0" fontId="5" fillId="2" borderId="42" xfId="79" applyFont="1" applyFill="1" applyBorder="1" applyAlignment="1">
      <alignment horizontal="left"/>
    </xf>
    <xf numFmtId="0" fontId="3" fillId="2" borderId="42" xfId="79" applyFont="1" applyFill="1" applyBorder="1" applyAlignment="1">
      <alignment horizontal="left"/>
    </xf>
    <xf numFmtId="0" fontId="5" fillId="2" borderId="68" xfId="79" applyFont="1" applyFill="1" applyBorder="1" applyAlignment="1">
      <alignment horizontal="left"/>
    </xf>
    <xf numFmtId="0" fontId="2" fillId="0" borderId="2" xfId="26" applyFont="1" applyFill="1" applyBorder="1" applyAlignment="1"/>
    <xf numFmtId="167" fontId="42" fillId="2" borderId="86" xfId="0" applyNumberFormat="1" applyFont="1" applyFill="1" applyBorder="1" applyAlignment="1">
      <alignment horizontal="center" vertical="center"/>
    </xf>
    <xf numFmtId="0" fontId="35" fillId="0" borderId="3" xfId="0" applyFont="1" applyBorder="1" applyAlignment="1">
      <alignment horizontal="center" vertical="center"/>
    </xf>
    <xf numFmtId="0" fontId="56" fillId="0" borderId="2" xfId="26" applyFont="1" applyFill="1" applyBorder="1" applyAlignment="1"/>
    <xf numFmtId="0" fontId="2" fillId="0" borderId="2" xfId="0" applyFont="1" applyFill="1" applyBorder="1" applyAlignment="1">
      <alignment wrapText="1"/>
    </xf>
    <xf numFmtId="0" fontId="42" fillId="2" borderId="63" xfId="0" applyFont="1" applyFill="1" applyBorder="1" applyAlignment="1">
      <alignment vertical="center"/>
    </xf>
    <xf numFmtId="3" fontId="34" fillId="2" borderId="65" xfId="26" applyNumberFormat="1" applyFont="1" applyFill="1" applyBorder="1" applyAlignment="1">
      <alignment horizontal="center"/>
    </xf>
    <xf numFmtId="3" fontId="34" fillId="2" borderId="52" xfId="26" applyNumberFormat="1" applyFont="1" applyFill="1" applyBorder="1" applyAlignment="1">
      <alignment horizontal="center"/>
    </xf>
    <xf numFmtId="3" fontId="34" fillId="2" borderId="53" xfId="26" applyNumberFormat="1" applyFont="1" applyFill="1" applyBorder="1" applyAlignment="1">
      <alignment horizontal="center"/>
    </xf>
    <xf numFmtId="3" fontId="34" fillId="2" borderId="53" xfId="0" applyNumberFormat="1" applyFont="1" applyFill="1" applyBorder="1" applyAlignment="1">
      <alignment horizontal="center" vertical="top"/>
    </xf>
    <xf numFmtId="0" fontId="34" fillId="2" borderId="32" xfId="0" applyFont="1" applyFill="1" applyBorder="1" applyAlignment="1">
      <alignment horizontal="center" vertical="top" wrapText="1"/>
    </xf>
    <xf numFmtId="0" fontId="34" fillId="2" borderId="32" xfId="0" applyFont="1" applyFill="1" applyBorder="1" applyAlignment="1">
      <alignment horizontal="center" vertical="top"/>
    </xf>
    <xf numFmtId="49" fontId="34" fillId="2" borderId="32" xfId="0" applyNumberFormat="1" applyFont="1" applyFill="1" applyBorder="1" applyAlignment="1">
      <alignment horizontal="center" vertical="top"/>
    </xf>
    <xf numFmtId="0" fontId="34" fillId="2" borderId="32" xfId="0" applyFont="1" applyFill="1" applyBorder="1" applyAlignment="1">
      <alignment horizontal="center" vertical="center"/>
    </xf>
    <xf numFmtId="0" fontId="34" fillId="2" borderId="65" xfId="0" quotePrefix="1" applyFont="1" applyFill="1" applyBorder="1" applyAlignment="1">
      <alignment horizontal="center"/>
    </xf>
    <xf numFmtId="0" fontId="34" fillId="2" borderId="53" xfId="0" applyFont="1" applyFill="1" applyBorder="1" applyAlignment="1">
      <alignment horizontal="center"/>
    </xf>
    <xf numFmtId="9" fontId="46" fillId="2" borderId="53" xfId="0" applyNumberFormat="1" applyFont="1" applyFill="1" applyBorder="1" applyAlignment="1">
      <alignment horizontal="center" vertical="top"/>
    </xf>
    <xf numFmtId="0" fontId="34" fillId="2" borderId="65" xfId="0" quotePrefix="1" applyNumberFormat="1" applyFont="1" applyFill="1" applyBorder="1" applyAlignment="1">
      <alignment horizontal="center"/>
    </xf>
    <xf numFmtId="0" fontId="34" fillId="2" borderId="53" xfId="0" applyNumberFormat="1" applyFont="1" applyFill="1" applyBorder="1" applyAlignment="1">
      <alignment horizontal="center"/>
    </xf>
    <xf numFmtId="0" fontId="46" fillId="2" borderId="53" xfId="0" applyNumberFormat="1" applyFont="1" applyFill="1" applyBorder="1" applyAlignment="1">
      <alignment horizontal="center" vertical="top"/>
    </xf>
    <xf numFmtId="3" fontId="34" fillId="5" borderId="17" xfId="26" applyNumberFormat="1" applyFont="1" applyFill="1" applyBorder="1" applyAlignment="1">
      <alignment horizontal="center"/>
    </xf>
    <xf numFmtId="0" fontId="35" fillId="0" borderId="0" xfId="0" applyFont="1" applyBorder="1" applyAlignment="1">
      <alignment horizontal="center"/>
    </xf>
    <xf numFmtId="3" fontId="34" fillId="0" borderId="17" xfId="26" applyNumberFormat="1" applyFont="1" applyBorder="1" applyAlignment="1">
      <alignment horizontal="center"/>
    </xf>
    <xf numFmtId="0" fontId="35" fillId="0" borderId="18" xfId="0" applyFont="1" applyBorder="1" applyAlignment="1">
      <alignment horizontal="center"/>
    </xf>
    <xf numFmtId="168" fontId="32" fillId="5" borderId="17" xfId="26" applyNumberFormat="1" applyFont="1" applyFill="1" applyBorder="1" applyAlignment="1">
      <alignment horizontal="center"/>
    </xf>
    <xf numFmtId="0" fontId="35" fillId="0" borderId="18" xfId="98" applyFont="1" applyBorder="1" applyAlignment="1">
      <alignment horizontal="center"/>
    </xf>
    <xf numFmtId="0" fontId="6" fillId="0" borderId="2" xfId="26" applyFont="1" applyFill="1" applyBorder="1" applyAlignment="1"/>
    <xf numFmtId="3" fontId="34" fillId="2" borderId="32" xfId="26" applyNumberFormat="1" applyFont="1" applyFill="1" applyBorder="1" applyAlignment="1">
      <alignment horizontal="center" vertical="center"/>
    </xf>
    <xf numFmtId="3" fontId="34" fillId="2" borderId="64" xfId="26" applyNumberFormat="1" applyFont="1" applyFill="1" applyBorder="1" applyAlignment="1">
      <alignment horizontal="center" vertical="center"/>
    </xf>
    <xf numFmtId="3" fontId="34" fillId="0" borderId="52" xfId="26" applyNumberFormat="1" applyFont="1" applyFill="1" applyBorder="1" applyAlignment="1">
      <alignment horizontal="right" vertical="top"/>
    </xf>
    <xf numFmtId="3" fontId="34" fillId="4" borderId="65" xfId="26" applyNumberFormat="1" applyFont="1" applyFill="1" applyBorder="1" applyAlignment="1">
      <alignment horizontal="center" vertical="center" wrapText="1"/>
    </xf>
    <xf numFmtId="3" fontId="34" fillId="4" borderId="1" xfId="26" applyNumberFormat="1" applyFont="1" applyFill="1" applyBorder="1" applyAlignment="1">
      <alignment horizontal="center" vertical="center" wrapText="1"/>
    </xf>
    <xf numFmtId="3" fontId="34" fillId="4" borderId="65" xfId="26" applyNumberFormat="1" applyFont="1" applyFill="1" applyBorder="1" applyAlignment="1">
      <alignment horizontal="center"/>
    </xf>
    <xf numFmtId="3" fontId="34" fillId="4" borderId="52" xfId="26" applyNumberFormat="1" applyFont="1" applyFill="1" applyBorder="1" applyAlignment="1">
      <alignment horizontal="center"/>
    </xf>
    <xf numFmtId="3" fontId="34" fillId="4" borderId="53" xfId="26" applyNumberFormat="1" applyFont="1" applyFill="1" applyBorder="1" applyAlignment="1">
      <alignment horizontal="center"/>
    </xf>
    <xf numFmtId="3" fontId="34" fillId="3" borderId="32" xfId="26" applyNumberFormat="1" applyFont="1" applyFill="1" applyBorder="1" applyAlignment="1">
      <alignment horizontal="center" vertical="center" wrapText="1"/>
    </xf>
    <xf numFmtId="3" fontId="34" fillId="3" borderId="64" xfId="26" applyNumberFormat="1" applyFont="1" applyFill="1" applyBorder="1" applyAlignment="1">
      <alignment horizontal="center" vertical="center" wrapText="1"/>
    </xf>
    <xf numFmtId="3" fontId="34" fillId="3" borderId="65" xfId="26" applyNumberFormat="1" applyFont="1" applyFill="1" applyBorder="1" applyAlignment="1">
      <alignment horizontal="center"/>
    </xf>
    <xf numFmtId="3" fontId="34" fillId="3" borderId="52" xfId="26" applyNumberFormat="1" applyFont="1" applyFill="1" applyBorder="1" applyAlignment="1">
      <alignment horizontal="center"/>
    </xf>
    <xf numFmtId="3" fontId="34" fillId="3" borderId="53" xfId="26" applyNumberFormat="1" applyFont="1" applyFill="1" applyBorder="1" applyAlignment="1">
      <alignment horizontal="center"/>
    </xf>
    <xf numFmtId="0" fontId="35" fillId="0" borderId="52" xfId="0" applyFont="1" applyFill="1" applyBorder="1" applyAlignment="1">
      <alignment horizontal="right" vertical="top"/>
    </xf>
    <xf numFmtId="3" fontId="3" fillId="2" borderId="65" xfId="27" applyNumberFormat="1" applyFont="1" applyFill="1" applyBorder="1" applyAlignment="1">
      <alignment horizontal="center"/>
    </xf>
    <xf numFmtId="0" fontId="35" fillId="2" borderId="52" xfId="14" applyFont="1" applyFill="1" applyBorder="1" applyAlignment="1">
      <alignment horizontal="center"/>
    </xf>
    <xf numFmtId="0" fontId="35" fillId="2" borderId="53" xfId="14" applyFont="1" applyFill="1" applyBorder="1" applyAlignment="1">
      <alignment horizontal="center"/>
    </xf>
    <xf numFmtId="3" fontId="3" fillId="2" borderId="65" xfId="24" applyNumberFormat="1" applyFont="1" applyFill="1" applyBorder="1" applyAlignment="1">
      <alignment horizontal="center"/>
    </xf>
    <xf numFmtId="0" fontId="4" fillId="2" borderId="52" xfId="26" applyFont="1" applyFill="1" applyBorder="1" applyAlignment="1">
      <alignment horizontal="center"/>
    </xf>
    <xf numFmtId="169" fontId="3" fillId="2" borderId="32" xfId="26" applyNumberFormat="1" applyFont="1" applyFill="1" applyBorder="1" applyAlignment="1">
      <alignment horizontal="left" vertical="top"/>
    </xf>
    <xf numFmtId="3" fontId="3" fillId="2" borderId="32" xfId="26" applyNumberFormat="1" applyFont="1" applyFill="1" applyBorder="1" applyAlignment="1">
      <alignment horizontal="center" vertical="top"/>
    </xf>
    <xf numFmtId="3" fontId="3" fillId="2" borderId="65" xfId="26" applyNumberFormat="1" applyFont="1" applyFill="1" applyBorder="1" applyAlignment="1">
      <alignment horizontal="center"/>
    </xf>
    <xf numFmtId="3" fontId="3" fillId="2" borderId="53" xfId="26" applyNumberFormat="1" applyFont="1" applyFill="1" applyBorder="1" applyAlignment="1">
      <alignment horizontal="center"/>
    </xf>
    <xf numFmtId="49" fontId="3" fillId="2" borderId="32" xfId="26" applyNumberFormat="1" applyFont="1" applyFill="1" applyBorder="1" applyAlignment="1">
      <alignment horizontal="left" vertical="top"/>
    </xf>
    <xf numFmtId="0" fontId="3" fillId="2" borderId="65" xfId="26" quotePrefix="1" applyNumberFormat="1" applyFont="1" applyFill="1" applyBorder="1" applyAlignment="1">
      <alignment horizontal="center" vertical="top"/>
    </xf>
    <xf numFmtId="0" fontId="3" fillId="2" borderId="52" xfId="26" applyNumberFormat="1" applyFont="1" applyFill="1" applyBorder="1" applyAlignment="1">
      <alignment horizontal="center" vertical="top"/>
    </xf>
    <xf numFmtId="0" fontId="3" fillId="2" borderId="53" xfId="26" applyNumberFormat="1" applyFont="1" applyFill="1" applyBorder="1" applyAlignment="1">
      <alignment horizontal="center" vertical="top"/>
    </xf>
    <xf numFmtId="169" fontId="3" fillId="2" borderId="32" xfId="26" applyNumberFormat="1" applyFont="1" applyFill="1" applyBorder="1" applyAlignment="1">
      <alignment horizontal="left" vertical="top" wrapText="1"/>
    </xf>
    <xf numFmtId="0" fontId="34" fillId="2" borderId="32" xfId="0" applyFont="1" applyFill="1" applyBorder="1" applyAlignment="1">
      <alignment vertical="center" wrapText="1"/>
    </xf>
    <xf numFmtId="0" fontId="45" fillId="0" borderId="2" xfId="26" applyFont="1" applyFill="1" applyBorder="1" applyAlignment="1"/>
    <xf numFmtId="0" fontId="58" fillId="0" borderId="2" xfId="26" applyFont="1" applyFill="1" applyBorder="1" applyAlignment="1"/>
    <xf numFmtId="3" fontId="34" fillId="2" borderId="55" xfId="76" applyNumberFormat="1" applyFont="1" applyFill="1" applyBorder="1" applyAlignment="1">
      <alignment horizontal="center" vertical="center"/>
    </xf>
    <xf numFmtId="3" fontId="34" fillId="2" borderId="57" xfId="76" applyNumberFormat="1" applyFont="1" applyFill="1" applyBorder="1" applyAlignment="1">
      <alignment horizontal="center" vertical="center"/>
    </xf>
    <xf numFmtId="3" fontId="34" fillId="2" borderId="6" xfId="76" applyNumberFormat="1" applyFont="1" applyFill="1" applyBorder="1" applyAlignment="1">
      <alignment horizontal="center"/>
    </xf>
    <xf numFmtId="3" fontId="34" fillId="2" borderId="78" xfId="76" applyNumberFormat="1" applyFont="1" applyFill="1" applyBorder="1" applyAlignment="1">
      <alignment horizontal="center"/>
    </xf>
    <xf numFmtId="3" fontId="34" fillId="2" borderId="8" xfId="76" applyNumberFormat="1" applyFont="1" applyFill="1" applyBorder="1" applyAlignment="1">
      <alignment horizontal="center"/>
    </xf>
    <xf numFmtId="3" fontId="34" fillId="2" borderId="7" xfId="76" applyNumberFormat="1" applyFont="1" applyFill="1" applyBorder="1" applyAlignment="1">
      <alignment horizontal="center"/>
    </xf>
    <xf numFmtId="3" fontId="36" fillId="10" borderId="120" xfId="0" applyNumberFormat="1" applyFont="1" applyFill="1" applyBorder="1" applyAlignment="1">
      <alignment horizontal="right" vertical="top"/>
    </xf>
    <xf numFmtId="3" fontId="36" fillId="10" borderId="121" xfId="0" applyNumberFormat="1" applyFont="1" applyFill="1" applyBorder="1" applyAlignment="1">
      <alignment horizontal="right" vertical="top"/>
    </xf>
    <xf numFmtId="177" fontId="36" fillId="10" borderId="122" xfId="0" applyNumberFormat="1" applyFont="1" applyFill="1" applyBorder="1" applyAlignment="1">
      <alignment horizontal="right" vertical="top"/>
    </xf>
    <xf numFmtId="3" fontId="36" fillId="0" borderId="120" xfId="0" applyNumberFormat="1" applyFont="1" applyBorder="1" applyAlignment="1">
      <alignment horizontal="right" vertical="top"/>
    </xf>
    <xf numFmtId="177" fontId="36" fillId="10" borderId="123" xfId="0" applyNumberFormat="1" applyFont="1" applyFill="1" applyBorder="1" applyAlignment="1">
      <alignment horizontal="right" vertical="top"/>
    </xf>
    <xf numFmtId="3" fontId="38" fillId="10" borderId="125" xfId="0" applyNumberFormat="1" applyFont="1" applyFill="1" applyBorder="1" applyAlignment="1">
      <alignment horizontal="right" vertical="top"/>
    </xf>
    <xf numFmtId="3" fontId="38" fillId="10" borderId="126" xfId="0" applyNumberFormat="1" applyFont="1" applyFill="1" applyBorder="1" applyAlignment="1">
      <alignment horizontal="right" vertical="top"/>
    </xf>
    <xf numFmtId="0" fontId="38" fillId="10" borderId="127" xfId="0" applyFont="1" applyFill="1" applyBorder="1" applyAlignment="1">
      <alignment horizontal="right" vertical="top"/>
    </xf>
    <xf numFmtId="3" fontId="38" fillId="0" borderId="125" xfId="0" applyNumberFormat="1" applyFont="1" applyBorder="1" applyAlignment="1">
      <alignment horizontal="right" vertical="top"/>
    </xf>
    <xf numFmtId="0" fontId="38" fillId="10" borderId="128" xfId="0" applyFont="1" applyFill="1" applyBorder="1" applyAlignment="1">
      <alignment horizontal="right" vertical="top"/>
    </xf>
    <xf numFmtId="0" fontId="36" fillId="10" borderId="122" xfId="0" applyFont="1" applyFill="1" applyBorder="1" applyAlignment="1">
      <alignment horizontal="right" vertical="top"/>
    </xf>
    <xf numFmtId="0" fontId="36" fillId="10" borderId="123" xfId="0" applyFont="1" applyFill="1" applyBorder="1" applyAlignment="1">
      <alignment horizontal="right" vertical="top"/>
    </xf>
    <xf numFmtId="177" fontId="38" fillId="10" borderId="127" xfId="0" applyNumberFormat="1" applyFont="1" applyFill="1" applyBorder="1" applyAlignment="1">
      <alignment horizontal="right" vertical="top"/>
    </xf>
    <xf numFmtId="177" fontId="38" fillId="10" borderId="128" xfId="0" applyNumberFormat="1" applyFont="1" applyFill="1" applyBorder="1" applyAlignment="1">
      <alignment horizontal="right" vertical="top"/>
    </xf>
    <xf numFmtId="3" fontId="38" fillId="0" borderId="129" xfId="0" applyNumberFormat="1" applyFont="1" applyBorder="1" applyAlignment="1">
      <alignment horizontal="right" vertical="top"/>
    </xf>
    <xf numFmtId="3" fontId="38" fillId="0" borderId="130" xfId="0" applyNumberFormat="1" applyFont="1" applyBorder="1" applyAlignment="1">
      <alignment horizontal="right" vertical="top"/>
    </xf>
    <xf numFmtId="0" fontId="38" fillId="0" borderId="131" xfId="0" applyFont="1" applyBorder="1" applyAlignment="1">
      <alignment horizontal="right" vertical="top"/>
    </xf>
    <xf numFmtId="177" fontId="38" fillId="10" borderId="132" xfId="0" applyNumberFormat="1" applyFont="1" applyFill="1" applyBorder="1" applyAlignment="1">
      <alignment horizontal="right" vertical="top"/>
    </xf>
    <xf numFmtId="0" fontId="40" fillId="11" borderId="119" xfId="0" applyFont="1" applyFill="1" applyBorder="1" applyAlignment="1">
      <alignment vertical="top"/>
    </xf>
    <xf numFmtId="0" fontId="40" fillId="11" borderId="119" xfId="0" applyFont="1" applyFill="1" applyBorder="1" applyAlignment="1">
      <alignment vertical="top" indent="2"/>
    </xf>
    <xf numFmtId="0" fontId="40" fillId="11" borderId="119" xfId="0" applyFont="1" applyFill="1" applyBorder="1" applyAlignment="1">
      <alignment vertical="top" indent="4"/>
    </xf>
    <xf numFmtId="0" fontId="41" fillId="11" borderId="124" xfId="0" applyFont="1" applyFill="1" applyBorder="1" applyAlignment="1">
      <alignment vertical="top" indent="6"/>
    </xf>
    <xf numFmtId="0" fontId="40" fillId="11" borderId="119" xfId="0" applyFont="1" applyFill="1" applyBorder="1" applyAlignment="1">
      <alignment vertical="top" indent="8"/>
    </xf>
    <xf numFmtId="0" fontId="41" fillId="11" borderId="124" xfId="0" applyFont="1" applyFill="1" applyBorder="1" applyAlignment="1">
      <alignment vertical="top" indent="2"/>
    </xf>
    <xf numFmtId="0" fontId="40" fillId="11" borderId="119" xfId="0" applyFont="1" applyFill="1" applyBorder="1" applyAlignment="1">
      <alignment vertical="top" indent="6"/>
    </xf>
    <xf numFmtId="0" fontId="41" fillId="11" borderId="124" xfId="0" applyFont="1" applyFill="1" applyBorder="1" applyAlignment="1">
      <alignment vertical="top" indent="4"/>
    </xf>
    <xf numFmtId="0" fontId="41" fillId="11" borderId="124" xfId="0" applyFont="1" applyFill="1" applyBorder="1" applyAlignment="1">
      <alignment vertical="top"/>
    </xf>
    <xf numFmtId="0" fontId="35" fillId="11" borderId="119" xfId="0" applyFont="1" applyFill="1" applyBorder="1"/>
    <xf numFmtId="0" fontId="41" fillId="11" borderId="20" xfId="0" applyFont="1" applyFill="1" applyBorder="1" applyAlignment="1">
      <alignment vertical="top"/>
    </xf>
    <xf numFmtId="0" fontId="32" fillId="0" borderId="0" xfId="0" applyNumberFormat="1" applyFont="1" applyFill="1" applyBorder="1" applyAlignment="1">
      <alignment horizontal="left"/>
    </xf>
    <xf numFmtId="3" fontId="32" fillId="0" borderId="0" xfId="0" applyNumberFormat="1" applyFont="1" applyFill="1" applyBorder="1" applyAlignment="1">
      <alignment horizontal="left"/>
    </xf>
    <xf numFmtId="3" fontId="32" fillId="0" borderId="0" xfId="0" applyNumberFormat="1" applyFont="1" applyFill="1" applyBorder="1" applyAlignment="1">
      <alignment horizontal="right"/>
    </xf>
    <xf numFmtId="9" fontId="32" fillId="0" borderId="0" xfId="0" applyNumberFormat="1" applyFont="1" applyFill="1" applyBorder="1" applyAlignment="1">
      <alignment horizontal="right"/>
    </xf>
    <xf numFmtId="3" fontId="32" fillId="0" borderId="0" xfId="0" applyNumberFormat="1" applyFont="1" applyFill="1" applyBorder="1"/>
    <xf numFmtId="165" fontId="34" fillId="2" borderId="133" xfId="53" applyNumberFormat="1" applyFont="1" applyFill="1" applyBorder="1" applyAlignment="1">
      <alignment horizontal="left"/>
    </xf>
    <xf numFmtId="165" fontId="34" fillId="2" borderId="134" xfId="53" applyNumberFormat="1" applyFont="1" applyFill="1" applyBorder="1" applyAlignment="1">
      <alignment horizontal="left"/>
    </xf>
    <xf numFmtId="165" fontId="34" fillId="2" borderId="61" xfId="53" applyNumberFormat="1" applyFont="1" applyFill="1" applyBorder="1" applyAlignment="1">
      <alignment horizontal="left"/>
    </xf>
    <xf numFmtId="3" fontId="34" fillId="2" borderId="61" xfId="53" applyNumberFormat="1" applyFont="1" applyFill="1" applyBorder="1" applyAlignment="1">
      <alignment horizontal="left"/>
    </xf>
    <xf numFmtId="3" fontId="34" fillId="2" borderId="69" xfId="53" applyNumberFormat="1" applyFont="1" applyFill="1" applyBorder="1" applyAlignment="1">
      <alignment horizontal="left"/>
    </xf>
    <xf numFmtId="0" fontId="35" fillId="0" borderId="87" xfId="0" applyFont="1" applyFill="1" applyBorder="1"/>
    <xf numFmtId="0" fontId="35" fillId="0" borderId="88" xfId="0" applyFont="1" applyFill="1" applyBorder="1"/>
    <xf numFmtId="165" fontId="35" fillId="0" borderId="88" xfId="0" applyNumberFormat="1" applyFont="1" applyFill="1" applyBorder="1"/>
    <xf numFmtId="165" fontId="35" fillId="0" borderId="88" xfId="0" applyNumberFormat="1" applyFont="1" applyFill="1" applyBorder="1" applyAlignment="1">
      <alignment horizontal="right"/>
    </xf>
    <xf numFmtId="3" fontId="35" fillId="0" borderId="88" xfId="0" applyNumberFormat="1" applyFont="1" applyFill="1" applyBorder="1"/>
    <xf numFmtId="3" fontId="35" fillId="0" borderId="89" xfId="0" applyNumberFormat="1" applyFont="1" applyFill="1" applyBorder="1"/>
    <xf numFmtId="0" fontId="35" fillId="0" borderId="97" xfId="0" applyFont="1" applyFill="1" applyBorder="1"/>
    <xf numFmtId="0" fontId="35" fillId="0" borderId="98" xfId="0" applyFont="1" applyFill="1" applyBorder="1"/>
    <xf numFmtId="165" fontId="35" fillId="0" borderId="98" xfId="0" applyNumberFormat="1" applyFont="1" applyFill="1" applyBorder="1"/>
    <xf numFmtId="165" fontId="35" fillId="0" borderId="98" xfId="0" applyNumberFormat="1" applyFont="1" applyFill="1" applyBorder="1" applyAlignment="1">
      <alignment horizontal="right"/>
    </xf>
    <xf numFmtId="3" fontId="35" fillId="0" borderId="98" xfId="0" applyNumberFormat="1" applyFont="1" applyFill="1" applyBorder="1"/>
    <xf numFmtId="3" fontId="35" fillId="0" borderId="99" xfId="0" applyNumberFormat="1" applyFont="1" applyFill="1" applyBorder="1"/>
    <xf numFmtId="0" fontId="35" fillId="0" borderId="90" xfId="0" applyFont="1" applyFill="1" applyBorder="1"/>
    <xf numFmtId="0" fontId="35" fillId="0" borderId="91" xfId="0" applyFont="1" applyFill="1" applyBorder="1"/>
    <xf numFmtId="165" fontId="35" fillId="0" borderId="91" xfId="0" applyNumberFormat="1" applyFont="1" applyFill="1" applyBorder="1"/>
    <xf numFmtId="165" fontId="35" fillId="0" borderId="91" xfId="0" applyNumberFormat="1" applyFont="1" applyFill="1" applyBorder="1" applyAlignment="1">
      <alignment horizontal="right"/>
    </xf>
    <xf numFmtId="3" fontId="35" fillId="0" borderId="91" xfId="0" applyNumberFormat="1" applyFont="1" applyFill="1" applyBorder="1"/>
    <xf numFmtId="3" fontId="35" fillId="0" borderId="92" xfId="0" applyNumberFormat="1" applyFont="1" applyFill="1" applyBorder="1"/>
    <xf numFmtId="0" fontId="42" fillId="2" borderId="133" xfId="0" applyFont="1" applyFill="1" applyBorder="1"/>
    <xf numFmtId="3" fontId="42" fillId="2" borderId="135" xfId="0" applyNumberFormat="1" applyFont="1" applyFill="1" applyBorder="1"/>
    <xf numFmtId="9" fontId="42" fillId="2" borderId="82" xfId="0" applyNumberFormat="1" applyFont="1" applyFill="1" applyBorder="1"/>
    <xf numFmtId="3" fontId="42" fillId="2" borderId="69" xfId="0" applyNumberFormat="1" applyFont="1" applyFill="1" applyBorder="1"/>
    <xf numFmtId="9" fontId="35" fillId="0" borderId="88" xfId="0" applyNumberFormat="1" applyFont="1" applyFill="1" applyBorder="1"/>
    <xf numFmtId="9" fontId="35" fillId="0" borderId="98" xfId="0" applyNumberFormat="1" applyFont="1" applyFill="1" applyBorder="1"/>
    <xf numFmtId="9" fontId="35" fillId="0" borderId="91" xfId="0" applyNumberFormat="1" applyFont="1" applyFill="1" applyBorder="1"/>
    <xf numFmtId="3" fontId="35" fillId="0" borderId="104" xfId="0" applyNumberFormat="1" applyFont="1" applyFill="1" applyBorder="1"/>
    <xf numFmtId="9" fontId="35" fillId="0" borderId="104" xfId="0" applyNumberFormat="1" applyFont="1" applyFill="1" applyBorder="1"/>
    <xf numFmtId="3" fontId="35" fillId="0" borderId="105" xfId="0" applyNumberFormat="1" applyFont="1" applyFill="1" applyBorder="1"/>
    <xf numFmtId="0" fontId="42" fillId="11" borderId="21" xfId="0" applyFont="1" applyFill="1" applyBorder="1"/>
    <xf numFmtId="3" fontId="42" fillId="11" borderId="29" xfId="0" applyNumberFormat="1" applyFont="1" applyFill="1" applyBorder="1"/>
    <xf numFmtId="9" fontId="42" fillId="11" borderId="29" xfId="0" applyNumberFormat="1" applyFont="1" applyFill="1" applyBorder="1"/>
    <xf numFmtId="3" fontId="42" fillId="11" borderId="22" xfId="0" applyNumberFormat="1" applyFont="1" applyFill="1" applyBorder="1"/>
    <xf numFmtId="0" fontId="42" fillId="0" borderId="87" xfId="0" applyFont="1" applyFill="1" applyBorder="1"/>
    <xf numFmtId="0" fontId="42" fillId="0" borderId="97" xfId="0" applyFont="1" applyFill="1" applyBorder="1"/>
    <xf numFmtId="0" fontId="42" fillId="0" borderId="136" xfId="0" applyFont="1" applyFill="1" applyBorder="1"/>
    <xf numFmtId="0" fontId="35" fillId="5" borderId="12" xfId="0" applyFont="1" applyFill="1" applyBorder="1" applyAlignment="1">
      <alignment wrapText="1"/>
    </xf>
    <xf numFmtId="0" fontId="42" fillId="2" borderId="134" xfId="0" applyFont="1" applyFill="1" applyBorder="1"/>
    <xf numFmtId="3" fontId="42" fillId="2" borderId="0" xfId="0" applyNumberFormat="1" applyFont="1" applyFill="1" applyBorder="1"/>
    <xf numFmtId="3" fontId="42" fillId="2" borderId="18" xfId="0" applyNumberFormat="1" applyFont="1" applyFill="1" applyBorder="1"/>
    <xf numFmtId="9" fontId="32" fillId="0" borderId="0" xfId="0" applyNumberFormat="1" applyFont="1" applyFill="1" applyBorder="1"/>
    <xf numFmtId="0" fontId="3" fillId="2" borderId="133" xfId="79" applyFont="1" applyFill="1" applyBorder="1" applyAlignment="1">
      <alignment horizontal="left"/>
    </xf>
    <xf numFmtId="0" fontId="42" fillId="11" borderId="118" xfId="0" applyFont="1" applyFill="1" applyBorder="1"/>
    <xf numFmtId="0" fontId="42" fillId="11" borderId="116" xfId="0" applyFont="1" applyFill="1" applyBorder="1"/>
    <xf numFmtId="0" fontId="42" fillId="11" borderId="117" xfId="0" applyFont="1" applyFill="1" applyBorder="1"/>
    <xf numFmtId="3" fontId="3" fillId="2" borderId="104" xfId="80" applyNumberFormat="1" applyFont="1" applyFill="1" applyBorder="1"/>
    <xf numFmtId="0" fontId="3" fillId="2" borderId="104" xfId="80" applyFont="1" applyFill="1" applyBorder="1"/>
    <xf numFmtId="3" fontId="35" fillId="0" borderId="87" xfId="0" applyNumberFormat="1" applyFont="1" applyFill="1" applyBorder="1"/>
    <xf numFmtId="3" fontId="35" fillId="0" borderId="97" xfId="0" applyNumberFormat="1" applyFont="1" applyFill="1" applyBorder="1"/>
    <xf numFmtId="3" fontId="35" fillId="0" borderId="90" xfId="0" applyNumberFormat="1" applyFont="1" applyFill="1" applyBorder="1"/>
    <xf numFmtId="3" fontId="35" fillId="0" borderId="114" xfId="0" applyNumberFormat="1" applyFont="1" applyFill="1" applyBorder="1"/>
    <xf numFmtId="3" fontId="35" fillId="0" borderId="112" xfId="0" applyNumberFormat="1" applyFont="1" applyFill="1" applyBorder="1"/>
    <xf numFmtId="3" fontId="35" fillId="0" borderId="113" xfId="0" applyNumberFormat="1" applyFont="1" applyFill="1" applyBorder="1"/>
    <xf numFmtId="9" fontId="3" fillId="2" borderId="104" xfId="80" applyNumberFormat="1" applyFont="1" applyFill="1" applyBorder="1"/>
    <xf numFmtId="9" fontId="3" fillId="2" borderId="105" xfId="80" applyNumberFormat="1" applyFont="1" applyFill="1" applyBorder="1"/>
    <xf numFmtId="9" fontId="35" fillId="0" borderId="89" xfId="0" applyNumberFormat="1" applyFont="1" applyFill="1" applyBorder="1"/>
    <xf numFmtId="9" fontId="35" fillId="0" borderId="99" xfId="0" applyNumberFormat="1" applyFont="1" applyFill="1" applyBorder="1"/>
    <xf numFmtId="9" fontId="35" fillId="0" borderId="92" xfId="0" applyNumberFormat="1" applyFont="1" applyFill="1" applyBorder="1"/>
    <xf numFmtId="0" fontId="35" fillId="0" borderId="118" xfId="0" applyFont="1" applyFill="1" applyBorder="1"/>
    <xf numFmtId="0" fontId="35" fillId="0" borderId="116" xfId="0" applyFont="1" applyFill="1" applyBorder="1"/>
    <xf numFmtId="0" fontId="35" fillId="0" borderId="117" xfId="0" applyFont="1" applyFill="1" applyBorder="1"/>
    <xf numFmtId="3" fontId="35" fillId="0" borderId="110" xfId="0" applyNumberFormat="1" applyFont="1" applyFill="1" applyBorder="1"/>
    <xf numFmtId="3" fontId="35" fillId="0" borderId="100" xfId="0" applyNumberFormat="1" applyFont="1" applyFill="1" applyBorder="1"/>
    <xf numFmtId="3" fontId="35" fillId="0" borderId="108" xfId="0" applyNumberFormat="1" applyFont="1" applyFill="1" applyBorder="1"/>
    <xf numFmtId="0" fontId="3" fillId="2" borderId="138" xfId="79" applyFont="1" applyFill="1" applyBorder="1" applyAlignment="1">
      <alignment horizontal="left"/>
    </xf>
    <xf numFmtId="0" fontId="3" fillId="2" borderId="139" xfId="79" applyFont="1" applyFill="1" applyBorder="1" applyAlignment="1">
      <alignment horizontal="left"/>
    </xf>
    <xf numFmtId="0" fontId="3" fillId="2" borderId="140" xfId="80" applyFont="1" applyFill="1" applyBorder="1" applyAlignment="1">
      <alignment horizontal="left"/>
    </xf>
    <xf numFmtId="0" fontId="3" fillId="2" borderId="140" xfId="79" applyFont="1" applyFill="1" applyBorder="1" applyAlignment="1">
      <alignment horizontal="left"/>
    </xf>
    <xf numFmtId="0" fontId="3" fillId="2" borderId="141" xfId="79" applyFont="1" applyFill="1" applyBorder="1" applyAlignment="1">
      <alignment horizontal="left"/>
    </xf>
    <xf numFmtId="0" fontId="35" fillId="0" borderId="88" xfId="0" applyFont="1" applyFill="1" applyBorder="1" applyAlignment="1">
      <alignment horizontal="right"/>
    </xf>
    <xf numFmtId="0" fontId="35" fillId="0" borderId="88" xfId="0" applyFont="1" applyFill="1" applyBorder="1" applyAlignment="1">
      <alignment horizontal="left"/>
    </xf>
    <xf numFmtId="166" fontId="35" fillId="0" borderId="88" xfId="0" applyNumberFormat="1" applyFont="1" applyFill="1" applyBorder="1"/>
    <xf numFmtId="0" fontId="35" fillId="0" borderId="142" xfId="0" applyFont="1" applyFill="1" applyBorder="1"/>
    <xf numFmtId="0" fontId="35" fillId="0" borderId="143" xfId="0" applyFont="1" applyFill="1" applyBorder="1"/>
    <xf numFmtId="0" fontId="35" fillId="0" borderId="143" xfId="0" applyFont="1" applyFill="1" applyBorder="1" applyAlignment="1">
      <alignment horizontal="right"/>
    </xf>
    <xf numFmtId="0" fontId="35" fillId="0" borderId="143" xfId="0" applyFont="1" applyFill="1" applyBorder="1" applyAlignment="1">
      <alignment horizontal="left"/>
    </xf>
    <xf numFmtId="165" fontId="35" fillId="0" borderId="143" xfId="0" applyNumberFormat="1" applyFont="1" applyFill="1" applyBorder="1"/>
    <xf numFmtId="166" fontId="35" fillId="0" borderId="143" xfId="0" applyNumberFormat="1" applyFont="1" applyFill="1" applyBorder="1"/>
    <xf numFmtId="9" fontId="35" fillId="0" borderId="143" xfId="0" applyNumberFormat="1" applyFont="1" applyFill="1" applyBorder="1"/>
    <xf numFmtId="9" fontId="35" fillId="0" borderId="144" xfId="0" applyNumberFormat="1" applyFont="1" applyFill="1" applyBorder="1"/>
    <xf numFmtId="0" fontId="35" fillId="0" borderId="145" xfId="0" applyFont="1" applyFill="1" applyBorder="1"/>
    <xf numFmtId="0" fontId="35" fillId="0" borderId="146" xfId="0" applyFont="1" applyFill="1" applyBorder="1"/>
    <xf numFmtId="0" fontId="35" fillId="0" borderId="146" xfId="0" applyFont="1" applyFill="1" applyBorder="1" applyAlignment="1">
      <alignment horizontal="right"/>
    </xf>
    <xf numFmtId="0" fontId="35" fillId="0" borderId="146" xfId="0" applyFont="1" applyFill="1" applyBorder="1" applyAlignment="1">
      <alignment horizontal="left"/>
    </xf>
    <xf numFmtId="165" fontId="35" fillId="0" borderId="146" xfId="0" applyNumberFormat="1" applyFont="1" applyFill="1" applyBorder="1"/>
    <xf numFmtId="166" fontId="35" fillId="0" borderId="146" xfId="0" applyNumberFormat="1" applyFont="1" applyFill="1" applyBorder="1"/>
    <xf numFmtId="9" fontId="35" fillId="0" borderId="146" xfId="0" applyNumberFormat="1" applyFont="1" applyFill="1" applyBorder="1"/>
    <xf numFmtId="9" fontId="35" fillId="0" borderId="147" xfId="0" applyNumberFormat="1" applyFont="1" applyFill="1" applyBorder="1"/>
    <xf numFmtId="3" fontId="35" fillId="0" borderId="143" xfId="0" applyNumberFormat="1" applyFont="1" applyFill="1" applyBorder="1"/>
    <xf numFmtId="3" fontId="35" fillId="0" borderId="144" xfId="0" applyNumberFormat="1" applyFont="1" applyFill="1" applyBorder="1"/>
    <xf numFmtId="3" fontId="35" fillId="0" borderId="146" xfId="0" applyNumberFormat="1" applyFont="1" applyFill="1" applyBorder="1"/>
    <xf numFmtId="3" fontId="35" fillId="0" borderId="147" xfId="0" applyNumberFormat="1" applyFont="1" applyFill="1" applyBorder="1"/>
    <xf numFmtId="3" fontId="35" fillId="0" borderId="149" xfId="0" applyNumberFormat="1" applyFont="1" applyFill="1" applyBorder="1"/>
    <xf numFmtId="9" fontId="35" fillId="0" borderId="149" xfId="0" applyNumberFormat="1" applyFont="1" applyFill="1" applyBorder="1"/>
    <xf numFmtId="3" fontId="35" fillId="0" borderId="150" xfId="0" applyNumberFormat="1" applyFont="1" applyFill="1" applyBorder="1"/>
    <xf numFmtId="0" fontId="42" fillId="0" borderId="142" xfId="0" applyFont="1" applyFill="1" applyBorder="1"/>
    <xf numFmtId="0" fontId="42" fillId="0" borderId="148" xfId="0" applyFont="1" applyFill="1" applyBorder="1"/>
    <xf numFmtId="165" fontId="35" fillId="0" borderId="143" xfId="0" applyNumberFormat="1" applyFont="1" applyFill="1" applyBorder="1" applyAlignment="1">
      <alignment horizontal="right"/>
    </xf>
    <xf numFmtId="165" fontId="35" fillId="0" borderId="146" xfId="0" applyNumberFormat="1" applyFont="1" applyFill="1" applyBorder="1" applyAlignment="1">
      <alignment horizontal="right"/>
    </xf>
    <xf numFmtId="174" fontId="42" fillId="4" borderId="155" xfId="0" applyNumberFormat="1" applyFont="1" applyFill="1" applyBorder="1" applyAlignment="1">
      <alignment horizontal="center"/>
    </xf>
    <xf numFmtId="174" fontId="42" fillId="4" borderId="156" xfId="0" applyNumberFormat="1" applyFont="1" applyFill="1" applyBorder="1" applyAlignment="1">
      <alignment horizontal="center"/>
    </xf>
    <xf numFmtId="174" fontId="35" fillId="0" borderId="157" xfId="0" applyNumberFormat="1" applyFont="1" applyBorder="1" applyAlignment="1">
      <alignment horizontal="right"/>
    </xf>
    <xf numFmtId="174" fontId="35" fillId="0" borderId="158" xfId="0" applyNumberFormat="1" applyFont="1" applyBorder="1" applyAlignment="1">
      <alignment horizontal="right"/>
    </xf>
    <xf numFmtId="174" fontId="35" fillId="0" borderId="158" xfId="0" applyNumberFormat="1" applyFont="1" applyBorder="1" applyAlignment="1">
      <alignment horizontal="right" wrapText="1"/>
    </xf>
    <xf numFmtId="176" fontId="35" fillId="0" borderId="157" xfId="0" applyNumberFormat="1" applyFont="1" applyBorder="1" applyAlignment="1">
      <alignment horizontal="right"/>
    </xf>
    <xf numFmtId="176" fontId="35" fillId="0" borderId="158" xfId="0" applyNumberFormat="1" applyFont="1" applyBorder="1" applyAlignment="1">
      <alignment horizontal="right"/>
    </xf>
    <xf numFmtId="174" fontId="35" fillId="0" borderId="159" xfId="0" applyNumberFormat="1" applyFont="1" applyBorder="1" applyAlignment="1">
      <alignment horizontal="right"/>
    </xf>
    <xf numFmtId="174" fontId="35" fillId="0" borderId="160" xfId="0" applyNumberFormat="1" applyFont="1" applyBorder="1" applyAlignment="1">
      <alignment horizontal="right"/>
    </xf>
    <xf numFmtId="0" fontId="42" fillId="2" borderId="114" xfId="0" applyFont="1" applyFill="1" applyBorder="1" applyAlignment="1">
      <alignment horizontal="center" vertical="center"/>
    </xf>
    <xf numFmtId="0" fontId="61" fillId="2" borderId="154" xfId="0" applyFont="1" applyFill="1" applyBorder="1" applyAlignment="1">
      <alignment horizontal="center" vertical="center" wrapText="1"/>
    </xf>
    <xf numFmtId="175" fontId="35" fillId="2" borderId="114" xfId="0" applyNumberFormat="1" applyFont="1" applyFill="1" applyBorder="1" applyAlignment="1"/>
    <xf numFmtId="175" fontId="35" fillId="0" borderId="152" xfId="0" applyNumberFormat="1" applyFont="1" applyBorder="1"/>
    <xf numFmtId="175" fontId="35" fillId="0" borderId="162" xfId="0" applyNumberFormat="1" applyFont="1" applyBorder="1"/>
    <xf numFmtId="174" fontId="42" fillId="4" borderId="114" xfId="0" applyNumberFormat="1" applyFont="1" applyFill="1" applyBorder="1" applyAlignment="1"/>
    <xf numFmtId="174" fontId="35" fillId="0" borderId="152" xfId="0" applyNumberFormat="1" applyFont="1" applyBorder="1"/>
    <xf numFmtId="174" fontId="35" fillId="0" borderId="154" xfId="0" applyNumberFormat="1" applyFont="1" applyBorder="1"/>
    <xf numFmtId="174" fontId="42" fillId="2" borderId="114" xfId="0" applyNumberFormat="1" applyFont="1" applyFill="1" applyBorder="1" applyAlignment="1"/>
    <xf numFmtId="174" fontId="35" fillId="0" borderId="162" xfId="0" applyNumberFormat="1" applyFont="1" applyBorder="1"/>
    <xf numFmtId="174" fontId="35" fillId="0" borderId="114" xfId="0" applyNumberFormat="1" applyFont="1" applyBorder="1"/>
    <xf numFmtId="174" fontId="42" fillId="4" borderId="163" xfId="0" applyNumberFormat="1" applyFont="1" applyFill="1" applyBorder="1" applyAlignment="1">
      <alignment horizontal="center"/>
    </xf>
    <xf numFmtId="174" fontId="35" fillId="0" borderId="164" xfId="0" applyNumberFormat="1" applyFont="1" applyBorder="1" applyAlignment="1">
      <alignment horizontal="right"/>
    </xf>
    <xf numFmtId="176" fontId="35" fillId="0" borderId="164" xfId="0" applyNumberFormat="1" applyFont="1" applyBorder="1" applyAlignment="1">
      <alignment horizontal="right"/>
    </xf>
    <xf numFmtId="174" fontId="35" fillId="0" borderId="165" xfId="0" applyNumberFormat="1" applyFont="1" applyBorder="1" applyAlignment="1">
      <alignment horizontal="right"/>
    </xf>
    <xf numFmtId="0" fontId="0" fillId="0" borderId="17" xfId="0" applyBorder="1"/>
    <xf numFmtId="174" fontId="42" fillId="4" borderId="93" xfId="0" applyNumberFormat="1" applyFont="1" applyFill="1" applyBorder="1" applyAlignment="1">
      <alignment horizontal="center"/>
    </xf>
    <xf numFmtId="174" fontId="35" fillId="0" borderId="166" xfId="0" applyNumberFormat="1" applyFont="1" applyBorder="1" applyAlignment="1">
      <alignment horizontal="right"/>
    </xf>
    <xf numFmtId="176" fontId="35" fillId="0" borderId="166" xfId="0" applyNumberFormat="1" applyFont="1" applyBorder="1" applyAlignment="1">
      <alignment horizontal="right"/>
    </xf>
    <xf numFmtId="174" fontId="35" fillId="0" borderId="151" xfId="0" applyNumberFormat="1" applyFont="1" applyBorder="1" applyAlignment="1">
      <alignment horizontal="right"/>
    </xf>
    <xf numFmtId="0" fontId="35" fillId="2" borderId="69" xfId="0" applyFont="1" applyFill="1" applyBorder="1" applyAlignment="1">
      <alignment vertical="center"/>
    </xf>
    <xf numFmtId="0" fontId="34" fillId="2" borderId="17" xfId="26" applyNumberFormat="1" applyFont="1" applyFill="1" applyBorder="1"/>
    <xf numFmtId="0" fontId="34" fillId="2" borderId="0" xfId="26" applyNumberFormat="1" applyFont="1" applyFill="1" applyBorder="1"/>
    <xf numFmtId="0" fontId="34" fillId="2" borderId="18" xfId="26" applyNumberFormat="1" applyFont="1" applyFill="1" applyBorder="1" applyAlignment="1">
      <alignment horizontal="right"/>
    </xf>
    <xf numFmtId="170" fontId="35" fillId="0" borderId="161" xfId="0" applyNumberFormat="1" applyFont="1" applyFill="1" applyBorder="1"/>
    <xf numFmtId="0" fontId="35" fillId="0" borderId="161" xfId="0" applyFont="1" applyFill="1" applyBorder="1"/>
    <xf numFmtId="9" fontId="35" fillId="0" borderId="161" xfId="0" applyNumberFormat="1" applyFont="1" applyFill="1" applyBorder="1"/>
    <xf numFmtId="9" fontId="35" fillId="0" borderId="168" xfId="0" applyNumberFormat="1" applyFont="1" applyFill="1" applyBorder="1"/>
    <xf numFmtId="0" fontId="42" fillId="0" borderId="167" xfId="0" applyFont="1" applyFill="1" applyBorder="1"/>
    <xf numFmtId="0" fontId="66" fillId="0" borderId="0" xfId="0" applyFont="1" applyFill="1"/>
    <xf numFmtId="0" fontId="67" fillId="0" borderId="0" xfId="0" applyFont="1" applyFill="1"/>
    <xf numFmtId="0" fontId="35" fillId="2" borderId="33" xfId="0" applyFont="1" applyFill="1" applyBorder="1" applyAlignment="1">
      <alignment horizontal="center" vertical="top" wrapText="1"/>
    </xf>
    <xf numFmtId="0" fontId="34" fillId="2" borderId="33" xfId="0" applyFont="1" applyFill="1" applyBorder="1" applyAlignment="1">
      <alignment horizontal="center" vertical="top"/>
    </xf>
    <xf numFmtId="49" fontId="34" fillId="2" borderId="33" xfId="0" applyNumberFormat="1" applyFont="1" applyFill="1" applyBorder="1" applyAlignment="1">
      <alignment horizontal="center" vertical="top"/>
    </xf>
    <xf numFmtId="0" fontId="34" fillId="2" borderId="33" xfId="0" applyFont="1" applyFill="1" applyBorder="1" applyAlignment="1">
      <alignment horizontal="center" vertical="center"/>
    </xf>
    <xf numFmtId="3" fontId="34" fillId="2" borderId="17" xfId="0" applyNumberFormat="1" applyFont="1" applyFill="1" applyBorder="1" applyAlignment="1">
      <alignment horizontal="left"/>
    </xf>
    <xf numFmtId="3" fontId="34" fillId="2" borderId="18" xfId="0" applyNumberFormat="1" applyFont="1" applyFill="1" applyBorder="1" applyAlignment="1">
      <alignment horizontal="center"/>
    </xf>
    <xf numFmtId="3" fontId="34" fillId="2" borderId="0" xfId="0" applyNumberFormat="1" applyFont="1" applyFill="1" applyBorder="1" applyAlignment="1">
      <alignment horizontal="center"/>
    </xf>
    <xf numFmtId="9" fontId="46" fillId="2" borderId="18" xfId="0" applyNumberFormat="1" applyFont="1" applyFill="1" applyBorder="1" applyAlignment="1">
      <alignment horizontal="center" vertical="top"/>
    </xf>
    <xf numFmtId="3" fontId="34" fillId="2" borderId="18" xfId="0" applyNumberFormat="1" applyFont="1" applyFill="1" applyBorder="1" applyAlignment="1">
      <alignment horizontal="center" vertical="top"/>
    </xf>
    <xf numFmtId="170" fontId="35" fillId="0" borderId="88" xfId="0" applyNumberFormat="1" applyFont="1" applyFill="1" applyBorder="1"/>
    <xf numFmtId="170" fontId="35" fillId="0" borderId="143" xfId="0" applyNumberFormat="1" applyFont="1" applyFill="1" applyBorder="1"/>
    <xf numFmtId="170" fontId="35" fillId="0" borderId="146" xfId="0" applyNumberFormat="1" applyFont="1" applyFill="1" applyBorder="1"/>
    <xf numFmtId="0" fontId="42" fillId="0" borderId="145" xfId="0" applyFont="1" applyFill="1" applyBorder="1"/>
    <xf numFmtId="0" fontId="34" fillId="2" borderId="17" xfId="0" applyNumberFormat="1" applyFont="1" applyFill="1" applyBorder="1" applyAlignment="1">
      <alignment horizontal="left"/>
    </xf>
    <xf numFmtId="0" fontId="34" fillId="2" borderId="18" xfId="0" applyNumberFormat="1" applyFont="1" applyFill="1" applyBorder="1" applyAlignment="1">
      <alignment horizontal="left"/>
    </xf>
    <xf numFmtId="0" fontId="34" fillId="2" borderId="0" xfId="0" applyNumberFormat="1" applyFont="1" applyFill="1" applyBorder="1" applyAlignment="1">
      <alignment horizontal="left"/>
    </xf>
    <xf numFmtId="0" fontId="46" fillId="2" borderId="18" xfId="0" applyNumberFormat="1" applyFont="1" applyFill="1" applyBorder="1" applyAlignment="1">
      <alignment horizontal="center" vertical="top"/>
    </xf>
    <xf numFmtId="167" fontId="5" fillId="0" borderId="137" xfId="0" applyNumberFormat="1" applyFont="1" applyBorder="1" applyAlignment="1">
      <alignment horizontal="right"/>
    </xf>
    <xf numFmtId="167" fontId="5" fillId="0" borderId="102" xfId="0" applyNumberFormat="1" applyFont="1" applyBorder="1" applyAlignment="1">
      <alignment horizontal="right"/>
    </xf>
    <xf numFmtId="3" fontId="12" fillId="0" borderId="137" xfId="0" applyNumberFormat="1" applyFont="1" applyBorder="1" applyAlignment="1">
      <alignment horizontal="right"/>
    </xf>
    <xf numFmtId="167" fontId="12" fillId="0" borderId="137" xfId="0" applyNumberFormat="1" applyFont="1" applyBorder="1" applyAlignment="1">
      <alignment horizontal="right"/>
    </xf>
    <xf numFmtId="167" fontId="12" fillId="0" borderId="102" xfId="0" applyNumberFormat="1" applyFont="1" applyBorder="1" applyAlignment="1">
      <alignment horizontal="right"/>
    </xf>
    <xf numFmtId="178" fontId="5" fillId="0" borderId="137" xfId="0" applyNumberFormat="1" applyFont="1" applyBorder="1" applyAlignment="1">
      <alignment horizontal="right"/>
    </xf>
    <xf numFmtId="3" fontId="5" fillId="0" borderId="137" xfId="0" applyNumberFormat="1" applyFont="1" applyBorder="1" applyAlignment="1">
      <alignment horizontal="right"/>
    </xf>
    <xf numFmtId="4" fontId="5" fillId="0" borderId="137" xfId="0" applyNumberFormat="1" applyFont="1" applyBorder="1" applyAlignment="1">
      <alignment horizontal="right"/>
    </xf>
    <xf numFmtId="3" fontId="5" fillId="0" borderId="137" xfId="0" applyNumberFormat="1" applyFont="1" applyBorder="1"/>
    <xf numFmtId="3" fontId="11" fillId="0" borderId="169" xfId="0" applyNumberFormat="1" applyFont="1" applyBorder="1" applyAlignment="1">
      <alignment horizontal="center"/>
    </xf>
    <xf numFmtId="167" fontId="11" fillId="0" borderId="102" xfId="0" applyNumberFormat="1" applyFont="1" applyBorder="1" applyAlignment="1">
      <alignment horizontal="right"/>
    </xf>
    <xf numFmtId="167" fontId="5" fillId="0" borderId="18" xfId="0" applyNumberFormat="1" applyFont="1" applyBorder="1" applyAlignment="1">
      <alignment horizontal="right"/>
    </xf>
    <xf numFmtId="167" fontId="11" fillId="0" borderId="18" xfId="0" applyNumberFormat="1" applyFont="1" applyBorder="1" applyAlignment="1">
      <alignment horizontal="right"/>
    </xf>
    <xf numFmtId="3" fontId="11" fillId="0" borderId="33" xfId="0" applyNumberFormat="1" applyFont="1" applyBorder="1" applyAlignment="1">
      <alignment horizontal="center"/>
    </xf>
    <xf numFmtId="3" fontId="12" fillId="0" borderId="137" xfId="0" applyNumberFormat="1" applyFont="1" applyBorder="1"/>
    <xf numFmtId="167" fontId="12" fillId="0" borderId="137" xfId="0" applyNumberFormat="1" applyFont="1" applyBorder="1"/>
    <xf numFmtId="167" fontId="12" fillId="0" borderId="102" xfId="0" applyNumberFormat="1" applyFont="1" applyBorder="1"/>
    <xf numFmtId="167" fontId="12" fillId="0" borderId="18" xfId="0" applyNumberFormat="1" applyFont="1" applyBorder="1"/>
    <xf numFmtId="167" fontId="12" fillId="0" borderId="18" xfId="0" applyNumberFormat="1" applyFont="1" applyBorder="1" applyAlignment="1">
      <alignment horizontal="right"/>
    </xf>
    <xf numFmtId="3" fontId="35" fillId="0" borderId="137" xfId="0" applyNumberFormat="1" applyFont="1" applyBorder="1"/>
    <xf numFmtId="167" fontId="35" fillId="0" borderId="137" xfId="0" applyNumberFormat="1" applyFont="1" applyBorder="1"/>
    <xf numFmtId="167" fontId="35" fillId="0" borderId="102" xfId="0" applyNumberFormat="1" applyFont="1" applyBorder="1"/>
    <xf numFmtId="3" fontId="35" fillId="0" borderId="137" xfId="0" applyNumberFormat="1" applyFont="1" applyBorder="1" applyAlignment="1">
      <alignment horizontal="right"/>
    </xf>
    <xf numFmtId="0" fontId="5" fillId="0" borderId="137" xfId="0" applyFont="1" applyBorder="1"/>
    <xf numFmtId="9" fontId="35" fillId="0" borderId="137" xfId="0" applyNumberFormat="1" applyFont="1" applyBorder="1"/>
    <xf numFmtId="167" fontId="35" fillId="0" borderId="18" xfId="0" applyNumberFormat="1" applyFont="1" applyBorder="1"/>
    <xf numFmtId="49" fontId="3" fillId="2" borderId="33" xfId="26" applyNumberFormat="1" applyFont="1" applyFill="1" applyBorder="1" applyAlignment="1">
      <alignment horizontal="left" vertical="top"/>
    </xf>
    <xf numFmtId="169" fontId="3" fillId="2" borderId="17" xfId="26" applyNumberFormat="1" applyFont="1" applyFill="1" applyBorder="1" applyAlignment="1">
      <alignment horizontal="left" vertical="top"/>
    </xf>
    <xf numFmtId="169" fontId="3" fillId="2" borderId="0" xfId="26" applyNumberFormat="1" applyFont="1" applyFill="1" applyBorder="1" applyAlignment="1">
      <alignment horizontal="left" vertical="top"/>
    </xf>
    <xf numFmtId="169" fontId="3" fillId="2" borderId="18" xfId="26" applyNumberFormat="1" applyFont="1" applyFill="1" applyBorder="1" applyAlignment="1">
      <alignment horizontal="left" vertical="top"/>
    </xf>
    <xf numFmtId="169" fontId="3" fillId="2" borderId="33" xfId="26" applyNumberFormat="1" applyFont="1" applyFill="1" applyBorder="1" applyAlignment="1">
      <alignment horizontal="left" vertical="top" wrapText="1"/>
    </xf>
    <xf numFmtId="169" fontId="3" fillId="2" borderId="33" xfId="26" applyNumberFormat="1" applyFont="1" applyFill="1" applyBorder="1" applyAlignment="1">
      <alignment horizontal="left" vertical="top"/>
    </xf>
    <xf numFmtId="169" fontId="3" fillId="2" borderId="33" xfId="26" applyNumberFormat="1" applyFont="1" applyFill="1" applyBorder="1" applyAlignment="1">
      <alignment horizontal="left" vertical="top"/>
    </xf>
    <xf numFmtId="3" fontId="3" fillId="2" borderId="33" xfId="26" applyNumberFormat="1" applyFont="1" applyFill="1" applyBorder="1" applyAlignment="1">
      <alignment horizontal="center" vertical="top"/>
    </xf>
    <xf numFmtId="3" fontId="3" fillId="2" borderId="17" xfId="26" applyNumberFormat="1" applyFont="1" applyFill="1" applyBorder="1" applyAlignment="1">
      <alignment horizontal="left" vertical="center"/>
    </xf>
    <xf numFmtId="3" fontId="3" fillId="2" borderId="18" xfId="26" applyNumberFormat="1" applyFont="1" applyFill="1" applyBorder="1" applyAlignment="1">
      <alignment horizontal="left" vertical="center"/>
    </xf>
    <xf numFmtId="169" fontId="3" fillId="2" borderId="17" xfId="24" applyNumberFormat="1" applyFont="1" applyFill="1" applyBorder="1" applyAlignment="1">
      <alignment horizontal="left" vertical="center" wrapText="1"/>
    </xf>
    <xf numFmtId="169" fontId="3" fillId="2" borderId="0" xfId="24" applyNumberFormat="1" applyFont="1" applyFill="1" applyBorder="1" applyAlignment="1">
      <alignment horizontal="left" vertical="center" wrapText="1"/>
    </xf>
    <xf numFmtId="9" fontId="3" fillId="2" borderId="18" xfId="24" applyNumberFormat="1" applyFont="1" applyFill="1" applyBorder="1" applyAlignment="1">
      <alignment horizontal="left" vertical="center" wrapText="1"/>
    </xf>
    <xf numFmtId="167" fontId="3" fillId="2" borderId="18" xfId="24" applyNumberFormat="1" applyFont="1" applyFill="1" applyBorder="1" applyAlignment="1">
      <alignment horizontal="left" vertical="center" wrapText="1"/>
    </xf>
    <xf numFmtId="167" fontId="35" fillId="0" borderId="111" xfId="0" applyNumberFormat="1" applyFont="1" applyBorder="1"/>
    <xf numFmtId="167" fontId="35" fillId="0" borderId="86" xfId="0" applyNumberFormat="1" applyFont="1" applyBorder="1"/>
    <xf numFmtId="3" fontId="35" fillId="0" borderId="111" xfId="0" applyNumberFormat="1" applyFont="1" applyBorder="1" applyAlignment="1">
      <alignment horizontal="right"/>
    </xf>
    <xf numFmtId="167" fontId="5" fillId="0" borderId="111" xfId="0" applyNumberFormat="1" applyFont="1" applyBorder="1" applyAlignment="1">
      <alignment horizontal="right"/>
    </xf>
    <xf numFmtId="167" fontId="5" fillId="0" borderId="86" xfId="0" applyNumberFormat="1" applyFont="1" applyBorder="1" applyAlignment="1">
      <alignment horizontal="right"/>
    </xf>
    <xf numFmtId="3" fontId="12" fillId="0" borderId="111" xfId="0" applyNumberFormat="1" applyFont="1" applyBorder="1" applyAlignment="1">
      <alignment horizontal="right"/>
    </xf>
    <xf numFmtId="167" fontId="12" fillId="0" borderId="111" xfId="0" applyNumberFormat="1" applyFont="1" applyBorder="1" applyAlignment="1">
      <alignment horizontal="right"/>
    </xf>
    <xf numFmtId="167" fontId="12" fillId="0" borderId="86" xfId="0" applyNumberFormat="1" applyFont="1" applyBorder="1" applyAlignment="1">
      <alignment horizontal="right"/>
    </xf>
    <xf numFmtId="178" fontId="5" fillId="0" borderId="111" xfId="0" applyNumberFormat="1" applyFont="1" applyBorder="1" applyAlignment="1">
      <alignment horizontal="right"/>
    </xf>
    <xf numFmtId="3" fontId="5" fillId="0" borderId="111" xfId="0" applyNumberFormat="1" applyFont="1" applyBorder="1" applyAlignment="1">
      <alignment horizontal="right"/>
    </xf>
    <xf numFmtId="4" fontId="5" fillId="0" borderId="111" xfId="0" applyNumberFormat="1" applyFont="1" applyBorder="1" applyAlignment="1">
      <alignment horizontal="right"/>
    </xf>
    <xf numFmtId="0" fontId="5" fillId="0" borderId="111" xfId="0" applyFont="1" applyBorder="1"/>
    <xf numFmtId="3" fontId="5" fillId="0" borderId="111" xfId="0" applyNumberFormat="1" applyFont="1" applyBorder="1"/>
    <xf numFmtId="9" fontId="35" fillId="0" borderId="111" xfId="0" applyNumberFormat="1" applyFont="1" applyBorder="1"/>
    <xf numFmtId="3" fontId="11" fillId="0" borderId="85" xfId="0" applyNumberFormat="1" applyFont="1" applyBorder="1" applyAlignment="1">
      <alignment horizontal="center"/>
    </xf>
    <xf numFmtId="3" fontId="35" fillId="0" borderId="0" xfId="0" applyNumberFormat="1" applyFont="1" applyBorder="1"/>
    <xf numFmtId="167" fontId="35" fillId="0" borderId="0" xfId="0" applyNumberFormat="1" applyFont="1" applyBorder="1"/>
    <xf numFmtId="3" fontId="35" fillId="0" borderId="0" xfId="0" applyNumberFormat="1" applyFont="1" applyBorder="1" applyAlignment="1">
      <alignment horizontal="right"/>
    </xf>
    <xf numFmtId="167" fontId="5" fillId="0" borderId="0" xfId="0" applyNumberFormat="1" applyFont="1" applyBorder="1" applyAlignment="1">
      <alignment horizontal="right"/>
    </xf>
    <xf numFmtId="3" fontId="12" fillId="0" borderId="0" xfId="0" applyNumberFormat="1" applyFont="1" applyBorder="1" applyAlignment="1">
      <alignment horizontal="right"/>
    </xf>
    <xf numFmtId="167" fontId="12" fillId="0" borderId="0" xfId="0" applyNumberFormat="1" applyFont="1" applyBorder="1" applyAlignment="1">
      <alignment horizontal="right"/>
    </xf>
    <xf numFmtId="178" fontId="5" fillId="0" borderId="0" xfId="0" applyNumberFormat="1" applyFont="1" applyBorder="1" applyAlignment="1">
      <alignment horizontal="right"/>
    </xf>
    <xf numFmtId="3" fontId="5" fillId="0" borderId="0" xfId="0" applyNumberFormat="1" applyFont="1" applyBorder="1" applyAlignment="1">
      <alignment horizontal="right"/>
    </xf>
    <xf numFmtId="4" fontId="5" fillId="0" borderId="0" xfId="0" applyNumberFormat="1" applyFont="1" applyBorder="1" applyAlignment="1">
      <alignment horizontal="right"/>
    </xf>
    <xf numFmtId="0" fontId="5" fillId="0" borderId="0" xfId="0" applyFont="1" applyBorder="1"/>
    <xf numFmtId="3" fontId="5" fillId="0" borderId="0" xfId="0" applyNumberFormat="1" applyFont="1" applyBorder="1"/>
    <xf numFmtId="9" fontId="35" fillId="0" borderId="0" xfId="0" applyNumberFormat="1" applyFont="1" applyBorder="1"/>
    <xf numFmtId="3" fontId="12" fillId="0" borderId="0" xfId="0" applyNumberFormat="1" applyFont="1" applyBorder="1"/>
    <xf numFmtId="167" fontId="12" fillId="0" borderId="0" xfId="0" applyNumberFormat="1" applyFont="1" applyBorder="1"/>
    <xf numFmtId="49" fontId="3" fillId="0" borderId="85" xfId="0" applyNumberFormat="1" applyFont="1" applyBorder="1" applyAlignment="1">
      <alignment horizontal="center"/>
    </xf>
    <xf numFmtId="49" fontId="3" fillId="0" borderId="169" xfId="0" applyNumberFormat="1" applyFont="1" applyBorder="1" applyAlignment="1">
      <alignment horizontal="center"/>
    </xf>
    <xf numFmtId="49" fontId="3" fillId="0" borderId="33" xfId="0" applyNumberFormat="1" applyFont="1" applyBorder="1" applyAlignment="1">
      <alignment horizontal="center"/>
    </xf>
    <xf numFmtId="49" fontId="3" fillId="0" borderId="151" xfId="0" applyNumberFormat="1" applyFont="1" applyBorder="1" applyAlignment="1">
      <alignment horizontal="center"/>
    </xf>
    <xf numFmtId="3" fontId="12" fillId="0" borderId="153" xfId="0" applyNumberFormat="1" applyFont="1" applyBorder="1"/>
    <xf numFmtId="167" fontId="12" fillId="0" borderId="153" xfId="0" applyNumberFormat="1" applyFont="1" applyBorder="1"/>
    <xf numFmtId="167" fontId="12" fillId="0" borderId="170" xfId="0" applyNumberFormat="1" applyFont="1" applyBorder="1"/>
    <xf numFmtId="3" fontId="35" fillId="0" borderId="153" xfId="0" applyNumberFormat="1" applyFont="1" applyBorder="1" applyAlignment="1">
      <alignment horizontal="right"/>
    </xf>
    <xf numFmtId="167" fontId="5" fillId="0" borderId="153" xfId="0" applyNumberFormat="1" applyFont="1" applyBorder="1" applyAlignment="1">
      <alignment horizontal="right"/>
    </xf>
    <xf numFmtId="167" fontId="5" fillId="0" borderId="170" xfId="0" applyNumberFormat="1" applyFont="1" applyBorder="1" applyAlignment="1">
      <alignment horizontal="right"/>
    </xf>
    <xf numFmtId="3" fontId="5" fillId="0" borderId="153" xfId="0" applyNumberFormat="1" applyFont="1" applyBorder="1" applyAlignment="1">
      <alignment horizontal="right"/>
    </xf>
    <xf numFmtId="178" fontId="5" fillId="0" borderId="153" xfId="0" applyNumberFormat="1" applyFont="1" applyBorder="1" applyAlignment="1">
      <alignment horizontal="right"/>
    </xf>
    <xf numFmtId="4" fontId="5" fillId="0" borderId="153" xfId="0" applyNumberFormat="1" applyFont="1" applyBorder="1" applyAlignment="1">
      <alignment horizontal="right"/>
    </xf>
    <xf numFmtId="0" fontId="5" fillId="0" borderId="153" xfId="0" applyFont="1" applyBorder="1"/>
    <xf numFmtId="3" fontId="5" fillId="0" borderId="153" xfId="0" applyNumberFormat="1" applyFont="1" applyBorder="1"/>
    <xf numFmtId="3" fontId="35" fillId="0" borderId="153" xfId="0" applyNumberFormat="1" applyFont="1" applyBorder="1"/>
    <xf numFmtId="9" fontId="35" fillId="0" borderId="153" xfId="0" applyNumberFormat="1" applyFont="1" applyBorder="1"/>
    <xf numFmtId="3" fontId="11" fillId="0" borderId="151" xfId="0" applyNumberFormat="1" applyFont="1" applyBorder="1" applyAlignment="1">
      <alignment horizontal="center"/>
    </xf>
    <xf numFmtId="0" fontId="32" fillId="2" borderId="33" xfId="0" applyFont="1" applyFill="1" applyBorder="1" applyAlignment="1">
      <alignment vertical="center" wrapText="1"/>
    </xf>
    <xf numFmtId="0" fontId="34" fillId="2" borderId="17" xfId="26" applyNumberFormat="1" applyFont="1" applyFill="1" applyBorder="1" applyAlignment="1">
      <alignment horizontal="right"/>
    </xf>
    <xf numFmtId="0" fontId="34" fillId="2" borderId="0" xfId="26" applyNumberFormat="1" applyFont="1" applyFill="1" applyBorder="1" applyAlignment="1">
      <alignment horizontal="right"/>
    </xf>
    <xf numFmtId="3" fontId="34" fillId="2" borderId="81" xfId="76" applyNumberFormat="1" applyFont="1" applyFill="1" applyBorder="1" applyAlignment="1">
      <alignment horizontal="center" vertical="center"/>
    </xf>
    <xf numFmtId="3" fontId="34" fillId="2" borderId="61" xfId="76" applyNumberFormat="1" applyFont="1" applyFill="1" applyBorder="1" applyAlignment="1">
      <alignment horizontal="center" vertical="center"/>
    </xf>
    <xf numFmtId="0" fontId="32" fillId="0" borderId="87" xfId="76" applyFont="1" applyFill="1" applyBorder="1"/>
    <xf numFmtId="0" fontId="32" fillId="0" borderId="142" xfId="76" applyFont="1" applyFill="1" applyBorder="1"/>
    <xf numFmtId="0" fontId="32" fillId="0" borderId="145" xfId="76" applyFont="1" applyFill="1" applyBorder="1"/>
    <xf numFmtId="0" fontId="32" fillId="0" borderId="114" xfId="76" applyFont="1" applyFill="1" applyBorder="1"/>
    <xf numFmtId="0" fontId="32" fillId="0" borderId="152" xfId="76" applyFont="1" applyFill="1" applyBorder="1"/>
    <xf numFmtId="0" fontId="32" fillId="0" borderId="154" xfId="76" applyFont="1" applyFill="1" applyBorder="1"/>
    <xf numFmtId="0" fontId="34" fillId="2" borderId="104" xfId="76" applyNumberFormat="1" applyFont="1" applyFill="1" applyBorder="1" applyAlignment="1">
      <alignment horizontal="left"/>
    </xf>
    <xf numFmtId="0" fontId="34" fillId="2" borderId="171" xfId="76" applyNumberFormat="1" applyFont="1" applyFill="1" applyBorder="1" applyAlignment="1">
      <alignment horizontal="left"/>
    </xf>
    <xf numFmtId="3" fontId="32" fillId="0" borderId="87" xfId="76" applyNumberFormat="1" applyFont="1" applyFill="1" applyBorder="1"/>
    <xf numFmtId="3" fontId="32" fillId="0" borderId="88" xfId="76" applyNumberFormat="1" applyFont="1" applyFill="1" applyBorder="1"/>
    <xf numFmtId="3" fontId="32" fillId="0" borderId="142" xfId="76" applyNumberFormat="1" applyFont="1" applyFill="1" applyBorder="1"/>
    <xf numFmtId="3" fontId="32" fillId="0" borderId="143" xfId="76" applyNumberFormat="1" applyFont="1" applyFill="1" applyBorder="1"/>
    <xf numFmtId="3" fontId="32" fillId="0" borderId="145" xfId="76" applyNumberFormat="1" applyFont="1" applyFill="1" applyBorder="1"/>
    <xf numFmtId="3" fontId="32" fillId="0" borderId="146" xfId="76" applyNumberFormat="1" applyFont="1" applyFill="1" applyBorder="1"/>
    <xf numFmtId="9" fontId="32" fillId="0" borderId="114" xfId="76" applyNumberFormat="1" applyFont="1" applyFill="1" applyBorder="1"/>
    <xf numFmtId="9" fontId="32" fillId="0" borderId="152" xfId="76" applyNumberFormat="1" applyFont="1" applyFill="1" applyBorder="1"/>
    <xf numFmtId="9" fontId="32" fillId="0" borderId="154" xfId="76" applyNumberFormat="1" applyFont="1" applyFill="1" applyBorder="1"/>
    <xf numFmtId="0" fontId="34" fillId="2" borderId="103" xfId="76" applyNumberFormat="1" applyFont="1" applyFill="1" applyBorder="1" applyAlignment="1">
      <alignment horizontal="left"/>
    </xf>
    <xf numFmtId="170" fontId="32" fillId="0" borderId="87" xfId="76" applyNumberFormat="1" applyFont="1" applyFill="1" applyBorder="1"/>
    <xf numFmtId="170" fontId="32" fillId="0" borderId="88" xfId="76" applyNumberFormat="1" applyFont="1" applyFill="1" applyBorder="1"/>
    <xf numFmtId="170" fontId="32" fillId="0" borderId="142" xfId="76" applyNumberFormat="1" applyFont="1" applyFill="1" applyBorder="1"/>
    <xf numFmtId="170" fontId="32" fillId="0" borderId="143" xfId="76" applyNumberFormat="1" applyFont="1" applyFill="1" applyBorder="1"/>
    <xf numFmtId="170" fontId="32" fillId="0" borderId="145" xfId="76" applyNumberFormat="1" applyFont="1" applyFill="1" applyBorder="1"/>
    <xf numFmtId="170" fontId="32" fillId="0" borderId="146" xfId="76" applyNumberFormat="1" applyFont="1" applyFill="1" applyBorder="1"/>
    <xf numFmtId="0" fontId="34" fillId="2" borderId="150" xfId="76" applyNumberFormat="1" applyFont="1" applyFill="1" applyBorder="1" applyAlignment="1">
      <alignment horizontal="left"/>
    </xf>
    <xf numFmtId="3" fontId="32" fillId="0" borderId="89" xfId="76" applyNumberFormat="1" applyFont="1" applyFill="1" applyBorder="1"/>
    <xf numFmtId="3" fontId="32" fillId="0" borderId="144" xfId="76" applyNumberFormat="1" applyFont="1" applyFill="1" applyBorder="1"/>
    <xf numFmtId="3" fontId="32" fillId="0" borderId="147" xfId="76" applyNumberFormat="1" applyFont="1" applyFill="1" applyBorder="1"/>
  </cellXfs>
  <cellStyles count="99">
    <cellStyle name="Hypertextový odkaz" xfId="1" builtinId="8"/>
    <cellStyle name="Měna 10" xfId="2"/>
    <cellStyle name="Měna 11" xfId="3"/>
    <cellStyle name="Měna 12" xfId="4"/>
    <cellStyle name="Měna 13" xfId="5"/>
    <cellStyle name="Měna 2" xfId="6"/>
    <cellStyle name="Měna 3" xfId="7"/>
    <cellStyle name="Měna 4" xfId="8"/>
    <cellStyle name="Měna 5" xfId="9"/>
    <cellStyle name="Měna 6" xfId="10"/>
    <cellStyle name="Měna 7" xfId="11"/>
    <cellStyle name="Měna 8" xfId="12"/>
    <cellStyle name="Měna 9" xfId="13"/>
    <cellStyle name="Normální" xfId="0" builtinId="0"/>
    <cellStyle name="Normální 10" xfId="14"/>
    <cellStyle name="Normální 11" xfId="15"/>
    <cellStyle name="Normální 12" xfId="16"/>
    <cellStyle name="Normální 13" xfId="17"/>
    <cellStyle name="Normální 14" xfId="18"/>
    <cellStyle name="Normální 15" xfId="19"/>
    <cellStyle name="Normální 16" xfId="20"/>
    <cellStyle name="Normální 17" xfId="21"/>
    <cellStyle name="Normální 18" xfId="22"/>
    <cellStyle name="Normální 19" xfId="23"/>
    <cellStyle name="normální 2" xfId="24"/>
    <cellStyle name="Normální 2 10" xfId="25"/>
    <cellStyle name="Normální 2 10 2" xfId="26"/>
    <cellStyle name="normální 2 11" xfId="27"/>
    <cellStyle name="normální 2 12" xfId="28"/>
    <cellStyle name="Normální 2 13" xfId="29"/>
    <cellStyle name="normální 2 2" xfId="30"/>
    <cellStyle name="normální 2 3" xfId="31"/>
    <cellStyle name="Normální 2 4" xfId="32"/>
    <cellStyle name="Normální 2 4 2" xfId="33"/>
    <cellStyle name="Normální 2 5" xfId="34"/>
    <cellStyle name="Normální 2 5 2" xfId="35"/>
    <cellStyle name="Normální 2 6" xfId="36"/>
    <cellStyle name="Normální 2 6 2" xfId="37"/>
    <cellStyle name="Normální 2 7" xfId="38"/>
    <cellStyle name="Normální 2 7 2" xfId="39"/>
    <cellStyle name="Normální 2 8" xfId="40"/>
    <cellStyle name="Normální 2 8 2" xfId="41"/>
    <cellStyle name="Normální 2 9" xfId="42"/>
    <cellStyle name="Normální 2 9 2" xfId="43"/>
    <cellStyle name="normální 2_Hodiny_Plan" xfId="44"/>
    <cellStyle name="Normální 20" xfId="45"/>
    <cellStyle name="Normální 21" xfId="46"/>
    <cellStyle name="Normální 22" xfId="47"/>
    <cellStyle name="normální 3" xfId="48"/>
    <cellStyle name="Normální 3 10" xfId="49"/>
    <cellStyle name="normální 3 11" xfId="50"/>
    <cellStyle name="normální 3 12" xfId="51"/>
    <cellStyle name="Normální 3 13" xfId="98"/>
    <cellStyle name="normální 3 2" xfId="52"/>
    <cellStyle name="Normální 3 3" xfId="53"/>
    <cellStyle name="Normální 3 3 2" xfId="54"/>
    <cellStyle name="Normální 3 4" xfId="55"/>
    <cellStyle name="Normální 3 5" xfId="56"/>
    <cellStyle name="Normální 3 6" xfId="57"/>
    <cellStyle name="Normální 3 7" xfId="58"/>
    <cellStyle name="Normální 3 8" xfId="59"/>
    <cellStyle name="Normální 3 9" xfId="60"/>
    <cellStyle name="normální 3_Hodiny_" xfId="61"/>
    <cellStyle name="normální 4" xfId="62"/>
    <cellStyle name="normální 4 2" xfId="63"/>
    <cellStyle name="normální 4 2 2" xfId="64"/>
    <cellStyle name="normální 4 2_Hodiny_" xfId="65"/>
    <cellStyle name="normální 4 3" xfId="66"/>
    <cellStyle name="normální 4 4" xfId="67"/>
    <cellStyle name="normální 4 5" xfId="68"/>
    <cellStyle name="normální 4 6" xfId="69"/>
    <cellStyle name="normální 4_Hodiny_" xfId="70"/>
    <cellStyle name="normální 5" xfId="71"/>
    <cellStyle name="normální 6" xfId="72"/>
    <cellStyle name="normální 7" xfId="73"/>
    <cellStyle name="Normální 8" xfId="74"/>
    <cellStyle name="Normální 8 2" xfId="75"/>
    <cellStyle name="Normální 9" xfId="76"/>
    <cellStyle name="Normální 9 2" xfId="77"/>
    <cellStyle name="normální_LEK_01" xfId="78"/>
    <cellStyle name="normální_LEK_FNOL" xfId="79"/>
    <cellStyle name="normální_LEK_FNOL 2" xfId="80"/>
    <cellStyle name="normální_Manažerské tabulky" xfId="81"/>
    <cellStyle name="normální_Sestava hospodaření" xfId="82"/>
    <cellStyle name="Procenta" xfId="83" builtinId="5"/>
    <cellStyle name="Procenta 10" xfId="84"/>
    <cellStyle name="Procenta 11" xfId="85"/>
    <cellStyle name="Procenta 2" xfId="86"/>
    <cellStyle name="Procenta 2 2" xfId="87"/>
    <cellStyle name="Procenta 2 2 2" xfId="88"/>
    <cellStyle name="Procenta 2 3" xfId="89"/>
    <cellStyle name="Procenta 3" xfId="90"/>
    <cellStyle name="Procenta 3 2" xfId="91"/>
    <cellStyle name="Procenta 4" xfId="92"/>
    <cellStyle name="Procenta 5" xfId="93"/>
    <cellStyle name="Procenta 6" xfId="94"/>
    <cellStyle name="Procenta 7" xfId="95"/>
    <cellStyle name="Procenta 8" xfId="96"/>
    <cellStyle name="Procenta 9" xfId="97"/>
  </cellStyles>
  <dxfs count="82"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color rgb="FFFF0000"/>
      </font>
    </dxf>
    <dxf>
      <font>
        <b/>
        <i val="0"/>
        <condense val="0"/>
        <extend val="0"/>
        <color indexed="10"/>
      </font>
    </dxf>
    <dxf>
      <font>
        <b/>
        <i/>
        <condense val="0"/>
        <extend val="0"/>
        <color indexed="10"/>
      </font>
    </dxf>
    <dxf>
      <font>
        <b/>
        <i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/>
        <condense val="0"/>
        <extend val="0"/>
        <color indexed="10"/>
      </font>
    </dxf>
    <dxf>
      <font>
        <b/>
        <i/>
        <condense val="0"/>
        <extend val="0"/>
        <color indexed="1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  <color rgb="FFFF0000"/>
      </font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  <color rgb="FFFF0000"/>
      </font>
    </dxf>
    <dxf>
      <font>
        <color rgb="FFFF0000"/>
      </font>
    </dxf>
    <dxf>
      <font>
        <b/>
        <i val="0"/>
        <color rgb="FFFF0000"/>
      </font>
    </dxf>
    <dxf>
      <font>
        <color rgb="FFFF0000"/>
      </font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theme="3" tint="0.79998168889431442"/>
        </patternFill>
      </fill>
    </dxf>
    <dxf>
      <fill>
        <patternFill patternType="solid">
          <bgColor theme="5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theme="3" tint="0.79998168889431442"/>
        </patternFill>
      </fill>
    </dxf>
    <dxf>
      <fill>
        <patternFill patternType="solid">
          <bgColor theme="5" tint="0.79998168889431442"/>
        </patternFill>
      </fill>
    </dxf>
    <dxf>
      <font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  <color rgb="FFFF0000"/>
      </font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  <color rgb="FFFF0000"/>
      </font>
    </dxf>
    <dxf>
      <font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</dxfs>
  <tableStyles count="0" defaultTableStyle="TableStyleMedium2" defaultPivotStyle="PivotStyleLight16"/>
  <colors>
    <mruColors>
      <color rgb="FFFFFFCC"/>
      <color rgb="FFFFFF66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4.2583651458138416E-2"/>
          <c:y val="3.4767428804019819E-2"/>
          <c:w val="0.91156653987202163"/>
          <c:h val="0.86030341628419438"/>
        </c:manualLayout>
      </c:layout>
      <c:lineChart>
        <c:grouping val="standard"/>
        <c:varyColors val="0"/>
        <c:ser>
          <c:idx val="1"/>
          <c:order val="0"/>
          <c:tx>
            <c:strRef>
              <c:f>'HI Graf'!$A$4</c:f>
              <c:strCache>
                <c:ptCount val="1"/>
                <c:pt idx="0">
                  <c:v>Hospodářský index (Výnosy / Náklady)</c:v>
                </c:pt>
              </c:strCache>
            </c:strRef>
          </c:tx>
          <c:dLbls>
            <c:numFmt formatCode="0.000" sourceLinked="0"/>
            <c:txPr>
              <a:bodyPr/>
              <a:lstStyle/>
              <a:p>
                <a:pPr>
                  <a:defRPr sz="9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cs-CZ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'HI Graf'!$B$3:$M$3</c:f>
              <c:strCache>
                <c:ptCount val="12"/>
                <c:pt idx="0">
                  <c:v>1-1</c:v>
                </c:pt>
                <c:pt idx="1">
                  <c:v>1-2</c:v>
                </c:pt>
                <c:pt idx="2">
                  <c:v>1-3</c:v>
                </c:pt>
                <c:pt idx="3">
                  <c:v>1-4</c:v>
                </c:pt>
                <c:pt idx="4">
                  <c:v>1-5</c:v>
                </c:pt>
                <c:pt idx="5">
                  <c:v>1-6</c:v>
                </c:pt>
                <c:pt idx="6">
                  <c:v>1-7</c:v>
                </c:pt>
                <c:pt idx="7">
                  <c:v>1-8</c:v>
                </c:pt>
                <c:pt idx="8">
                  <c:v>1-9</c:v>
                </c:pt>
                <c:pt idx="9">
                  <c:v>1-10</c:v>
                </c:pt>
                <c:pt idx="10">
                  <c:v>1-11</c:v>
                </c:pt>
                <c:pt idx="11">
                  <c:v>1-12</c:v>
                </c:pt>
              </c:strCache>
            </c:strRef>
          </c:cat>
          <c:val>
            <c:numRef>
              <c:f>'HI Graf'!$B$4:$F$4</c:f>
              <c:numCache>
                <c:formatCode>General</c:formatCode>
                <c:ptCount val="5"/>
                <c:pt idx="0">
                  <c:v>0.325788325308349</c:v>
                </c:pt>
                <c:pt idx="1">
                  <c:v>0.20437274016813631</c:v>
                </c:pt>
                <c:pt idx="2">
                  <c:v>0.26499007852661577</c:v>
                </c:pt>
                <c:pt idx="3">
                  <c:v>0.30372326880297185</c:v>
                </c:pt>
                <c:pt idx="4">
                  <c:v>0.38928610715501882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70948864"/>
        <c:axId val="870950784"/>
      </c:lineChart>
      <c:scatterChart>
        <c:scatterStyle val="smoothMarker"/>
        <c:varyColors val="0"/>
        <c:ser>
          <c:idx val="0"/>
          <c:order val="1"/>
          <c:tx>
            <c:strRef>
              <c:f>'HI Graf'!$B$11</c:f>
              <c:strCache>
                <c:ptCount val="1"/>
                <c:pt idx="0">
                  <c:v>b</c:v>
                </c:pt>
              </c:strCache>
            </c:strRef>
          </c:tx>
          <c:spPr>
            <a:ln w="12700">
              <a:solidFill>
                <a:srgbClr val="000000"/>
              </a:solidFill>
            </a:ln>
          </c:spPr>
          <c:marker>
            <c:symbol val="none"/>
          </c:marker>
          <c:dLbls>
            <c:txPr>
              <a:bodyPr/>
              <a:lstStyle/>
              <a:p>
                <a:pPr>
                  <a:defRPr sz="9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cs-CZ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xVal>
            <c:numRef>
              <c:f>'HI Graf'!$A$12:$A$13</c:f>
              <c:numCache>
                <c:formatCode>General</c:formatCode>
                <c:ptCount val="2"/>
                <c:pt idx="0">
                  <c:v>0</c:v>
                </c:pt>
                <c:pt idx="1">
                  <c:v>1</c:v>
                </c:pt>
              </c:numCache>
            </c:numRef>
          </c:xVal>
          <c:yVal>
            <c:numRef>
              <c:f>'HI Graf'!$B$12:$B$13</c:f>
              <c:numCache>
                <c:formatCode>General</c:formatCode>
                <c:ptCount val="2"/>
                <c:pt idx="0">
                  <c:v>0.34820369331812329</c:v>
                </c:pt>
                <c:pt idx="1">
                  <c:v>0.34820369331812329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870952320"/>
        <c:axId val="870966400"/>
      </c:scatterChart>
      <c:catAx>
        <c:axId val="87094886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cs-CZ"/>
                  <a:t>načítané období aktuálního roku (měsíce)</a:t>
                </a:r>
              </a:p>
            </c:rich>
          </c:tx>
          <c:layout/>
          <c:overlay val="0"/>
        </c:title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cs-CZ"/>
          </a:p>
        </c:txPr>
        <c:crossAx val="87095078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870950784"/>
        <c:scaling>
          <c:orientation val="minMax"/>
        </c:scaling>
        <c:delete val="1"/>
        <c:axPos val="l"/>
        <c:numFmt formatCode="General" sourceLinked="1"/>
        <c:majorTickMark val="out"/>
        <c:minorTickMark val="none"/>
        <c:tickLblPos val="nextTo"/>
        <c:crossAx val="870948864"/>
        <c:crosses val="autoZero"/>
        <c:crossBetween val="between"/>
      </c:valAx>
      <c:valAx>
        <c:axId val="870952320"/>
        <c:scaling>
          <c:orientation val="minMax"/>
          <c:max val="1"/>
          <c:min val="0"/>
        </c:scaling>
        <c:delete val="1"/>
        <c:axPos val="t"/>
        <c:numFmt formatCode="General" sourceLinked="1"/>
        <c:majorTickMark val="out"/>
        <c:minorTickMark val="none"/>
        <c:tickLblPos val="nextTo"/>
        <c:crossAx val="870966400"/>
        <c:crosses val="max"/>
        <c:crossBetween val="midCat"/>
      </c:valAx>
      <c:valAx>
        <c:axId val="870966400"/>
        <c:scaling>
          <c:orientation val="minMax"/>
        </c:scaling>
        <c:delete val="1"/>
        <c:axPos val="r"/>
        <c:numFmt formatCode="General" sourceLinked="1"/>
        <c:majorTickMark val="out"/>
        <c:minorTickMark val="none"/>
        <c:tickLblPos val="nextTo"/>
        <c:crossAx val="870952320"/>
        <c:crosses val="max"/>
        <c:crossBetween val="midCat"/>
      </c:valAx>
      <c:spPr>
        <a:solidFill>
          <a:schemeClr val="bg1"/>
        </a:solidFill>
        <a:ln w="12700">
          <a:noFill/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noFill/>
      <a:prstDash val="solid"/>
    </a:ln>
  </c:spPr>
  <c:txPr>
    <a:bodyPr/>
    <a:lstStyle/>
    <a:p>
      <a:pPr>
        <a:defRPr sz="9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cs-CZ"/>
    </a:p>
  </c:txPr>
  <c:printSettings>
    <c:headerFooter alignWithMargins="0">
      <c:evenHeader>0.3</c:evenHeader>
    </c:headerFooter>
    <c:pageMargins b="0.75" l="0.25" r="0.25" t="0.75" header="0.4921259845" footer="0.4921259845"/>
    <c:pageSetup orientation="portrait" draft="1" useFirstPageNumber="1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5.1186982254294491E-3"/>
          <c:y val="5.0152439238661207E-3"/>
          <c:w val="0.98971349332984049"/>
          <c:h val="0.90199495667231877"/>
        </c:manualLayout>
      </c:layout>
      <c:lineChart>
        <c:grouping val="standard"/>
        <c:varyColors val="0"/>
        <c:ser>
          <c:idx val="1"/>
          <c:order val="0"/>
          <c:tx>
            <c:strRef>
              <c:f>ALOS!$E$32</c:f>
              <c:strCache>
                <c:ptCount val="1"/>
                <c:pt idx="0">
                  <c:v>%</c:v>
                </c:pt>
              </c:strCache>
            </c:strRef>
          </c:tx>
          <c:dLbls>
            <c:txPr>
              <a:bodyPr/>
              <a:lstStyle/>
              <a:p>
                <a:pPr>
                  <a:defRPr sz="9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cs-CZ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ALOS!$A$33:$A$45</c:f>
              <c:strCache>
                <c:ptCount val="13"/>
                <c:pt idx="0">
                  <c:v>1-1</c:v>
                </c:pt>
                <c:pt idx="1">
                  <c:v>1-2</c:v>
                </c:pt>
                <c:pt idx="2">
                  <c:v>1-3</c:v>
                </c:pt>
                <c:pt idx="3">
                  <c:v>1-4</c:v>
                </c:pt>
                <c:pt idx="4">
                  <c:v>1-5</c:v>
                </c:pt>
                <c:pt idx="5">
                  <c:v>1-6</c:v>
                </c:pt>
                <c:pt idx="6">
                  <c:v>1-7</c:v>
                </c:pt>
                <c:pt idx="7">
                  <c:v>1-8</c:v>
                </c:pt>
                <c:pt idx="8">
                  <c:v>1-9</c:v>
                </c:pt>
                <c:pt idx="9">
                  <c:v>1-10</c:v>
                </c:pt>
                <c:pt idx="10">
                  <c:v>1-11</c:v>
                </c:pt>
                <c:pt idx="11">
                  <c:v>1-12</c:v>
                </c:pt>
                <c:pt idx="12">
                  <c:v>1-13</c:v>
                </c:pt>
              </c:strCache>
            </c:strRef>
          </c:cat>
          <c:val>
            <c:numRef>
              <c:f>ALOS!$E$33:$E$37</c:f>
              <c:numCache>
                <c:formatCode>0%</c:formatCode>
                <c:ptCount val="5"/>
                <c:pt idx="0">
                  <c:v>0.63723419236727219</c:v>
                </c:pt>
                <c:pt idx="1">
                  <c:v>0.56959093015016482</c:v>
                </c:pt>
                <c:pt idx="2">
                  <c:v>0.65246142542248342</c:v>
                </c:pt>
                <c:pt idx="3">
                  <c:v>0.65528353047510512</c:v>
                </c:pt>
                <c:pt idx="4">
                  <c:v>0.75787794176306345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21843968"/>
        <c:axId val="921858432"/>
      </c:lineChart>
      <c:scatterChart>
        <c:scatterStyle val="smoothMarker"/>
        <c:varyColors val="0"/>
        <c:ser>
          <c:idx val="0"/>
          <c:order val="1"/>
          <c:tx>
            <c:strRef>
              <c:f>ALOS!$H$32</c:f>
              <c:strCache>
                <c:ptCount val="1"/>
                <c:pt idx="0">
                  <c:v>b</c:v>
                </c:pt>
              </c:strCache>
            </c:strRef>
          </c:tx>
          <c:spPr>
            <a:ln w="12700">
              <a:solidFill>
                <a:srgbClr val="000000"/>
              </a:solidFill>
            </a:ln>
          </c:spPr>
          <c:marker>
            <c:symbol val="none"/>
          </c:marker>
          <c:dLbls>
            <c:txPr>
              <a:bodyPr/>
              <a:lstStyle/>
              <a:p>
                <a:pPr>
                  <a:defRPr sz="9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cs-CZ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xVal>
            <c:numRef>
              <c:f>ALOS!$G$33:$G$34</c:f>
              <c:numCache>
                <c:formatCode>General</c:formatCode>
                <c:ptCount val="2"/>
                <c:pt idx="0">
                  <c:v>0</c:v>
                </c:pt>
                <c:pt idx="1">
                  <c:v>1</c:v>
                </c:pt>
              </c:numCache>
            </c:numRef>
          </c:xVal>
          <c:yVal>
            <c:numRef>
              <c:f>ALOS!$H$33:$H$34</c:f>
              <c:numCache>
                <c:formatCode>0%</c:formatCode>
                <c:ptCount val="2"/>
                <c:pt idx="0">
                  <c:v>1</c:v>
                </c:pt>
                <c:pt idx="1">
                  <c:v>1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921859968"/>
        <c:axId val="921861504"/>
      </c:scatterChart>
      <c:catAx>
        <c:axId val="92184396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cs-CZ"/>
                  <a:t>načítané období aktuálního roku (měsíce)</a:t>
                </a:r>
              </a:p>
            </c:rich>
          </c:tx>
          <c:layout/>
          <c:overlay val="0"/>
        </c:title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cs-CZ"/>
          </a:p>
        </c:txPr>
        <c:crossAx val="92185843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921858432"/>
        <c:scaling>
          <c:orientation val="minMax"/>
        </c:scaling>
        <c:delete val="1"/>
        <c:axPos val="l"/>
        <c:numFmt formatCode="0%" sourceLinked="1"/>
        <c:majorTickMark val="out"/>
        <c:minorTickMark val="none"/>
        <c:tickLblPos val="nextTo"/>
        <c:crossAx val="921843968"/>
        <c:crosses val="autoZero"/>
        <c:crossBetween val="between"/>
      </c:valAx>
      <c:valAx>
        <c:axId val="921859968"/>
        <c:scaling>
          <c:orientation val="minMax"/>
          <c:max val="1"/>
          <c:min val="0"/>
        </c:scaling>
        <c:delete val="1"/>
        <c:axPos val="t"/>
        <c:numFmt formatCode="General" sourceLinked="1"/>
        <c:majorTickMark val="out"/>
        <c:minorTickMark val="none"/>
        <c:tickLblPos val="nextTo"/>
        <c:crossAx val="921861504"/>
        <c:crosses val="max"/>
        <c:crossBetween val="midCat"/>
      </c:valAx>
      <c:valAx>
        <c:axId val="921861504"/>
        <c:scaling>
          <c:orientation val="minMax"/>
        </c:scaling>
        <c:delete val="1"/>
        <c:axPos val="r"/>
        <c:numFmt formatCode="0%" sourceLinked="1"/>
        <c:majorTickMark val="out"/>
        <c:minorTickMark val="none"/>
        <c:tickLblPos val="nextTo"/>
        <c:crossAx val="921859968"/>
        <c:crosses val="max"/>
        <c:crossBetween val="midCat"/>
      </c:valAx>
    </c:plotArea>
    <c:plotVisOnly val="1"/>
    <c:dispBlanksAs val="gap"/>
    <c:showDLblsOverMax val="0"/>
  </c:chart>
  <c:spPr>
    <a:solidFill>
      <a:srgbClr val="FFFFFF"/>
    </a:solidFill>
    <a:ln w="3175">
      <a:noFill/>
      <a:prstDash val="solid"/>
    </a:ln>
  </c:spPr>
  <c:txPr>
    <a:bodyPr/>
    <a:lstStyle/>
    <a:p>
      <a:pPr>
        <a:defRPr sz="9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cs-CZ"/>
    </a:p>
  </c:txPr>
  <c:printSettings>
    <c:headerFooter alignWithMargins="0">
      <c:evenHeader>0.3</c:evenHeader>
    </c:headerFooter>
    <c:pageMargins b="0.75" l="0.25" r="0.25" t="0.75" header="0.4921259845" footer="0.4921259845"/>
    <c:pageSetup orientation="portrait" draft="1" useFirstPageNumber="1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7620</xdr:colOff>
      <xdr:row>2</xdr:row>
      <xdr:rowOff>7620</xdr:rowOff>
    </xdr:from>
    <xdr:to>
      <xdr:col>12</xdr:col>
      <xdr:colOff>601980</xdr:colOff>
      <xdr:row>25</xdr:row>
      <xdr:rowOff>175260</xdr:rowOff>
    </xdr:to>
    <xdr:graphicFrame macro="">
      <xdr:nvGraphicFramePr>
        <xdr:cNvPr id="600161" name="Graf_Index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7620</xdr:colOff>
      <xdr:row>2</xdr:row>
      <xdr:rowOff>7620</xdr:rowOff>
    </xdr:from>
    <xdr:to>
      <xdr:col>12</xdr:col>
      <xdr:colOff>1333500</xdr:colOff>
      <xdr:row>28</xdr:row>
      <xdr:rowOff>163285</xdr:rowOff>
    </xdr:to>
    <xdr:graphicFrame macro="">
      <xdr:nvGraphicFramePr>
        <xdr:cNvPr id="638038" name="graf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8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4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6">
    <tabColor rgb="FF00B050"/>
    <pageSetUpPr fitToPage="1"/>
  </sheetPr>
  <dimension ref="A1:C34"/>
  <sheetViews>
    <sheetView showGridLines="0" showRowColHeaders="0" tabSelected="1" zoomScaleNormal="100" workbookViewId="0">
      <selection sqref="A1:B1"/>
    </sheetView>
  </sheetViews>
  <sheetFormatPr defaultRowHeight="14.4" customHeight="1" x14ac:dyDescent="0.3"/>
  <cols>
    <col min="1" max="1" width="17.88671875" style="257" bestFit="1" customWidth="1"/>
    <col min="2" max="2" width="102.21875" style="257" bestFit="1" customWidth="1"/>
    <col min="3" max="3" width="16.109375" style="51" hidden="1" customWidth="1"/>
    <col min="4" max="16384" width="8.88671875" style="257"/>
  </cols>
  <sheetData>
    <row r="1" spans="1:3" ht="18.600000000000001" customHeight="1" thickBot="1" x14ac:dyDescent="0.4">
      <c r="A1" s="458" t="s">
        <v>133</v>
      </c>
      <c r="B1" s="458"/>
    </row>
    <row r="2" spans="1:3" ht="14.4" customHeight="1" thickBot="1" x14ac:dyDescent="0.35">
      <c r="A2" s="386" t="s">
        <v>321</v>
      </c>
      <c r="B2" s="50"/>
    </row>
    <row r="3" spans="1:3" ht="14.4" customHeight="1" thickBot="1" x14ac:dyDescent="0.35">
      <c r="A3" s="454" t="s">
        <v>183</v>
      </c>
      <c r="B3" s="455"/>
    </row>
    <row r="4" spans="1:3" ht="14.4" customHeight="1" x14ac:dyDescent="0.3">
      <c r="A4" s="274" t="str">
        <f t="shared" ref="A4:A8" si="0">HYPERLINK("#'"&amp;C4&amp;"'!A1",C4)</f>
        <v>Motivace</v>
      </c>
      <c r="B4" s="182" t="s">
        <v>152</v>
      </c>
      <c r="C4" s="51" t="s">
        <v>153</v>
      </c>
    </row>
    <row r="5" spans="1:3" ht="14.4" customHeight="1" x14ac:dyDescent="0.3">
      <c r="A5" s="275" t="str">
        <f t="shared" si="0"/>
        <v>HI</v>
      </c>
      <c r="B5" s="183" t="s">
        <v>176</v>
      </c>
      <c r="C5" s="51" t="s">
        <v>137</v>
      </c>
    </row>
    <row r="6" spans="1:3" ht="14.4" customHeight="1" x14ac:dyDescent="0.3">
      <c r="A6" s="276" t="str">
        <f t="shared" si="0"/>
        <v>HI Graf</v>
      </c>
      <c r="B6" s="184" t="s">
        <v>129</v>
      </c>
      <c r="C6" s="51" t="s">
        <v>138</v>
      </c>
    </row>
    <row r="7" spans="1:3" ht="14.4" customHeight="1" x14ac:dyDescent="0.3">
      <c r="A7" s="276" t="str">
        <f t="shared" si="0"/>
        <v>Man Tab</v>
      </c>
      <c r="B7" s="184" t="s">
        <v>323</v>
      </c>
      <c r="C7" s="51" t="s">
        <v>139</v>
      </c>
    </row>
    <row r="8" spans="1:3" ht="14.4" customHeight="1" thickBot="1" x14ac:dyDescent="0.35">
      <c r="A8" s="277" t="str">
        <f t="shared" si="0"/>
        <v>HV</v>
      </c>
      <c r="B8" s="185" t="s">
        <v>61</v>
      </c>
      <c r="C8" s="51" t="s">
        <v>66</v>
      </c>
    </row>
    <row r="9" spans="1:3" ht="14.4" customHeight="1" thickBot="1" x14ac:dyDescent="0.35">
      <c r="A9" s="186"/>
      <c r="B9" s="186"/>
    </row>
    <row r="10" spans="1:3" ht="14.4" customHeight="1" thickBot="1" x14ac:dyDescent="0.35">
      <c r="A10" s="456" t="s">
        <v>134</v>
      </c>
      <c r="B10" s="455"/>
    </row>
    <row r="11" spans="1:3" ht="14.4" customHeight="1" x14ac:dyDescent="0.3">
      <c r="A11" s="278" t="str">
        <f t="shared" ref="A11" si="1">HYPERLINK("#'"&amp;C11&amp;"'!A1",C11)</f>
        <v>Léky Žádanky</v>
      </c>
      <c r="B11" s="183" t="s">
        <v>177</v>
      </c>
      <c r="C11" s="51" t="s">
        <v>140</v>
      </c>
    </row>
    <row r="12" spans="1:3" ht="14.4" customHeight="1" x14ac:dyDescent="0.3">
      <c r="A12" s="276" t="str">
        <f t="shared" ref="A12:A22" si="2">HYPERLINK("#'"&amp;C12&amp;"'!A1",C12)</f>
        <v>LŽ Detail</v>
      </c>
      <c r="B12" s="184" t="s">
        <v>208</v>
      </c>
      <c r="C12" s="51" t="s">
        <v>141</v>
      </c>
    </row>
    <row r="13" spans="1:3" ht="28.8" customHeight="1" x14ac:dyDescent="0.3">
      <c r="A13" s="276" t="str">
        <f t="shared" si="2"/>
        <v>LŽ PL</v>
      </c>
      <c r="B13" s="659" t="s">
        <v>209</v>
      </c>
      <c r="C13" s="51" t="s">
        <v>187</v>
      </c>
    </row>
    <row r="14" spans="1:3" ht="14.4" customHeight="1" x14ac:dyDescent="0.3">
      <c r="A14" s="276" t="str">
        <f t="shared" si="2"/>
        <v>LŽ PL Detail</v>
      </c>
      <c r="B14" s="184" t="s">
        <v>2132</v>
      </c>
      <c r="C14" s="51" t="s">
        <v>189</v>
      </c>
    </row>
    <row r="15" spans="1:3" ht="14.4" customHeight="1" x14ac:dyDescent="0.3">
      <c r="A15" s="276" t="str">
        <f t="shared" si="2"/>
        <v>Léky Recepty</v>
      </c>
      <c r="B15" s="184" t="s">
        <v>178</v>
      </c>
      <c r="C15" s="51" t="s">
        <v>142</v>
      </c>
    </row>
    <row r="16" spans="1:3" ht="14.4" customHeight="1" x14ac:dyDescent="0.3">
      <c r="A16" s="276" t="str">
        <f t="shared" si="2"/>
        <v>LRp Lékaři</v>
      </c>
      <c r="B16" s="184" t="s">
        <v>192</v>
      </c>
      <c r="C16" s="51" t="s">
        <v>193</v>
      </c>
    </row>
    <row r="17" spans="1:3" ht="14.4" customHeight="1" x14ac:dyDescent="0.3">
      <c r="A17" s="276" t="str">
        <f t="shared" si="2"/>
        <v>LRp Detail</v>
      </c>
      <c r="B17" s="184" t="s">
        <v>3239</v>
      </c>
      <c r="C17" s="51" t="s">
        <v>143</v>
      </c>
    </row>
    <row r="18" spans="1:3" ht="28.8" customHeight="1" x14ac:dyDescent="0.3">
      <c r="A18" s="276" t="str">
        <f t="shared" si="2"/>
        <v>LRp PL</v>
      </c>
      <c r="B18" s="659" t="s">
        <v>3240</v>
      </c>
      <c r="C18" s="51" t="s">
        <v>188</v>
      </c>
    </row>
    <row r="19" spans="1:3" ht="14.4" customHeight="1" x14ac:dyDescent="0.3">
      <c r="A19" s="276" t="str">
        <f>HYPERLINK("#'"&amp;C19&amp;"'!A1",C19)</f>
        <v>LRp PL Detail</v>
      </c>
      <c r="B19" s="184" t="s">
        <v>3289</v>
      </c>
      <c r="C19" s="51" t="s">
        <v>190</v>
      </c>
    </row>
    <row r="20" spans="1:3" ht="14.4" customHeight="1" x14ac:dyDescent="0.3">
      <c r="A20" s="278" t="str">
        <f t="shared" ref="A20" si="3">HYPERLINK("#'"&amp;C20&amp;"'!A1",C20)</f>
        <v>Materiál Žádanky</v>
      </c>
      <c r="B20" s="184" t="s">
        <v>179</v>
      </c>
      <c r="C20" s="51" t="s">
        <v>144</v>
      </c>
    </row>
    <row r="21" spans="1:3" ht="14.4" customHeight="1" x14ac:dyDescent="0.3">
      <c r="A21" s="276" t="str">
        <f t="shared" si="2"/>
        <v>MŽ Detail</v>
      </c>
      <c r="B21" s="184" t="s">
        <v>4075</v>
      </c>
      <c r="C21" s="51" t="s">
        <v>145</v>
      </c>
    </row>
    <row r="22" spans="1:3" ht="14.4" customHeight="1" thickBot="1" x14ac:dyDescent="0.35">
      <c r="A22" s="278" t="str">
        <f t="shared" si="2"/>
        <v>Osobní náklady</v>
      </c>
      <c r="B22" s="184" t="s">
        <v>131</v>
      </c>
      <c r="C22" s="51" t="s">
        <v>146</v>
      </c>
    </row>
    <row r="23" spans="1:3" ht="14.4" customHeight="1" thickBot="1" x14ac:dyDescent="0.35">
      <c r="A23" s="187"/>
      <c r="B23" s="187"/>
    </row>
    <row r="24" spans="1:3" ht="14.4" customHeight="1" thickBot="1" x14ac:dyDescent="0.35">
      <c r="A24" s="457" t="s">
        <v>135</v>
      </c>
      <c r="B24" s="455"/>
    </row>
    <row r="25" spans="1:3" ht="14.4" customHeight="1" x14ac:dyDescent="0.3">
      <c r="A25" s="279" t="str">
        <f t="shared" ref="A25:A34" si="4">HYPERLINK("#'"&amp;C25&amp;"'!A1",C25)</f>
        <v>ZV Vykáz.-A</v>
      </c>
      <c r="B25" s="183" t="s">
        <v>4081</v>
      </c>
      <c r="C25" s="51" t="s">
        <v>154</v>
      </c>
    </row>
    <row r="26" spans="1:3" ht="14.4" customHeight="1" x14ac:dyDescent="0.3">
      <c r="A26" s="276" t="str">
        <f t="shared" si="4"/>
        <v>ZV Vykáz.-A Detail</v>
      </c>
      <c r="B26" s="184" t="s">
        <v>4199</v>
      </c>
      <c r="C26" s="51" t="s">
        <v>155</v>
      </c>
    </row>
    <row r="27" spans="1:3" ht="14.4" customHeight="1" x14ac:dyDescent="0.3">
      <c r="A27" s="276" t="str">
        <f t="shared" si="4"/>
        <v>ZV Vykáz.-H</v>
      </c>
      <c r="B27" s="184" t="s">
        <v>158</v>
      </c>
      <c r="C27" s="51" t="s">
        <v>156</v>
      </c>
    </row>
    <row r="28" spans="1:3" ht="14.4" customHeight="1" x14ac:dyDescent="0.3">
      <c r="A28" s="276" t="str">
        <f t="shared" si="4"/>
        <v>ZV Vykáz.-H Detail</v>
      </c>
      <c r="B28" s="184" t="s">
        <v>4920</v>
      </c>
      <c r="C28" s="51" t="s">
        <v>157</v>
      </c>
    </row>
    <row r="29" spans="1:3" ht="14.4" customHeight="1" x14ac:dyDescent="0.3">
      <c r="A29" s="279" t="str">
        <f t="shared" si="4"/>
        <v>CaseMix</v>
      </c>
      <c r="B29" s="184" t="s">
        <v>136</v>
      </c>
      <c r="C29" s="51" t="s">
        <v>147</v>
      </c>
    </row>
    <row r="30" spans="1:3" ht="14.4" customHeight="1" x14ac:dyDescent="0.3">
      <c r="A30" s="276" t="str">
        <f t="shared" si="4"/>
        <v>ALOS</v>
      </c>
      <c r="B30" s="184" t="s">
        <v>115</v>
      </c>
      <c r="C30" s="51" t="s">
        <v>86</v>
      </c>
    </row>
    <row r="31" spans="1:3" ht="14.4" customHeight="1" x14ac:dyDescent="0.3">
      <c r="A31" s="276" t="str">
        <f t="shared" si="4"/>
        <v>Total</v>
      </c>
      <c r="B31" s="184" t="s">
        <v>5056</v>
      </c>
      <c r="C31" s="51" t="s">
        <v>148</v>
      </c>
    </row>
    <row r="32" spans="1:3" ht="14.4" customHeight="1" x14ac:dyDescent="0.3">
      <c r="A32" s="276" t="str">
        <f t="shared" si="4"/>
        <v>ZV Vyžád.</v>
      </c>
      <c r="B32" s="184" t="s">
        <v>159</v>
      </c>
      <c r="C32" s="51" t="s">
        <v>151</v>
      </c>
    </row>
    <row r="33" spans="1:3" ht="14.4" customHeight="1" x14ac:dyDescent="0.3">
      <c r="A33" s="276" t="str">
        <f t="shared" si="4"/>
        <v>ZV Vyžád. Detail</v>
      </c>
      <c r="B33" s="184" t="s">
        <v>5694</v>
      </c>
      <c r="C33" s="51" t="s">
        <v>150</v>
      </c>
    </row>
    <row r="34" spans="1:3" ht="14.4" customHeight="1" thickBot="1" x14ac:dyDescent="0.35">
      <c r="A34" s="277" t="str">
        <f t="shared" si="4"/>
        <v>OD TISS</v>
      </c>
      <c r="B34" s="185" t="s">
        <v>182</v>
      </c>
      <c r="C34" s="51" t="s">
        <v>149</v>
      </c>
    </row>
  </sheetData>
  <mergeCells count="4">
    <mergeCell ref="A3:B3"/>
    <mergeCell ref="A10:B10"/>
    <mergeCell ref="A24:B24"/>
    <mergeCell ref="A1:B1"/>
  </mergeCells>
  <hyperlinks>
    <hyperlink ref="A2" location="Obsah!A1" display="Zpět na Obsah  KL 01  1.-4.měsíc"/>
  </hyperlinks>
  <pageMargins left="0.25" right="0.25" top="0.75" bottom="0.75" header="0.3" footer="0.3"/>
  <pageSetup paperSize="9" scale="93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4">
    <tabColor rgb="FFFFFF66"/>
    <pageSetUpPr fitToPage="1"/>
  </sheetPr>
  <dimension ref="A1:E30"/>
  <sheetViews>
    <sheetView showGridLines="0" showRowColHeaders="0" zoomScaleNormal="100" workbookViewId="0">
      <pane ySplit="3" topLeftCell="A4" activePane="bottomLeft" state="frozen"/>
      <selection pane="bottomLeft" sqref="A1:E1"/>
    </sheetView>
  </sheetViews>
  <sheetFormatPr defaultRowHeight="13.8" x14ac:dyDescent="0.3"/>
  <cols>
    <col min="1" max="1" width="104.109375" style="280" bestFit="1" customWidth="1"/>
    <col min="2" max="2" width="11.6640625" style="280" hidden="1" customWidth="1"/>
    <col min="3" max="4" width="11" style="282" customWidth="1"/>
    <col min="5" max="5" width="11" style="283" customWidth="1"/>
    <col min="6" max="16384" width="8.88671875" style="280"/>
  </cols>
  <sheetData>
    <row r="1" spans="1:5" ht="18.600000000000001" thickBot="1" x14ac:dyDescent="0.4">
      <c r="A1" s="458" t="s">
        <v>152</v>
      </c>
      <c r="B1" s="458"/>
      <c r="C1" s="459"/>
      <c r="D1" s="459"/>
      <c r="E1" s="459"/>
    </row>
    <row r="2" spans="1:5" ht="14.4" customHeight="1" thickBot="1" x14ac:dyDescent="0.35">
      <c r="A2" s="386" t="s">
        <v>321</v>
      </c>
      <c r="B2" s="281"/>
    </row>
    <row r="3" spans="1:5" ht="14.4" customHeight="1" thickBot="1" x14ac:dyDescent="0.35">
      <c r="A3" s="284"/>
      <c r="C3" s="285" t="s">
        <v>132</v>
      </c>
      <c r="D3" s="286" t="s">
        <v>94</v>
      </c>
      <c r="E3" s="287" t="s">
        <v>96</v>
      </c>
    </row>
    <row r="4" spans="1:5" ht="14.4" customHeight="1" thickBot="1" x14ac:dyDescent="0.35">
      <c r="A4" s="288" t="str">
        <f>HYPERLINK("#HI!A1","NÁKLADY CELKEM (v tisících Kč)")</f>
        <v>NÁKLADY CELKEM (v tisících Kč)</v>
      </c>
      <c r="B4" s="289"/>
      <c r="C4" s="290">
        <f ca="1">IF(ISERROR(VLOOKUP("Náklady celkem",INDIRECT("HI!$A:$G"),6,0)),0,VLOOKUP("Náklady celkem",INDIRECT("HI!$A:$G"),6,0))</f>
        <v>60963.71580012513</v>
      </c>
      <c r="D4" s="290">
        <f ca="1">IF(ISERROR(VLOOKUP("Náklady celkem",INDIRECT("HI!$A:$G"),5,0)),0,VLOOKUP("Náklady celkem",INDIRECT("HI!$A:$G"),5,0))</f>
        <v>61866.721050000066</v>
      </c>
      <c r="E4" s="291">
        <f ca="1">IF(C4=0,0,D4/C4)</f>
        <v>1.0148121753738817</v>
      </c>
    </row>
    <row r="5" spans="1:5" ht="14.4" customHeight="1" x14ac:dyDescent="0.3">
      <c r="A5" s="292" t="s">
        <v>195</v>
      </c>
      <c r="B5" s="293"/>
      <c r="C5" s="294"/>
      <c r="D5" s="294"/>
      <c r="E5" s="295"/>
    </row>
    <row r="6" spans="1:5" ht="14.4" customHeight="1" x14ac:dyDescent="0.3">
      <c r="A6" s="296" t="s">
        <v>200</v>
      </c>
      <c r="B6" s="297"/>
      <c r="C6" s="298"/>
      <c r="D6" s="298"/>
      <c r="E6" s="295"/>
    </row>
    <row r="7" spans="1:5" ht="14.4" customHeight="1" x14ac:dyDescent="0.3">
      <c r="A7" s="299" t="str">
        <f>HYPERLINK("#HI!A1","dodržení rozpočtu dle % HOSPODÁŘSKÉHO INDEXU pracoviště při nepřekročených ""Nákladech celkem""")</f>
        <v>dodržení rozpočtu dle % HOSPODÁŘSKÉHO INDEXU pracoviště při nepřekročených "Nákladech celkem"</v>
      </c>
      <c r="B7" s="297" t="s">
        <v>137</v>
      </c>
      <c r="C7" s="298">
        <f>IF(ISERROR(HI!F5),"",HI!F5)</f>
        <v>8389.6304510598111</v>
      </c>
      <c r="D7" s="298">
        <f>IF(ISERROR(HI!E5),"",HI!E5)</f>
        <v>7789.5146400000058</v>
      </c>
      <c r="E7" s="295">
        <f t="shared" ref="E7:E14" si="0">IF(C7=0,0,D7/C7)</f>
        <v>0.92846933907750417</v>
      </c>
    </row>
    <row r="8" spans="1:5" ht="14.4" customHeight="1" x14ac:dyDescent="0.3">
      <c r="A8" s="299" t="str">
        <f>HYPERLINK("#'LŽ PL'!A1","% plnění pozitivního listu")</f>
        <v>% plnění pozitivního listu</v>
      </c>
      <c r="B8" s="297" t="s">
        <v>187</v>
      </c>
      <c r="C8" s="300">
        <v>0.9</v>
      </c>
      <c r="D8" s="300">
        <f>IF(ISERROR(VLOOKUP("celkem",'LŽ PL'!$A:$F,5,0)),0,VLOOKUP("celkem",'LŽ PL'!$A:$F,5,0))</f>
        <v>0.95453508232663276</v>
      </c>
      <c r="E8" s="295">
        <f t="shared" si="0"/>
        <v>1.0605945359184807</v>
      </c>
    </row>
    <row r="9" spans="1:5" ht="14.4" customHeight="1" x14ac:dyDescent="0.3">
      <c r="A9" s="301" t="s">
        <v>196</v>
      </c>
      <c r="B9" s="297"/>
      <c r="C9" s="298"/>
      <c r="D9" s="298"/>
      <c r="E9" s="295"/>
    </row>
    <row r="10" spans="1:5" ht="14.4" customHeight="1" x14ac:dyDescent="0.3">
      <c r="A10" s="299" t="str">
        <f>HYPERLINK("#'Léky Recepty'!A1","% záchytu v lékárně (Úhrada Kč)")</f>
        <v>% záchytu v lékárně (Úhrada Kč)</v>
      </c>
      <c r="B10" s="297" t="s">
        <v>142</v>
      </c>
      <c r="C10" s="300">
        <v>0.6</v>
      </c>
      <c r="D10" s="300">
        <f>IF(ISERROR(VLOOKUP("Celkem",'Léky Recepty'!B:H,5,0)),0,VLOOKUP("Celkem",'Léky Recepty'!B:H,5,0))</f>
        <v>0.5539114849009531</v>
      </c>
      <c r="E10" s="295">
        <f t="shared" si="0"/>
        <v>0.92318580816825524</v>
      </c>
    </row>
    <row r="11" spans="1:5" ht="14.4" customHeight="1" x14ac:dyDescent="0.3">
      <c r="A11" s="299" t="str">
        <f>HYPERLINK("#'LRp PL'!A1","% plnění pozitivního listu")</f>
        <v>% plnění pozitivního listu</v>
      </c>
      <c r="B11" s="297" t="s">
        <v>188</v>
      </c>
      <c r="C11" s="300">
        <v>0.8</v>
      </c>
      <c r="D11" s="300">
        <f>IF(ISERROR(VLOOKUP("Celkem",'LRp PL'!A:F,5,0)),0,VLOOKUP("Celkem",'LRp PL'!A:F,5,0))</f>
        <v>0.93162237645027657</v>
      </c>
      <c r="E11" s="295">
        <f t="shared" si="0"/>
        <v>1.1645279705628457</v>
      </c>
    </row>
    <row r="12" spans="1:5" ht="14.4" customHeight="1" x14ac:dyDescent="0.3">
      <c r="A12" s="301" t="s">
        <v>197</v>
      </c>
      <c r="B12" s="297"/>
      <c r="C12" s="298"/>
      <c r="D12" s="298"/>
      <c r="E12" s="295"/>
    </row>
    <row r="13" spans="1:5" ht="14.4" customHeight="1" x14ac:dyDescent="0.3">
      <c r="A13" s="302" t="s">
        <v>201</v>
      </c>
      <c r="B13" s="297"/>
      <c r="C13" s="294"/>
      <c r="D13" s="294"/>
      <c r="E13" s="295"/>
    </row>
    <row r="14" spans="1:5" ht="14.4" customHeight="1" x14ac:dyDescent="0.3">
      <c r="A14" s="303" t="str">
        <f>HYPERLINK("#HI!A1","Dodržení rozpočtu dle % HOSPODÁŘSKÉHO INDEXU pracoviště při nepřekročených ""Nákladech celkem""")</f>
        <v>Dodržení rozpočtu dle % HOSPODÁŘSKÉHO INDEXU pracoviště při nepřekročených "Nákladech celkem"</v>
      </c>
      <c r="B14" s="297" t="s">
        <v>137</v>
      </c>
      <c r="C14" s="298">
        <f>IF(ISERROR(HI!F6),"",HI!F6)</f>
        <v>4644.3276769560416</v>
      </c>
      <c r="D14" s="298">
        <f>IF(ISERROR(HI!E6),"",HI!E6)</f>
        <v>4359.858240000005</v>
      </c>
      <c r="E14" s="295">
        <f t="shared" si="0"/>
        <v>0.93874905976865053</v>
      </c>
    </row>
    <row r="15" spans="1:5" ht="14.4" customHeight="1" thickBot="1" x14ac:dyDescent="0.35">
      <c r="A15" s="304" t="str">
        <f>HYPERLINK("#HI!A1","Osobní náklady")</f>
        <v>Osobní náklady</v>
      </c>
      <c r="B15" s="297"/>
      <c r="C15" s="294">
        <f ca="1">IF(ISERROR(VLOOKUP("Osobní náklady (Kč) *",INDIRECT("HI!$A:$G"),6,0)),0,VLOOKUP("Osobní náklady (Kč) *",INDIRECT("HI!$A:$G"),6,0))</f>
        <v>40116.030680549637</v>
      </c>
      <c r="D15" s="294">
        <f ca="1">IF(ISERROR(VLOOKUP("Osobní náklady (Kč) *",INDIRECT("HI!$A:$G"),5,0)),0,VLOOKUP("Osobní náklady (Kč) *",INDIRECT("HI!$A:$G"),5,0))</f>
        <v>41549.212020000035</v>
      </c>
      <c r="E15" s="295">
        <f ca="1">IF(C15=0,0,D15/C15)</f>
        <v>1.0357259009711866</v>
      </c>
    </row>
    <row r="16" spans="1:5" ht="14.4" customHeight="1" thickBot="1" x14ac:dyDescent="0.35">
      <c r="A16" s="308"/>
      <c r="B16" s="309"/>
      <c r="C16" s="310"/>
      <c r="D16" s="310"/>
      <c r="E16" s="311"/>
    </row>
    <row r="17" spans="1:5" ht="14.4" customHeight="1" thickBot="1" x14ac:dyDescent="0.35">
      <c r="A17" s="312" t="str">
        <f>HYPERLINK("#HI!A1","VÝNOSY CELKEM (v tisících)")</f>
        <v>VÝNOSY CELKEM (v tisících)</v>
      </c>
      <c r="B17" s="313"/>
      <c r="C17" s="314">
        <f ca="1">IF(ISERROR(VLOOKUP("Výnosy celkem",INDIRECT("HI!$A:$G"),6,0)),0,VLOOKUP("Výnosy celkem",INDIRECT("HI!$A:$G"),6,0))</f>
        <v>21227.790999999997</v>
      </c>
      <c r="D17" s="314">
        <f ca="1">IF(ISERROR(VLOOKUP("Výnosy celkem",INDIRECT("HI!$A:$G"),5,0)),0,VLOOKUP("Výnosy celkem",INDIRECT("HI!$A:$G"),5,0))</f>
        <v>24083.855</v>
      </c>
      <c r="E17" s="315">
        <f t="shared" ref="E17:E27" ca="1" si="1">IF(C17=0,0,D17/C17)</f>
        <v>1.134543627266728</v>
      </c>
    </row>
    <row r="18" spans="1:5" ht="14.4" customHeight="1" x14ac:dyDescent="0.3">
      <c r="A18" s="316" t="str">
        <f>HYPERLINK("#HI!A1","Ambulance (body za výkony + Kč za ZUM a ZULP)")</f>
        <v>Ambulance (body za výkony + Kč za ZUM a ZULP)</v>
      </c>
      <c r="B18" s="293"/>
      <c r="C18" s="294">
        <f ca="1">IF(ISERROR(VLOOKUP("Ambulance *",INDIRECT("HI!$A:$G"),6,0)),0,VLOOKUP("Ambulance *",INDIRECT("HI!$A:$G"),6,0))</f>
        <v>438.18099999999998</v>
      </c>
      <c r="D18" s="294">
        <f ca="1">IF(ISERROR(VLOOKUP("Ambulance *",INDIRECT("HI!$A:$G"),5,0)),0,VLOOKUP("Ambulance *",INDIRECT("HI!$A:$G"),5,0))</f>
        <v>1682.2850000000001</v>
      </c>
      <c r="E18" s="295">
        <f t="shared" ca="1" si="1"/>
        <v>3.8392467952740992</v>
      </c>
    </row>
    <row r="19" spans="1:5" ht="14.4" customHeight="1" x14ac:dyDescent="0.3">
      <c r="A19" s="317" t="str">
        <f>HYPERLINK("#'ZV Vykáz.-A'!A1","Zdravotní výkony vykázané u ambulantních pacientů (min. 100 %)")</f>
        <v>Zdravotní výkony vykázané u ambulantních pacientů (min. 100 %)</v>
      </c>
      <c r="B19" s="280" t="s">
        <v>154</v>
      </c>
      <c r="C19" s="300">
        <v>1</v>
      </c>
      <c r="D19" s="300">
        <f>IF(ISERROR(VLOOKUP("Celkem:",'ZV Vykáz.-A'!$A:$S,7,0)),"",VLOOKUP("Celkem:",'ZV Vykáz.-A'!$A:$S,7,0))</f>
        <v>3.8392467952740992</v>
      </c>
      <c r="E19" s="295">
        <f t="shared" si="1"/>
        <v>3.8392467952740992</v>
      </c>
    </row>
    <row r="20" spans="1:5" ht="14.4" customHeight="1" x14ac:dyDescent="0.3">
      <c r="A20" s="317" t="str">
        <f>HYPERLINK("#'ZV Vykáz.-H'!A1","Zdravotní výkony vykázané u hospitalizovaných pacientů (max. 85 %)")</f>
        <v>Zdravotní výkony vykázané u hospitalizovaných pacientů (max. 85 %)</v>
      </c>
      <c r="B20" s="280" t="s">
        <v>156</v>
      </c>
      <c r="C20" s="300">
        <v>0.85</v>
      </c>
      <c r="D20" s="300">
        <f>IF(ISERROR(VLOOKUP("Celkem:",'ZV Vykáz.-H'!$A:$S,7,0)),"",VLOOKUP("Celkem:",'ZV Vykáz.-H'!$A:$S,7,0))</f>
        <v>1.0696131690600119</v>
      </c>
      <c r="E20" s="295">
        <f t="shared" si="1"/>
        <v>1.2583684341882493</v>
      </c>
    </row>
    <row r="21" spans="1:5" ht="14.4" customHeight="1" x14ac:dyDescent="0.3">
      <c r="A21" s="318" t="str">
        <f>HYPERLINK("#HI!A1","Hospitalizace (casemix * 30000)")</f>
        <v>Hospitalizace (casemix * 30000)</v>
      </c>
      <c r="B21" s="297"/>
      <c r="C21" s="294">
        <f ca="1">IF(ISERROR(VLOOKUP("Hospitalizace *",INDIRECT("HI!$A:$G"),6,0)),0,VLOOKUP("Hospitalizace *",INDIRECT("HI!$A:$G"),6,0))</f>
        <v>20789.609999999997</v>
      </c>
      <c r="D21" s="294">
        <f ca="1">IF(ISERROR(VLOOKUP("Hospitalizace *",INDIRECT("HI!$A:$G"),5,0)),0,VLOOKUP("Hospitalizace *",INDIRECT("HI!$A:$G"),5,0))</f>
        <v>22401.57</v>
      </c>
      <c r="E21" s="295">
        <f ca="1">IF(C21=0,0,D21/C21)</f>
        <v>1.0775368080497905</v>
      </c>
    </row>
    <row r="22" spans="1:5" ht="14.4" customHeight="1" x14ac:dyDescent="0.3">
      <c r="A22" s="317" t="str">
        <f>HYPERLINK("#'CaseMix'!A1","Casemix (min. 100 %)")</f>
        <v>Casemix (min. 100 %)</v>
      </c>
      <c r="B22" s="297" t="s">
        <v>71</v>
      </c>
      <c r="C22" s="300">
        <v>1</v>
      </c>
      <c r="D22" s="300">
        <f>IF(ISERROR(VLOOKUP("Celkem",CaseMix!A:M,5,0)),0,VLOOKUP("Celkem",CaseMix!A:M,5,0))</f>
        <v>1.0775368080497905</v>
      </c>
      <c r="E22" s="295">
        <f t="shared" si="1"/>
        <v>1.0775368080497905</v>
      </c>
    </row>
    <row r="23" spans="1:5" ht="14.4" customHeight="1" x14ac:dyDescent="0.3">
      <c r="A23" s="319" t="str">
        <f>HYPERLINK("#'CaseMix'!A1","DRG mimo vyjmenované baze")</f>
        <v>DRG mimo vyjmenované baze</v>
      </c>
      <c r="B23" s="297" t="s">
        <v>71</v>
      </c>
      <c r="C23" s="300">
        <v>1</v>
      </c>
      <c r="D23" s="300">
        <f>IF(ISERROR(CaseMix!E26),"",CaseMix!E26)</f>
        <v>1.0695467591744148</v>
      </c>
      <c r="E23" s="295">
        <f t="shared" si="1"/>
        <v>1.0695467591744148</v>
      </c>
    </row>
    <row r="24" spans="1:5" ht="14.4" customHeight="1" x14ac:dyDescent="0.3">
      <c r="A24" s="319" t="str">
        <f>HYPERLINK("#'CaseMix'!A1","Vyjmenované baze DRG")</f>
        <v>Vyjmenované baze DRG</v>
      </c>
      <c r="B24" s="297" t="s">
        <v>71</v>
      </c>
      <c r="C24" s="300">
        <v>1</v>
      </c>
      <c r="D24" s="300">
        <f>IF(ISERROR(CaseMix!E39),"",CaseMix!E39)</f>
        <v>0</v>
      </c>
      <c r="E24" s="295">
        <f t="shared" si="1"/>
        <v>0</v>
      </c>
    </row>
    <row r="25" spans="1:5" ht="14.4" customHeight="1" x14ac:dyDescent="0.3">
      <c r="A25" s="317" t="str">
        <f>HYPERLINK("#'CaseMix'!A1","Počet hospitalizací ukončených na pracovišti (min. 95 %)")</f>
        <v>Počet hospitalizací ukončených na pracovišti (min. 95 %)</v>
      </c>
      <c r="B25" s="297" t="s">
        <v>71</v>
      </c>
      <c r="C25" s="300">
        <v>0.95</v>
      </c>
      <c r="D25" s="300">
        <f>IF(ISERROR(CaseMix!I13),"",CaseMix!I13)</f>
        <v>0.76842105263157889</v>
      </c>
      <c r="E25" s="295">
        <f t="shared" si="1"/>
        <v>0.80886426592797778</v>
      </c>
    </row>
    <row r="26" spans="1:5" ht="14.4" customHeight="1" x14ac:dyDescent="0.3">
      <c r="A26" s="317" t="str">
        <f>HYPERLINK("#'ALOS'!A1","Průměrná délka hospitalizace (max. 100 % republikového průměru)")</f>
        <v>Průměrná délka hospitalizace (max. 100 % republikového průměru)</v>
      </c>
      <c r="B26" s="297" t="s">
        <v>86</v>
      </c>
      <c r="C26" s="300">
        <v>1</v>
      </c>
      <c r="D26" s="320">
        <f>IF(ISERROR(INDEX(ALOS!$E:$E,COUNT(ALOS!$E:$E)+32)),0,INDEX(ALOS!$E:$E,COUNT(ALOS!$E:$E)+32))</f>
        <v>0.75787794176306345</v>
      </c>
      <c r="E26" s="295">
        <f t="shared" si="1"/>
        <v>0.75787794176306345</v>
      </c>
    </row>
    <row r="27" spans="1:5" ht="27.6" x14ac:dyDescent="0.3">
      <c r="A27" s="321" t="str">
        <f>HYPERLINK("#'ZV Vyžád.'!A1","Zdravotní výkony (vybraných odborností) vyžádané v rámci hospitalizace (95 % při splnění casemixu 100 %, při nesplnění casemixu 100 % snížení limitu o dvojnásobek procentních bodů, o který nebylo dosaženo casemixu 100 %)")</f>
        <v>Zdravotní výkony (vybraných odborností) vyžádané v rámci hospitalizace (95 % při splnění casemixu 100 %, při nesplnění casemixu 100 % snížení limitu o dvojnásobek procentních bodů, o který nebylo dosaženo casemixu 100 %)</v>
      </c>
      <c r="B27" s="297" t="s">
        <v>151</v>
      </c>
      <c r="C27" s="300">
        <f>IF(E22&gt;1,95%,95%-2*ABS(C22-D22))</f>
        <v>0.95</v>
      </c>
      <c r="D27" s="300">
        <f>IF(ISERROR(VLOOKUP("Celkem:",'ZV Vyžád.'!$A:$M,7,0)),"",VLOOKUP("Celkem:",'ZV Vyžád.'!$A:$M,7,0))</f>
        <v>1.0194721466386101</v>
      </c>
      <c r="E27" s="295">
        <f t="shared" si="1"/>
        <v>1.0731285754090634</v>
      </c>
    </row>
    <row r="28" spans="1:5" ht="14.4" customHeight="1" thickBot="1" x14ac:dyDescent="0.35">
      <c r="A28" s="322" t="s">
        <v>198</v>
      </c>
      <c r="B28" s="305"/>
      <c r="C28" s="306"/>
      <c r="D28" s="306"/>
      <c r="E28" s="307"/>
    </row>
    <row r="29" spans="1:5" ht="14.4" customHeight="1" thickBot="1" x14ac:dyDescent="0.35">
      <c r="A29" s="323"/>
      <c r="B29" s="324"/>
      <c r="C29" s="325"/>
      <c r="D29" s="325"/>
      <c r="E29" s="326"/>
    </row>
    <row r="30" spans="1:5" ht="14.4" customHeight="1" thickBot="1" x14ac:dyDescent="0.35">
      <c r="A30" s="327" t="s">
        <v>199</v>
      </c>
      <c r="B30" s="328"/>
      <c r="C30" s="329"/>
      <c r="D30" s="329"/>
      <c r="E30" s="330"/>
    </row>
  </sheetData>
  <mergeCells count="1">
    <mergeCell ref="A1:E1"/>
  </mergeCells>
  <conditionalFormatting sqref="E22:E25 E17 E19 E8 E10:E11">
    <cfRule type="iconSet" priority="17">
      <iconSet iconSet="3Symbols2">
        <cfvo type="percent" val="0"/>
        <cfvo type="num" val="1"/>
        <cfvo type="num" val="1"/>
      </iconSet>
    </cfRule>
  </conditionalFormatting>
  <conditionalFormatting sqref="E5">
    <cfRule type="cellIs" dxfId="81" priority="13" operator="greaterThan">
      <formula>1</formula>
    </cfRule>
    <cfRule type="iconSet" priority="14">
      <iconSet iconSet="3Symbols2" reverse="1">
        <cfvo type="percent" val="0"/>
        <cfvo type="num" val="1"/>
        <cfvo type="num" val="1"/>
      </iconSet>
    </cfRule>
  </conditionalFormatting>
  <conditionalFormatting sqref="E13">
    <cfRule type="cellIs" dxfId="80" priority="11" operator="greaterThan">
      <formula>1</formula>
    </cfRule>
    <cfRule type="iconSet" priority="12">
      <iconSet iconSet="3Symbols2" reverse="1">
        <cfvo type="percent" val="0"/>
        <cfvo type="num" val="1"/>
        <cfvo type="num" val="1"/>
      </iconSet>
    </cfRule>
  </conditionalFormatting>
  <conditionalFormatting sqref="E15">
    <cfRule type="cellIs" dxfId="79" priority="7" operator="greaterThan">
      <formula>1</formula>
    </cfRule>
    <cfRule type="iconSet" priority="8">
      <iconSet iconSet="3Symbols2" reverse="1">
        <cfvo type="percent" val="0"/>
        <cfvo type="num" val="1"/>
        <cfvo type="num" val="1"/>
      </iconSet>
    </cfRule>
  </conditionalFormatting>
  <conditionalFormatting sqref="E18">
    <cfRule type="cellIs" dxfId="78" priority="5" operator="lessThan">
      <formula>1</formula>
    </cfRule>
    <cfRule type="iconSet" priority="6">
      <iconSet iconSet="3Symbols2">
        <cfvo type="percent" val="0"/>
        <cfvo type="num" val="1"/>
        <cfvo type="num" val="1"/>
      </iconSet>
    </cfRule>
  </conditionalFormatting>
  <conditionalFormatting sqref="E21">
    <cfRule type="cellIs" dxfId="77" priority="3" operator="lessThan">
      <formula>1</formula>
    </cfRule>
    <cfRule type="iconSet" priority="4">
      <iconSet iconSet="3Symbols2">
        <cfvo type="percent" val="0"/>
        <cfvo type="num" val="1"/>
        <cfvo type="num" val="1"/>
      </iconSet>
    </cfRule>
  </conditionalFormatting>
  <conditionalFormatting sqref="E6">
    <cfRule type="cellIs" dxfId="76" priority="1" operator="greaterThan">
      <formula>1</formula>
    </cfRule>
    <cfRule type="iconSet" priority="2">
      <iconSet iconSet="3Symbols2" reverse="1">
        <cfvo type="percent" val="0"/>
        <cfvo type="num" val="1"/>
        <cfvo type="num" val="1"/>
      </iconSet>
    </cfRule>
  </conditionalFormatting>
  <conditionalFormatting sqref="E17 E19 E22:E25 E8 E10:E11">
    <cfRule type="cellIs" dxfId="75" priority="16" operator="lessThan">
      <formula>1</formula>
    </cfRule>
  </conditionalFormatting>
  <conditionalFormatting sqref="E26:E27 E4 E7 E14 E20">
    <cfRule type="cellIs" dxfId="74" priority="19" operator="greaterThan">
      <formula>1</formula>
    </cfRule>
    <cfRule type="iconSet" priority="20">
      <iconSet iconSet="3Symbols2" reverse="1">
        <cfvo type="percent" val="0"/>
        <cfvo type="num" val="1"/>
        <cfvo type="num" val="1"/>
      </iconSe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7">
    <tabColor rgb="FFFFFF66"/>
    <pageSetUpPr fitToPage="1"/>
  </sheetPr>
  <dimension ref="A1:H23"/>
  <sheetViews>
    <sheetView showGridLines="0" showRowColHeaders="0" zoomScaleNormal="100" workbookViewId="0">
      <selection sqref="A1:H1"/>
    </sheetView>
  </sheetViews>
  <sheetFormatPr defaultRowHeight="14.4" customHeight="1" x14ac:dyDescent="0.3"/>
  <cols>
    <col min="1" max="1" width="34.21875" style="257" bestFit="1" customWidth="1"/>
    <col min="2" max="3" width="9.5546875" style="257" customWidth="1"/>
    <col min="4" max="4" width="2.21875" style="257" customWidth="1"/>
    <col min="5" max="8" width="9.5546875" style="257" customWidth="1"/>
    <col min="9" max="16384" width="8.88671875" style="257"/>
  </cols>
  <sheetData>
    <row r="1" spans="1:8" ht="18.600000000000001" customHeight="1" thickBot="1" x14ac:dyDescent="0.4">
      <c r="A1" s="458" t="s">
        <v>176</v>
      </c>
      <c r="B1" s="458"/>
      <c r="C1" s="458"/>
      <c r="D1" s="458"/>
      <c r="E1" s="458"/>
      <c r="F1" s="458"/>
      <c r="G1" s="459"/>
      <c r="H1" s="459"/>
    </row>
    <row r="2" spans="1:8" ht="14.4" customHeight="1" thickBot="1" x14ac:dyDescent="0.35">
      <c r="A2" s="386" t="s">
        <v>321</v>
      </c>
      <c r="B2" s="227"/>
      <c r="C2" s="227"/>
      <c r="D2" s="227"/>
      <c r="E2" s="227"/>
      <c r="F2" s="227"/>
    </row>
    <row r="3" spans="1:8" ht="14.4" customHeight="1" x14ac:dyDescent="0.3">
      <c r="A3" s="460"/>
      <c r="B3" s="223">
        <v>2012</v>
      </c>
      <c r="C3" s="44">
        <v>2013</v>
      </c>
      <c r="D3" s="11"/>
      <c r="E3" s="464">
        <v>2014</v>
      </c>
      <c r="F3" s="465"/>
      <c r="G3" s="465"/>
      <c r="H3" s="466"/>
    </row>
    <row r="4" spans="1:8" ht="14.4" customHeight="1" thickBot="1" x14ac:dyDescent="0.35">
      <c r="A4" s="461"/>
      <c r="B4" s="462" t="s">
        <v>94</v>
      </c>
      <c r="C4" s="463"/>
      <c r="D4" s="11"/>
      <c r="E4" s="244" t="s">
        <v>94</v>
      </c>
      <c r="F4" s="225" t="s">
        <v>95</v>
      </c>
      <c r="G4" s="225" t="s">
        <v>69</v>
      </c>
      <c r="H4" s="226" t="s">
        <v>96</v>
      </c>
    </row>
    <row r="5" spans="1:8" ht="14.4" customHeight="1" x14ac:dyDescent="0.3">
      <c r="A5" s="228" t="str">
        <f>HYPERLINK("#'Léky Žádanky'!A1","Léky (Kč)")</f>
        <v>Léky (Kč)</v>
      </c>
      <c r="B5" s="31">
        <v>10318.864820000001</v>
      </c>
      <c r="C5" s="33">
        <v>8549.7165599999971</v>
      </c>
      <c r="D5" s="12"/>
      <c r="E5" s="233">
        <v>7789.5146400000058</v>
      </c>
      <c r="F5" s="32">
        <v>8389.6304510598111</v>
      </c>
      <c r="G5" s="232">
        <f>E5-F5</f>
        <v>-600.11581105980531</v>
      </c>
      <c r="H5" s="238">
        <f>IF(F5&lt;0.00000001,"",E5/F5)</f>
        <v>0.92846933907750417</v>
      </c>
    </row>
    <row r="6" spans="1:8" ht="14.4" customHeight="1" x14ac:dyDescent="0.3">
      <c r="A6" s="228" t="str">
        <f>HYPERLINK("#'Materiál Žádanky'!A1","Materiál - SZM (Kč)")</f>
        <v>Materiál - SZM (Kč)</v>
      </c>
      <c r="B6" s="14">
        <v>4504.2226599999995</v>
      </c>
      <c r="C6" s="35">
        <v>4291.8244199999972</v>
      </c>
      <c r="D6" s="12"/>
      <c r="E6" s="234">
        <v>4359.858240000005</v>
      </c>
      <c r="F6" s="34">
        <v>4644.3276769560416</v>
      </c>
      <c r="G6" s="235">
        <f>E6-F6</f>
        <v>-284.46943695603659</v>
      </c>
      <c r="H6" s="239">
        <f>IF(F6&lt;0.00000001,"",E6/F6)</f>
        <v>0.93874905976865053</v>
      </c>
    </row>
    <row r="7" spans="1:8" ht="14.4" customHeight="1" x14ac:dyDescent="0.3">
      <c r="A7" s="228" t="str">
        <f>HYPERLINK("#'Osobní náklady'!A1","Osobní náklady (Kč) *")</f>
        <v>Osobní náklady (Kč) *</v>
      </c>
      <c r="B7" s="14">
        <v>39378.801769999998</v>
      </c>
      <c r="C7" s="35">
        <v>37821.138089999993</v>
      </c>
      <c r="D7" s="12"/>
      <c r="E7" s="234">
        <v>41549.212020000035</v>
      </c>
      <c r="F7" s="34">
        <v>40116.030680549637</v>
      </c>
      <c r="G7" s="235">
        <f>E7-F7</f>
        <v>1433.1813394503988</v>
      </c>
      <c r="H7" s="239">
        <f>IF(F7&lt;0.00000001,"",E7/F7)</f>
        <v>1.0357259009711866</v>
      </c>
    </row>
    <row r="8" spans="1:8" ht="14.4" customHeight="1" thickBot="1" x14ac:dyDescent="0.35">
      <c r="A8" s="1" t="s">
        <v>97</v>
      </c>
      <c r="B8" s="15">
        <v>9789.0081299999965</v>
      </c>
      <c r="C8" s="37">
        <v>7638.3376499999904</v>
      </c>
      <c r="D8" s="12"/>
      <c r="E8" s="236">
        <v>8168.1361500000203</v>
      </c>
      <c r="F8" s="36">
        <v>7813.7269915596407</v>
      </c>
      <c r="G8" s="237">
        <f>E8-F8</f>
        <v>354.40915844037954</v>
      </c>
      <c r="H8" s="240">
        <f>IF(F8&lt;0.00000001,"",E8/F8)</f>
        <v>1.045357248701319</v>
      </c>
    </row>
    <row r="9" spans="1:8" ht="14.4" customHeight="1" thickBot="1" x14ac:dyDescent="0.35">
      <c r="A9" s="2" t="s">
        <v>98</v>
      </c>
      <c r="B9" s="3">
        <v>63990.897379999995</v>
      </c>
      <c r="C9" s="39">
        <v>58301.016719999971</v>
      </c>
      <c r="D9" s="12"/>
      <c r="E9" s="3">
        <v>61866.721050000066</v>
      </c>
      <c r="F9" s="38">
        <v>60963.71580012513</v>
      </c>
      <c r="G9" s="38">
        <f>E9-F9</f>
        <v>903.00524987493554</v>
      </c>
      <c r="H9" s="241">
        <f>IF(F9&lt;0.00000001,"",E9/F9)</f>
        <v>1.0148121753738817</v>
      </c>
    </row>
    <row r="10" spans="1:8" ht="14.4" customHeight="1" thickBot="1" x14ac:dyDescent="0.35">
      <c r="A10" s="16"/>
      <c r="B10" s="16"/>
      <c r="C10" s="224"/>
      <c r="D10" s="12"/>
      <c r="E10" s="16"/>
      <c r="F10" s="17"/>
    </row>
    <row r="11" spans="1:8" ht="14.4" customHeight="1" x14ac:dyDescent="0.3">
      <c r="A11" s="260" t="str">
        <f>HYPERLINK("#'ZV Vykáz.-A'!A1","Ambulance *")</f>
        <v>Ambulance *</v>
      </c>
      <c r="B11" s="13">
        <f>IF(ISERROR(VLOOKUP("Celkem:",'ZV Vykáz.-A'!A:F,2,0)),0,VLOOKUP("Celkem:",'ZV Vykáz.-A'!A:F,2,0)/1000)</f>
        <v>438.18099999999998</v>
      </c>
      <c r="C11" s="33">
        <f>IF(ISERROR(VLOOKUP("Celkem:",'ZV Vykáz.-A'!A:F,4,0)),0,VLOOKUP("Celkem:",'ZV Vykáz.-A'!A:F,4,0)/1000)</f>
        <v>761.41399999999999</v>
      </c>
      <c r="D11" s="12"/>
      <c r="E11" s="233">
        <f>IF(ISERROR(VLOOKUP("Celkem:",'ZV Vykáz.-A'!A:F,6,0)),0,VLOOKUP("Celkem:",'ZV Vykáz.-A'!A:F,6,0)/1000)</f>
        <v>1682.2850000000001</v>
      </c>
      <c r="F11" s="32">
        <f>B11</f>
        <v>438.18099999999998</v>
      </c>
      <c r="G11" s="232">
        <f>E11-F11</f>
        <v>1244.104</v>
      </c>
      <c r="H11" s="238">
        <f>IF(F11&lt;0.00000001,"",E11/F11)</f>
        <v>3.8392467952740992</v>
      </c>
    </row>
    <row r="12" spans="1:8" ht="14.4" customHeight="1" thickBot="1" x14ac:dyDescent="0.35">
      <c r="A12" s="261" t="str">
        <f>HYPERLINK("#CaseMix!A1","Hospitalizace *")</f>
        <v>Hospitalizace *</v>
      </c>
      <c r="B12" s="15">
        <f>IF(ISERROR(VLOOKUP("Celkem",CaseMix!A:D,2,0)),0,VLOOKUP("Celkem",CaseMix!A:D,2,0)*30)</f>
        <v>20789.609999999997</v>
      </c>
      <c r="C12" s="37">
        <f>IF(ISERROR(VLOOKUP("Celkem",CaseMix!A:D,3,0)),0,VLOOKUP("Celkem",CaseMix!A:D,3,0)*30)</f>
        <v>21320.789999999997</v>
      </c>
      <c r="D12" s="12"/>
      <c r="E12" s="236">
        <f>IF(ISERROR(VLOOKUP("Celkem",CaseMix!A:D,4,0)),0,VLOOKUP("Celkem",CaseMix!A:D,4,0)*30)</f>
        <v>22401.57</v>
      </c>
      <c r="F12" s="36">
        <f>B12</f>
        <v>20789.609999999997</v>
      </c>
      <c r="G12" s="237">
        <f>E12-F12</f>
        <v>1611.9600000000028</v>
      </c>
      <c r="H12" s="240">
        <f>IF(F12&lt;0.00000001,"",E12/F12)</f>
        <v>1.0775368080497905</v>
      </c>
    </row>
    <row r="13" spans="1:8" ht="14.4" customHeight="1" thickBot="1" x14ac:dyDescent="0.35">
      <c r="A13" s="4" t="s">
        <v>101</v>
      </c>
      <c r="B13" s="9">
        <f>SUM(B11:B12)</f>
        <v>21227.790999999997</v>
      </c>
      <c r="C13" s="41">
        <f>SUM(C11:C12)</f>
        <v>22082.203999999998</v>
      </c>
      <c r="D13" s="12"/>
      <c r="E13" s="9">
        <f>SUM(E11:E12)</f>
        <v>24083.855</v>
      </c>
      <c r="F13" s="40">
        <f>SUM(F11:F12)</f>
        <v>21227.790999999997</v>
      </c>
      <c r="G13" s="40">
        <f>E13-F13</f>
        <v>2856.0640000000021</v>
      </c>
      <c r="H13" s="242">
        <f>IF(F13&lt;0.00000001,"",E13/F13)</f>
        <v>1.134543627266728</v>
      </c>
    </row>
    <row r="14" spans="1:8" ht="14.4" customHeight="1" thickBot="1" x14ac:dyDescent="0.35">
      <c r="A14" s="16"/>
      <c r="B14" s="16"/>
      <c r="C14" s="224"/>
      <c r="D14" s="12"/>
      <c r="E14" s="16"/>
      <c r="F14" s="17"/>
    </row>
    <row r="15" spans="1:8" ht="14.4" customHeight="1" thickBot="1" x14ac:dyDescent="0.35">
      <c r="A15" s="262" t="str">
        <f>HYPERLINK("#'HI Graf'!A1","Hospodářský index (Výnosy / Náklady) *")</f>
        <v>Hospodářský index (Výnosy / Náklady) *</v>
      </c>
      <c r="B15" s="10">
        <f>IF(B9=0,"",B13/B9)</f>
        <v>0.33173141601596962</v>
      </c>
      <c r="C15" s="43">
        <f>IF(C9=0,"",C13/C9)</f>
        <v>0.37876190231901685</v>
      </c>
      <c r="D15" s="12"/>
      <c r="E15" s="10">
        <f>IF(E9=0,"",E13/E9)</f>
        <v>0.38928610715501905</v>
      </c>
      <c r="F15" s="42">
        <f>IF(F9=0,"",F13/F9)</f>
        <v>0.34820369331812329</v>
      </c>
      <c r="G15" s="42">
        <f>IF(ISERROR(F15-E15),"",E15-F15)</f>
        <v>4.1082413836895759E-2</v>
      </c>
      <c r="H15" s="243">
        <f>IF(ISERROR(F15-E15),"",IF(F15&lt;0.00000001,"",E15/F15))</f>
        <v>1.117983854350914</v>
      </c>
    </row>
    <row r="17" spans="1:8" ht="14.4" customHeight="1" x14ac:dyDescent="0.3">
      <c r="A17" s="229" t="s">
        <v>203</v>
      </c>
    </row>
    <row r="18" spans="1:8" ht="14.4" customHeight="1" x14ac:dyDescent="0.3">
      <c r="A18" s="439" t="s">
        <v>271</v>
      </c>
      <c r="B18" s="440"/>
      <c r="C18" s="440"/>
      <c r="D18" s="440"/>
      <c r="E18" s="440"/>
      <c r="F18" s="440"/>
      <c r="G18" s="440"/>
      <c r="H18" s="440"/>
    </row>
    <row r="19" spans="1:8" x14ac:dyDescent="0.3">
      <c r="A19" s="438" t="s">
        <v>270</v>
      </c>
      <c r="B19" s="440"/>
      <c r="C19" s="440"/>
      <c r="D19" s="440"/>
      <c r="E19" s="440"/>
      <c r="F19" s="440"/>
      <c r="G19" s="440"/>
      <c r="H19" s="440"/>
    </row>
    <row r="20" spans="1:8" ht="14.4" customHeight="1" x14ac:dyDescent="0.3">
      <c r="A20" s="230" t="s">
        <v>204</v>
      </c>
    </row>
    <row r="21" spans="1:8" ht="14.4" customHeight="1" x14ac:dyDescent="0.3">
      <c r="A21" s="230" t="s">
        <v>205</v>
      </c>
    </row>
    <row r="22" spans="1:8" ht="14.4" customHeight="1" x14ac:dyDescent="0.3">
      <c r="A22" s="231" t="s">
        <v>206</v>
      </c>
    </row>
    <row r="23" spans="1:8" ht="14.4" customHeight="1" x14ac:dyDescent="0.3">
      <c r="A23" s="231" t="s">
        <v>207</v>
      </c>
    </row>
  </sheetData>
  <mergeCells count="4">
    <mergeCell ref="A3:A4"/>
    <mergeCell ref="B4:C4"/>
    <mergeCell ref="E3:H3"/>
    <mergeCell ref="A1:H1"/>
  </mergeCells>
  <conditionalFormatting sqref="F11:F12">
    <cfRule type="dataBar" priority="5">
      <dataBar>
        <cfvo type="num" val="MIN($F$11:$F$12)-SUM($F$11:$F$12)/8"/>
        <cfvo type="num" val="MAX($F$11:$F$12)+SUM($F$11:$F$12)/8"/>
        <color theme="5" tint="0.39997558519241921"/>
      </dataBar>
      <extLst>
        <ext xmlns:x14="http://schemas.microsoft.com/office/spreadsheetml/2009/9/main" uri="{B025F937-C7B1-47D3-B67F-A62EFF666E3E}">
          <x14:id>{81B0F473-4FC4-40C6-A269-30D44C2366B5}</x14:id>
        </ext>
      </extLst>
    </cfRule>
  </conditionalFormatting>
  <conditionalFormatting sqref="F5:F8">
    <cfRule type="dataBar" priority="6">
      <dataBar>
        <cfvo type="num" val="MIN($F$5:$F$8)-SUM($F$5:$F$8)/8"/>
        <cfvo type="num" val="MAX($F$5:$F$8)+SUM($F$5:$F$8)/8"/>
        <color theme="3" tint="0.39997558519241921"/>
      </dataBar>
      <extLst>
        <ext xmlns:x14="http://schemas.microsoft.com/office/spreadsheetml/2009/9/main" uri="{B025F937-C7B1-47D3-B67F-A62EFF666E3E}">
          <x14:id>{F9D6C8AA-B651-4DA5-ADB2-0E4242823C71}</x14:id>
        </ext>
      </extLst>
    </cfRule>
  </conditionalFormatting>
  <conditionalFormatting sqref="G5:G9">
    <cfRule type="cellIs" dxfId="73" priority="4" operator="greaterThan">
      <formula>0</formula>
    </cfRule>
  </conditionalFormatting>
  <conditionalFormatting sqref="G11:G13 G15">
    <cfRule type="cellIs" dxfId="72" priority="3" operator="lessThan">
      <formula>0</formula>
    </cfRule>
  </conditionalFormatting>
  <conditionalFormatting sqref="H5:H9">
    <cfRule type="cellIs" dxfId="71" priority="2" operator="greaterThan">
      <formula>1</formula>
    </cfRule>
  </conditionalFormatting>
  <conditionalFormatting sqref="H11:H13 H15">
    <cfRule type="cellIs" dxfId="70" priority="1" operator="lessThan">
      <formula>1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81B0F473-4FC4-40C6-A269-30D44C2366B5}">
            <x14:dataBar minLength="0" maxLength="100" negativeBarColorSameAsPositive="1" axisPosition="none">
              <x14:cfvo type="num">
                <xm:f>MIN($F$11:$F$12)-SUM($F$11:$F$12)/8</xm:f>
              </x14:cfvo>
              <x14:cfvo type="num">
                <xm:f>MAX($F$11:$F$12)+SUM($F$11:$F$12)/8</xm:f>
              </x14:cfvo>
            </x14:dataBar>
          </x14:cfRule>
          <xm:sqref>F11:F12</xm:sqref>
        </x14:conditionalFormatting>
        <x14:conditionalFormatting xmlns:xm="http://schemas.microsoft.com/office/excel/2006/main">
          <x14:cfRule type="dataBar" id="{F9D6C8AA-B651-4DA5-ADB2-0E4242823C71}">
            <x14:dataBar minLength="0" maxLength="100" negativeBarColorSameAsPositive="1" axisPosition="none">
              <x14:cfvo type="num">
                <xm:f>MIN($F$5:$F$8)-SUM($F$5:$F$8)/8</xm:f>
              </x14:cfvo>
              <x14:cfvo type="num">
                <xm:f>MAX($F$5:$F$8)+SUM($F$5:$F$8)/8</xm:f>
              </x14:cfvo>
            </x14:dataBar>
          </x14:cfRule>
          <xm:sqref>F5:F8</xm:sqref>
        </x14:conditionalFormatting>
      </x14:conditionalFormatting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9">
    <tabColor theme="0" tint="-0.249977111117893"/>
    <pageSetUpPr fitToPage="1"/>
  </sheetPr>
  <dimension ref="A1:M13"/>
  <sheetViews>
    <sheetView showGridLines="0" showRowColHeaders="0" workbookViewId="0">
      <selection sqref="A1:M1"/>
    </sheetView>
  </sheetViews>
  <sheetFormatPr defaultRowHeight="14.4" customHeight="1" x14ac:dyDescent="0.3"/>
  <cols>
    <col min="1" max="1" width="8.88671875" style="257"/>
    <col min="2" max="13" width="8.88671875" style="257" customWidth="1"/>
    <col min="14" max="16384" width="8.88671875" style="257"/>
  </cols>
  <sheetData>
    <row r="1" spans="1:13" ht="18.600000000000001" customHeight="1" thickBot="1" x14ac:dyDescent="0.4">
      <c r="A1" s="458" t="s">
        <v>129</v>
      </c>
      <c r="B1" s="458"/>
      <c r="C1" s="458"/>
      <c r="D1" s="458"/>
      <c r="E1" s="458"/>
      <c r="F1" s="458"/>
      <c r="G1" s="458"/>
      <c r="H1" s="458"/>
      <c r="I1" s="458"/>
      <c r="J1" s="458"/>
      <c r="K1" s="458"/>
      <c r="L1" s="458"/>
      <c r="M1" s="458"/>
    </row>
    <row r="2" spans="1:13" ht="14.4" customHeight="1" x14ac:dyDescent="0.3">
      <c r="A2" s="386" t="s">
        <v>321</v>
      </c>
      <c r="B2" s="258"/>
      <c r="C2" s="258"/>
      <c r="D2" s="258"/>
      <c r="E2" s="258"/>
      <c r="F2" s="258"/>
      <c r="G2" s="258"/>
      <c r="H2" s="258"/>
      <c r="I2" s="258"/>
      <c r="J2" s="258"/>
      <c r="K2" s="258"/>
      <c r="L2" s="258"/>
      <c r="M2" s="258"/>
    </row>
    <row r="3" spans="1:13" ht="14.4" customHeight="1" x14ac:dyDescent="0.3">
      <c r="A3" s="331"/>
      <c r="B3" s="332" t="s">
        <v>103</v>
      </c>
      <c r="C3" s="333" t="s">
        <v>104</v>
      </c>
      <c r="D3" s="333" t="s">
        <v>105</v>
      </c>
      <c r="E3" s="332" t="s">
        <v>106</v>
      </c>
      <c r="F3" s="333" t="s">
        <v>107</v>
      </c>
      <c r="G3" s="333" t="s">
        <v>108</v>
      </c>
      <c r="H3" s="333" t="s">
        <v>109</v>
      </c>
      <c r="I3" s="333" t="s">
        <v>110</v>
      </c>
      <c r="J3" s="333" t="s">
        <v>111</v>
      </c>
      <c r="K3" s="333" t="s">
        <v>112</v>
      </c>
      <c r="L3" s="333" t="s">
        <v>113</v>
      </c>
      <c r="M3" s="333" t="s">
        <v>114</v>
      </c>
    </row>
    <row r="4" spans="1:13" ht="14.4" customHeight="1" x14ac:dyDescent="0.3">
      <c r="A4" s="331" t="s">
        <v>102</v>
      </c>
      <c r="B4" s="334">
        <f>(B10+B8)/B6</f>
        <v>0.325788325308349</v>
      </c>
      <c r="C4" s="334">
        <f t="shared" ref="C4:M4" si="0">(C10+C8)/C6</f>
        <v>0.20437274016813631</v>
      </c>
      <c r="D4" s="334">
        <f t="shared" si="0"/>
        <v>0.26499007852661577</v>
      </c>
      <c r="E4" s="334">
        <f t="shared" si="0"/>
        <v>0.30372326880297185</v>
      </c>
      <c r="F4" s="334">
        <f t="shared" si="0"/>
        <v>0.38928610715501882</v>
      </c>
      <c r="G4" s="334">
        <f t="shared" si="0"/>
        <v>2.7192082778080211E-2</v>
      </c>
      <c r="H4" s="334">
        <f t="shared" si="0"/>
        <v>2.7192082778080211E-2</v>
      </c>
      <c r="I4" s="334">
        <f t="shared" si="0"/>
        <v>2.7192082778080211E-2</v>
      </c>
      <c r="J4" s="334">
        <f t="shared" si="0"/>
        <v>2.7192082778080211E-2</v>
      </c>
      <c r="K4" s="334">
        <f t="shared" si="0"/>
        <v>2.7192082778080211E-2</v>
      </c>
      <c r="L4" s="334">
        <f t="shared" si="0"/>
        <v>2.7192082778080211E-2</v>
      </c>
      <c r="M4" s="334">
        <f t="shared" si="0"/>
        <v>2.7192082778080211E-2</v>
      </c>
    </row>
    <row r="5" spans="1:13" ht="14.4" customHeight="1" x14ac:dyDescent="0.3">
      <c r="A5" s="335" t="s">
        <v>53</v>
      </c>
      <c r="B5" s="334">
        <f>IF(ISERROR(VLOOKUP($A5,'Man Tab'!$A:$Q,COLUMN()+2,0)),0,VLOOKUP($A5,'Man Tab'!$A:$Q,COLUMN()+2,0))</f>
        <v>12020.6609500001</v>
      </c>
      <c r="C5" s="334">
        <f>IF(ISERROR(VLOOKUP($A5,'Man Tab'!$A:$Q,COLUMN()+2,0)),0,VLOOKUP($A5,'Man Tab'!$A:$Q,COLUMN()+2,0))</f>
        <v>11832.872530000001</v>
      </c>
      <c r="D5" s="334">
        <f>IF(ISERROR(VLOOKUP($A5,'Man Tab'!$A:$Q,COLUMN()+2,0)),0,VLOOKUP($A5,'Man Tab'!$A:$Q,COLUMN()+2,0))</f>
        <v>12703.70313</v>
      </c>
      <c r="E5" s="334">
        <f>IF(ISERROR(VLOOKUP($A5,'Man Tab'!$A:$Q,COLUMN()+2,0)),0,VLOOKUP($A5,'Man Tab'!$A:$Q,COLUMN()+2,0))</f>
        <v>12646.807119999999</v>
      </c>
      <c r="F5" s="334">
        <f>IF(ISERROR(VLOOKUP($A5,'Man Tab'!$A:$Q,COLUMN()+2,0)),0,VLOOKUP($A5,'Man Tab'!$A:$Q,COLUMN()+2,0))</f>
        <v>12662.677320000001</v>
      </c>
      <c r="G5" s="334">
        <f>IF(ISERROR(VLOOKUP($A5,'Man Tab'!$A:$Q,COLUMN()+2,0)),0,VLOOKUP($A5,'Man Tab'!$A:$Q,COLUMN()+2,0))</f>
        <v>4.9406564584124654E-324</v>
      </c>
      <c r="H5" s="334">
        <f>IF(ISERROR(VLOOKUP($A5,'Man Tab'!$A:$Q,COLUMN()+2,0)),0,VLOOKUP($A5,'Man Tab'!$A:$Q,COLUMN()+2,0))</f>
        <v>4.9406564584124654E-324</v>
      </c>
      <c r="I5" s="334">
        <f>IF(ISERROR(VLOOKUP($A5,'Man Tab'!$A:$Q,COLUMN()+2,0)),0,VLOOKUP($A5,'Man Tab'!$A:$Q,COLUMN()+2,0))</f>
        <v>4.9406564584124654E-324</v>
      </c>
      <c r="J5" s="334">
        <f>IF(ISERROR(VLOOKUP($A5,'Man Tab'!$A:$Q,COLUMN()+2,0)),0,VLOOKUP($A5,'Man Tab'!$A:$Q,COLUMN()+2,0))</f>
        <v>4.9406564584124654E-324</v>
      </c>
      <c r="K5" s="334">
        <f>IF(ISERROR(VLOOKUP($A5,'Man Tab'!$A:$Q,COLUMN()+2,0)),0,VLOOKUP($A5,'Man Tab'!$A:$Q,COLUMN()+2,0))</f>
        <v>4.9406564584124654E-324</v>
      </c>
      <c r="L5" s="334">
        <f>IF(ISERROR(VLOOKUP($A5,'Man Tab'!$A:$Q,COLUMN()+2,0)),0,VLOOKUP($A5,'Man Tab'!$A:$Q,COLUMN()+2,0))</f>
        <v>4.9406564584124654E-324</v>
      </c>
      <c r="M5" s="334">
        <f>IF(ISERROR(VLOOKUP($A5,'Man Tab'!$A:$Q,COLUMN()+2,0)),0,VLOOKUP($A5,'Man Tab'!$A:$Q,COLUMN()+2,0))</f>
        <v>4.9406564584124654E-324</v>
      </c>
    </row>
    <row r="6" spans="1:13" ht="14.4" customHeight="1" x14ac:dyDescent="0.3">
      <c r="A6" s="335" t="s">
        <v>98</v>
      </c>
      <c r="B6" s="336">
        <f>B5</f>
        <v>12020.6609500001</v>
      </c>
      <c r="C6" s="336">
        <f t="shared" ref="C6:M6" si="1">C5+B6</f>
        <v>23853.5334800001</v>
      </c>
      <c r="D6" s="336">
        <f t="shared" si="1"/>
        <v>36557.236610000102</v>
      </c>
      <c r="E6" s="336">
        <f t="shared" si="1"/>
        <v>49204.043730000099</v>
      </c>
      <c r="F6" s="336">
        <f t="shared" si="1"/>
        <v>61866.721050000102</v>
      </c>
      <c r="G6" s="336">
        <f t="shared" si="1"/>
        <v>61866.721050000102</v>
      </c>
      <c r="H6" s="336">
        <f t="shared" si="1"/>
        <v>61866.721050000102</v>
      </c>
      <c r="I6" s="336">
        <f t="shared" si="1"/>
        <v>61866.721050000102</v>
      </c>
      <c r="J6" s="336">
        <f t="shared" si="1"/>
        <v>61866.721050000102</v>
      </c>
      <c r="K6" s="336">
        <f t="shared" si="1"/>
        <v>61866.721050000102</v>
      </c>
      <c r="L6" s="336">
        <f t="shared" si="1"/>
        <v>61866.721050000102</v>
      </c>
      <c r="M6" s="336">
        <f t="shared" si="1"/>
        <v>61866.721050000102</v>
      </c>
    </row>
    <row r="7" spans="1:13" ht="14.4" customHeight="1" x14ac:dyDescent="0.3">
      <c r="A7" s="335" t="s">
        <v>127</v>
      </c>
      <c r="B7" s="335">
        <v>119.485</v>
      </c>
      <c r="C7" s="335">
        <v>141.239</v>
      </c>
      <c r="D7" s="335">
        <v>289.93400000000003</v>
      </c>
      <c r="E7" s="335">
        <v>453.07400000000001</v>
      </c>
      <c r="F7" s="335">
        <v>746.71900000000005</v>
      </c>
      <c r="G7" s="335"/>
      <c r="H7" s="335"/>
      <c r="I7" s="335"/>
      <c r="J7" s="335"/>
      <c r="K7" s="335"/>
      <c r="L7" s="335"/>
      <c r="M7" s="335"/>
    </row>
    <row r="8" spans="1:13" ht="14.4" customHeight="1" x14ac:dyDescent="0.3">
      <c r="A8" s="335" t="s">
        <v>99</v>
      </c>
      <c r="B8" s="336">
        <f>B7*30</f>
        <v>3584.55</v>
      </c>
      <c r="C8" s="336">
        <f t="shared" ref="C8:M8" si="2">C7*30</f>
        <v>4237.17</v>
      </c>
      <c r="D8" s="336">
        <f t="shared" si="2"/>
        <v>8698.02</v>
      </c>
      <c r="E8" s="336">
        <f t="shared" si="2"/>
        <v>13592.220000000001</v>
      </c>
      <c r="F8" s="336">
        <f t="shared" si="2"/>
        <v>22401.57</v>
      </c>
      <c r="G8" s="336">
        <f t="shared" si="2"/>
        <v>0</v>
      </c>
      <c r="H8" s="336">
        <f t="shared" si="2"/>
        <v>0</v>
      </c>
      <c r="I8" s="336">
        <f t="shared" si="2"/>
        <v>0</v>
      </c>
      <c r="J8" s="336">
        <f t="shared" si="2"/>
        <v>0</v>
      </c>
      <c r="K8" s="336">
        <f t="shared" si="2"/>
        <v>0</v>
      </c>
      <c r="L8" s="336">
        <f t="shared" si="2"/>
        <v>0</v>
      </c>
      <c r="M8" s="336">
        <f t="shared" si="2"/>
        <v>0</v>
      </c>
    </row>
    <row r="9" spans="1:13" ht="14.4" customHeight="1" x14ac:dyDescent="0.3">
      <c r="A9" s="335" t="s">
        <v>128</v>
      </c>
      <c r="B9" s="335">
        <v>331641</v>
      </c>
      <c r="C9" s="335">
        <v>306201</v>
      </c>
      <c r="D9" s="335">
        <v>351443</v>
      </c>
      <c r="E9" s="335">
        <v>362908</v>
      </c>
      <c r="F9" s="335">
        <v>330092</v>
      </c>
      <c r="G9" s="335">
        <v>0</v>
      </c>
      <c r="H9" s="335">
        <v>0</v>
      </c>
      <c r="I9" s="335">
        <v>0</v>
      </c>
      <c r="J9" s="335">
        <v>0</v>
      </c>
      <c r="K9" s="335">
        <v>0</v>
      </c>
      <c r="L9" s="335">
        <v>0</v>
      </c>
      <c r="M9" s="335">
        <v>0</v>
      </c>
    </row>
    <row r="10" spans="1:13" ht="14.4" customHeight="1" x14ac:dyDescent="0.3">
      <c r="A10" s="335" t="s">
        <v>100</v>
      </c>
      <c r="B10" s="336">
        <f>B9/1000</f>
        <v>331.64100000000002</v>
      </c>
      <c r="C10" s="336">
        <f t="shared" ref="C10:M10" si="3">C9/1000+B10</f>
        <v>637.8420000000001</v>
      </c>
      <c r="D10" s="336">
        <f t="shared" si="3"/>
        <v>989.28500000000008</v>
      </c>
      <c r="E10" s="336">
        <f t="shared" si="3"/>
        <v>1352.1930000000002</v>
      </c>
      <c r="F10" s="336">
        <f t="shared" si="3"/>
        <v>1682.2850000000003</v>
      </c>
      <c r="G10" s="336">
        <f t="shared" si="3"/>
        <v>1682.2850000000003</v>
      </c>
      <c r="H10" s="336">
        <f t="shared" si="3"/>
        <v>1682.2850000000003</v>
      </c>
      <c r="I10" s="336">
        <f t="shared" si="3"/>
        <v>1682.2850000000003</v>
      </c>
      <c r="J10" s="336">
        <f t="shared" si="3"/>
        <v>1682.2850000000003</v>
      </c>
      <c r="K10" s="336">
        <f t="shared" si="3"/>
        <v>1682.2850000000003</v>
      </c>
      <c r="L10" s="336">
        <f t="shared" si="3"/>
        <v>1682.2850000000003</v>
      </c>
      <c r="M10" s="336">
        <f t="shared" si="3"/>
        <v>1682.2850000000003</v>
      </c>
    </row>
    <row r="11" spans="1:13" ht="14.4" customHeight="1" x14ac:dyDescent="0.3">
      <c r="A11" s="331"/>
      <c r="B11" s="331" t="s">
        <v>116</v>
      </c>
      <c r="C11" s="331">
        <f ca="1">IF(MONTH(TODAY())=1,12,MONTH(TODAY())-1)</f>
        <v>5</v>
      </c>
      <c r="D11" s="331"/>
      <c r="E11" s="331"/>
      <c r="F11" s="331"/>
      <c r="G11" s="331"/>
      <c r="H11" s="331"/>
      <c r="I11" s="331"/>
      <c r="J11" s="331"/>
      <c r="K11" s="331"/>
      <c r="L11" s="331"/>
      <c r="M11" s="331"/>
    </row>
    <row r="12" spans="1:13" ht="14.4" customHeight="1" x14ac:dyDescent="0.3">
      <c r="A12" s="331">
        <v>0</v>
      </c>
      <c r="B12" s="334">
        <f>IF(ISERROR(HI!F15),#REF!,HI!F15)</f>
        <v>0.34820369331812329</v>
      </c>
      <c r="C12" s="331"/>
      <c r="D12" s="331"/>
      <c r="E12" s="331"/>
      <c r="F12" s="331"/>
      <c r="G12" s="331"/>
      <c r="H12" s="331"/>
      <c r="I12" s="331"/>
      <c r="J12" s="331"/>
      <c r="K12" s="331"/>
      <c r="L12" s="331"/>
      <c r="M12" s="331"/>
    </row>
    <row r="13" spans="1:13" ht="14.4" customHeight="1" x14ac:dyDescent="0.3">
      <c r="A13" s="331">
        <v>1</v>
      </c>
      <c r="B13" s="334">
        <f>IF(ISERROR(HI!F15),#REF!,HI!F15)</f>
        <v>0.34820369331812329</v>
      </c>
      <c r="C13" s="331"/>
      <c r="D13" s="331"/>
      <c r="E13" s="331"/>
      <c r="F13" s="331"/>
      <c r="G13" s="331"/>
      <c r="H13" s="331"/>
      <c r="I13" s="331"/>
      <c r="J13" s="331"/>
      <c r="K13" s="331"/>
      <c r="L13" s="331"/>
      <c r="M13" s="331"/>
    </row>
  </sheetData>
  <mergeCells count="1">
    <mergeCell ref="A1:M1"/>
  </mergeCells>
  <hyperlinks>
    <hyperlink ref="A2" location="Obsah!A1" display="Zpět na Obsah  KL 01  1.-4.měsíc"/>
  </hyperlinks>
  <pageMargins left="0.25" right="0.25" top="0.75" bottom="0.75" header="0.3" footer="0.3"/>
  <pageSetup paperSize="9" orientation="landscape" r:id="rId1"/>
  <ignoredErrors>
    <ignoredError sqref="B4:M4" evalError="1"/>
  </ignoredError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5">
    <tabColor theme="0" tint="-0.249977111117893"/>
    <pageSetUpPr fitToPage="1"/>
  </sheetPr>
  <dimension ref="A1:Q35"/>
  <sheetViews>
    <sheetView showGridLines="0" showRowColHeaders="0" workbookViewId="0">
      <pane xSplit="1" ySplit="5" topLeftCell="B6" activePane="bottomRight" state="frozen"/>
      <selection pane="topRight" activeCell="B1" sqref="B1"/>
      <selection pane="bottomLeft" activeCell="A6" sqref="A6"/>
      <selection pane="bottomRight" sqref="A1:Q1"/>
    </sheetView>
  </sheetViews>
  <sheetFormatPr defaultRowHeight="14.4" customHeight="1" x14ac:dyDescent="0.3"/>
  <cols>
    <col min="1" max="1" width="42" style="257" bestFit="1" customWidth="1"/>
    <col min="2" max="2" width="12.77734375" style="257" bestFit="1" customWidth="1"/>
    <col min="3" max="3" width="13.6640625" style="257" bestFit="1" customWidth="1"/>
    <col min="4" max="15" width="7.77734375" style="257" bestFit="1" customWidth="1"/>
    <col min="16" max="16" width="8.88671875" style="257" customWidth="1"/>
    <col min="17" max="17" width="6.6640625" style="257" bestFit="1" customWidth="1"/>
    <col min="18" max="16384" width="8.88671875" style="257"/>
  </cols>
  <sheetData>
    <row r="1" spans="1:17" s="337" customFormat="1" ht="18.600000000000001" customHeight="1" thickBot="1" x14ac:dyDescent="0.4">
      <c r="A1" s="467" t="s">
        <v>323</v>
      </c>
      <c r="B1" s="467"/>
      <c r="C1" s="467"/>
      <c r="D1" s="467"/>
      <c r="E1" s="467"/>
      <c r="F1" s="467"/>
      <c r="G1" s="467"/>
      <c r="H1" s="458"/>
      <c r="I1" s="458"/>
      <c r="J1" s="458"/>
      <c r="K1" s="458"/>
      <c r="L1" s="458"/>
      <c r="M1" s="458"/>
      <c r="N1" s="458"/>
      <c r="O1" s="458"/>
      <c r="P1" s="458"/>
      <c r="Q1" s="458"/>
    </row>
    <row r="2" spans="1:17" s="337" customFormat="1" ht="14.4" customHeight="1" thickBot="1" x14ac:dyDescent="0.3">
      <c r="A2" s="386" t="s">
        <v>321</v>
      </c>
      <c r="B2" s="338"/>
      <c r="C2" s="338"/>
      <c r="D2" s="338"/>
      <c r="E2" s="338"/>
      <c r="F2" s="338"/>
      <c r="G2" s="338"/>
      <c r="H2" s="338"/>
      <c r="I2" s="338"/>
      <c r="J2" s="338"/>
      <c r="K2" s="338"/>
      <c r="L2" s="338"/>
      <c r="M2" s="338"/>
      <c r="N2" s="338"/>
      <c r="O2" s="338"/>
      <c r="P2" s="338"/>
      <c r="Q2" s="338"/>
    </row>
    <row r="3" spans="1:17" ht="14.4" customHeight="1" x14ac:dyDescent="0.3">
      <c r="A3" s="101"/>
      <c r="B3" s="468" t="s">
        <v>29</v>
      </c>
      <c r="C3" s="469"/>
      <c r="D3" s="469"/>
      <c r="E3" s="469"/>
      <c r="F3" s="469"/>
      <c r="G3" s="469"/>
      <c r="H3" s="469"/>
      <c r="I3" s="469"/>
      <c r="J3" s="469"/>
      <c r="K3" s="469"/>
      <c r="L3" s="469"/>
      <c r="M3" s="469"/>
      <c r="N3" s="469"/>
      <c r="O3" s="469"/>
      <c r="P3" s="266"/>
      <c r="Q3" s="268"/>
    </row>
    <row r="4" spans="1:17" ht="14.4" customHeight="1" x14ac:dyDescent="0.3">
      <c r="A4" s="102"/>
      <c r="B4" s="24">
        <v>2014</v>
      </c>
      <c r="C4" s="267" t="s">
        <v>30</v>
      </c>
      <c r="D4" s="245" t="s">
        <v>210</v>
      </c>
      <c r="E4" s="245" t="s">
        <v>211</v>
      </c>
      <c r="F4" s="245" t="s">
        <v>212</v>
      </c>
      <c r="G4" s="245" t="s">
        <v>213</v>
      </c>
      <c r="H4" s="245" t="s">
        <v>214</v>
      </c>
      <c r="I4" s="245" t="s">
        <v>215</v>
      </c>
      <c r="J4" s="245" t="s">
        <v>216</v>
      </c>
      <c r="K4" s="245" t="s">
        <v>217</v>
      </c>
      <c r="L4" s="245" t="s">
        <v>218</v>
      </c>
      <c r="M4" s="245" t="s">
        <v>219</v>
      </c>
      <c r="N4" s="245" t="s">
        <v>220</v>
      </c>
      <c r="O4" s="245" t="s">
        <v>221</v>
      </c>
      <c r="P4" s="470" t="s">
        <v>3</v>
      </c>
      <c r="Q4" s="471"/>
    </row>
    <row r="5" spans="1:17" ht="14.4" customHeight="1" thickBot="1" x14ac:dyDescent="0.35">
      <c r="A5" s="103"/>
      <c r="B5" s="25" t="s">
        <v>31</v>
      </c>
      <c r="C5" s="26" t="s">
        <v>31</v>
      </c>
      <c r="D5" s="26" t="s">
        <v>32</v>
      </c>
      <c r="E5" s="26" t="s">
        <v>32</v>
      </c>
      <c r="F5" s="26" t="s">
        <v>32</v>
      </c>
      <c r="G5" s="26" t="s">
        <v>32</v>
      </c>
      <c r="H5" s="26" t="s">
        <v>32</v>
      </c>
      <c r="I5" s="26" t="s">
        <v>32</v>
      </c>
      <c r="J5" s="26" t="s">
        <v>32</v>
      </c>
      <c r="K5" s="26" t="s">
        <v>32</v>
      </c>
      <c r="L5" s="26" t="s">
        <v>32</v>
      </c>
      <c r="M5" s="26" t="s">
        <v>32</v>
      </c>
      <c r="N5" s="26" t="s">
        <v>32</v>
      </c>
      <c r="O5" s="26" t="s">
        <v>32</v>
      </c>
      <c r="P5" s="26" t="s">
        <v>32</v>
      </c>
      <c r="Q5" s="27" t="s">
        <v>33</v>
      </c>
    </row>
    <row r="6" spans="1:17" ht="14.4" customHeight="1" x14ac:dyDescent="0.3">
      <c r="A6" s="18" t="s">
        <v>34</v>
      </c>
      <c r="B6" s="52">
        <v>4.9406564584124654E-324</v>
      </c>
      <c r="C6" s="53">
        <v>0</v>
      </c>
      <c r="D6" s="53">
        <v>4.9406564584124654E-324</v>
      </c>
      <c r="E6" s="53">
        <v>4.9406564584124654E-324</v>
      </c>
      <c r="F6" s="53">
        <v>4.9406564584124654E-324</v>
      </c>
      <c r="G6" s="53">
        <v>4.9406564584124654E-324</v>
      </c>
      <c r="H6" s="53">
        <v>4.9406564584124654E-324</v>
      </c>
      <c r="I6" s="53">
        <v>4.9406564584124654E-324</v>
      </c>
      <c r="J6" s="53">
        <v>4.9406564584124654E-324</v>
      </c>
      <c r="K6" s="53">
        <v>4.9406564584124654E-324</v>
      </c>
      <c r="L6" s="53">
        <v>4.9406564584124654E-324</v>
      </c>
      <c r="M6" s="53">
        <v>4.9406564584124654E-324</v>
      </c>
      <c r="N6" s="53">
        <v>4.9406564584124654E-324</v>
      </c>
      <c r="O6" s="53">
        <v>4.9406564584124654E-324</v>
      </c>
      <c r="P6" s="54">
        <v>2.4703282292062327E-323</v>
      </c>
      <c r="Q6" s="188" t="s">
        <v>322</v>
      </c>
    </row>
    <row r="7" spans="1:17" ht="14.4" customHeight="1" x14ac:dyDescent="0.3">
      <c r="A7" s="19" t="s">
        <v>35</v>
      </c>
      <c r="B7" s="55">
        <v>20135.113082543601</v>
      </c>
      <c r="C7" s="56">
        <v>1677.9260902119699</v>
      </c>
      <c r="D7" s="56">
        <v>1269.8815100000099</v>
      </c>
      <c r="E7" s="56">
        <v>1659.9012499999999</v>
      </c>
      <c r="F7" s="56">
        <v>1802.9827700000001</v>
      </c>
      <c r="G7" s="56">
        <v>1647.3807200000001</v>
      </c>
      <c r="H7" s="56">
        <v>1409.3683900000001</v>
      </c>
      <c r="I7" s="56">
        <v>4.9406564584124654E-324</v>
      </c>
      <c r="J7" s="56">
        <v>4.9406564584124654E-324</v>
      </c>
      <c r="K7" s="56">
        <v>4.9406564584124654E-324</v>
      </c>
      <c r="L7" s="56">
        <v>4.9406564584124654E-324</v>
      </c>
      <c r="M7" s="56">
        <v>4.9406564584124654E-324</v>
      </c>
      <c r="N7" s="56">
        <v>4.9406564584124654E-324</v>
      </c>
      <c r="O7" s="56">
        <v>4.9406564584124654E-324</v>
      </c>
      <c r="P7" s="57">
        <v>7789.5146400000103</v>
      </c>
      <c r="Q7" s="189">
        <v>0.92846933907700002</v>
      </c>
    </row>
    <row r="8" spans="1:17" ht="14.4" customHeight="1" x14ac:dyDescent="0.3">
      <c r="A8" s="19" t="s">
        <v>36</v>
      </c>
      <c r="B8" s="55">
        <v>3211.9809685395298</v>
      </c>
      <c r="C8" s="56">
        <v>267.66508071162701</v>
      </c>
      <c r="D8" s="56">
        <v>493.23200000000202</v>
      </c>
      <c r="E8" s="56">
        <v>193.40299999999999</v>
      </c>
      <c r="F8" s="56">
        <v>633.21199999999999</v>
      </c>
      <c r="G8" s="56">
        <v>207.94300000000001</v>
      </c>
      <c r="H8" s="56">
        <v>427.04899999999998</v>
      </c>
      <c r="I8" s="56">
        <v>4.9406564584124654E-324</v>
      </c>
      <c r="J8" s="56">
        <v>4.9406564584124654E-324</v>
      </c>
      <c r="K8" s="56">
        <v>4.9406564584124654E-324</v>
      </c>
      <c r="L8" s="56">
        <v>4.9406564584124654E-324</v>
      </c>
      <c r="M8" s="56">
        <v>4.9406564584124654E-324</v>
      </c>
      <c r="N8" s="56">
        <v>4.9406564584124654E-324</v>
      </c>
      <c r="O8" s="56">
        <v>4.9406564584124654E-324</v>
      </c>
      <c r="P8" s="57">
        <v>1954.8389999999999</v>
      </c>
      <c r="Q8" s="189">
        <v>1.460660460305</v>
      </c>
    </row>
    <row r="9" spans="1:17" ht="14.4" customHeight="1" x14ac:dyDescent="0.3">
      <c r="A9" s="19" t="s">
        <v>37</v>
      </c>
      <c r="B9" s="55">
        <v>11146.3864246945</v>
      </c>
      <c r="C9" s="56">
        <v>928.86553539120905</v>
      </c>
      <c r="D9" s="56">
        <v>855.77774000000397</v>
      </c>
      <c r="E9" s="56">
        <v>811.67990999999995</v>
      </c>
      <c r="F9" s="56">
        <v>821.92953999999997</v>
      </c>
      <c r="G9" s="56">
        <v>924.60711000000003</v>
      </c>
      <c r="H9" s="56">
        <v>945.86393999999996</v>
      </c>
      <c r="I9" s="56">
        <v>4.9406564584124654E-324</v>
      </c>
      <c r="J9" s="56">
        <v>4.9406564584124654E-324</v>
      </c>
      <c r="K9" s="56">
        <v>4.9406564584124654E-324</v>
      </c>
      <c r="L9" s="56">
        <v>4.9406564584124654E-324</v>
      </c>
      <c r="M9" s="56">
        <v>4.9406564584124654E-324</v>
      </c>
      <c r="N9" s="56">
        <v>4.9406564584124654E-324</v>
      </c>
      <c r="O9" s="56">
        <v>4.9406564584124654E-324</v>
      </c>
      <c r="P9" s="57">
        <v>4359.8582399999996</v>
      </c>
      <c r="Q9" s="189">
        <v>0.93874905976800005</v>
      </c>
    </row>
    <row r="10" spans="1:17" ht="14.4" customHeight="1" x14ac:dyDescent="0.3">
      <c r="A10" s="19" t="s">
        <v>38</v>
      </c>
      <c r="B10" s="55">
        <v>46.999834240810003</v>
      </c>
      <c r="C10" s="56">
        <v>3.9166528534</v>
      </c>
      <c r="D10" s="56">
        <v>4.0972</v>
      </c>
      <c r="E10" s="56">
        <v>2.9433699999999998</v>
      </c>
      <c r="F10" s="56">
        <v>3.1846999999999999</v>
      </c>
      <c r="G10" s="56">
        <v>4.0764899999999997</v>
      </c>
      <c r="H10" s="56">
        <v>3.50251</v>
      </c>
      <c r="I10" s="56">
        <v>4.9406564584124654E-324</v>
      </c>
      <c r="J10" s="56">
        <v>4.9406564584124654E-324</v>
      </c>
      <c r="K10" s="56">
        <v>4.9406564584124654E-324</v>
      </c>
      <c r="L10" s="56">
        <v>4.9406564584124654E-324</v>
      </c>
      <c r="M10" s="56">
        <v>4.9406564584124654E-324</v>
      </c>
      <c r="N10" s="56">
        <v>4.9406564584124654E-324</v>
      </c>
      <c r="O10" s="56">
        <v>4.9406564584124654E-324</v>
      </c>
      <c r="P10" s="57">
        <v>17.804269999999999</v>
      </c>
      <c r="Q10" s="189">
        <v>0.90915741917399995</v>
      </c>
    </row>
    <row r="11" spans="1:17" ht="14.4" customHeight="1" x14ac:dyDescent="0.3">
      <c r="A11" s="19" t="s">
        <v>39</v>
      </c>
      <c r="B11" s="55">
        <v>867.72827131386805</v>
      </c>
      <c r="C11" s="56">
        <v>72.310689276155003</v>
      </c>
      <c r="D11" s="56">
        <v>53.832850000000001</v>
      </c>
      <c r="E11" s="56">
        <v>66.259910000000005</v>
      </c>
      <c r="F11" s="56">
        <v>63.143979999999999</v>
      </c>
      <c r="G11" s="56">
        <v>71.651989999999998</v>
      </c>
      <c r="H11" s="56">
        <v>75.615430000000003</v>
      </c>
      <c r="I11" s="56">
        <v>4.9406564584124654E-324</v>
      </c>
      <c r="J11" s="56">
        <v>4.9406564584124654E-324</v>
      </c>
      <c r="K11" s="56">
        <v>4.9406564584124654E-324</v>
      </c>
      <c r="L11" s="56">
        <v>4.9406564584124654E-324</v>
      </c>
      <c r="M11" s="56">
        <v>4.9406564584124654E-324</v>
      </c>
      <c r="N11" s="56">
        <v>4.9406564584124654E-324</v>
      </c>
      <c r="O11" s="56">
        <v>4.9406564584124654E-324</v>
      </c>
      <c r="P11" s="57">
        <v>330.50416000000001</v>
      </c>
      <c r="Q11" s="189">
        <v>0.914122554516</v>
      </c>
    </row>
    <row r="12" spans="1:17" ht="14.4" customHeight="1" x14ac:dyDescent="0.3">
      <c r="A12" s="19" t="s">
        <v>40</v>
      </c>
      <c r="B12" s="55">
        <v>383.305589915322</v>
      </c>
      <c r="C12" s="56">
        <v>31.942132492942999</v>
      </c>
      <c r="D12" s="56">
        <v>61.143720000000002</v>
      </c>
      <c r="E12" s="56">
        <v>45.661769999999997</v>
      </c>
      <c r="F12" s="56">
        <v>38.05538</v>
      </c>
      <c r="G12" s="56">
        <v>52.762180000000001</v>
      </c>
      <c r="H12" s="56">
        <v>5.2390100000000004</v>
      </c>
      <c r="I12" s="56">
        <v>4.9406564584124654E-324</v>
      </c>
      <c r="J12" s="56">
        <v>4.9406564584124654E-324</v>
      </c>
      <c r="K12" s="56">
        <v>4.9406564584124654E-324</v>
      </c>
      <c r="L12" s="56">
        <v>4.9406564584124654E-324</v>
      </c>
      <c r="M12" s="56">
        <v>4.9406564584124654E-324</v>
      </c>
      <c r="N12" s="56">
        <v>4.9406564584124654E-324</v>
      </c>
      <c r="O12" s="56">
        <v>4.9406564584124654E-324</v>
      </c>
      <c r="P12" s="57">
        <v>202.86206000000001</v>
      </c>
      <c r="Q12" s="189">
        <v>1.270184825918</v>
      </c>
    </row>
    <row r="13" spans="1:17" ht="14.4" customHeight="1" x14ac:dyDescent="0.3">
      <c r="A13" s="19" t="s">
        <v>41</v>
      </c>
      <c r="B13" s="55">
        <v>275.16368777954898</v>
      </c>
      <c r="C13" s="56">
        <v>22.930307314962</v>
      </c>
      <c r="D13" s="56">
        <v>20.088539999999998</v>
      </c>
      <c r="E13" s="56">
        <v>24.20599</v>
      </c>
      <c r="F13" s="56">
        <v>22.639510000000001</v>
      </c>
      <c r="G13" s="56">
        <v>22.882290000000001</v>
      </c>
      <c r="H13" s="56">
        <v>20.00422</v>
      </c>
      <c r="I13" s="56">
        <v>4.9406564584124654E-324</v>
      </c>
      <c r="J13" s="56">
        <v>4.9406564584124654E-324</v>
      </c>
      <c r="K13" s="56">
        <v>4.9406564584124654E-324</v>
      </c>
      <c r="L13" s="56">
        <v>4.9406564584124654E-324</v>
      </c>
      <c r="M13" s="56">
        <v>4.9406564584124654E-324</v>
      </c>
      <c r="N13" s="56">
        <v>4.9406564584124654E-324</v>
      </c>
      <c r="O13" s="56">
        <v>4.9406564584124654E-324</v>
      </c>
      <c r="P13" s="57">
        <v>109.82055</v>
      </c>
      <c r="Q13" s="189">
        <v>0.95786374331099999</v>
      </c>
    </row>
    <row r="14" spans="1:17" ht="14.4" customHeight="1" x14ac:dyDescent="0.3">
      <c r="A14" s="19" t="s">
        <v>42</v>
      </c>
      <c r="B14" s="55">
        <v>1702.7321874153899</v>
      </c>
      <c r="C14" s="56">
        <v>141.89434895128301</v>
      </c>
      <c r="D14" s="56">
        <v>199.573000000001</v>
      </c>
      <c r="E14" s="56">
        <v>167.161</v>
      </c>
      <c r="F14" s="56">
        <v>147.30699999999999</v>
      </c>
      <c r="G14" s="56">
        <v>119.506</v>
      </c>
      <c r="H14" s="56">
        <v>99.974999999999994</v>
      </c>
      <c r="I14" s="56">
        <v>4.9406564584124654E-324</v>
      </c>
      <c r="J14" s="56">
        <v>4.9406564584124654E-324</v>
      </c>
      <c r="K14" s="56">
        <v>4.9406564584124654E-324</v>
      </c>
      <c r="L14" s="56">
        <v>4.9406564584124654E-324</v>
      </c>
      <c r="M14" s="56">
        <v>4.9406564584124654E-324</v>
      </c>
      <c r="N14" s="56">
        <v>4.9406564584124654E-324</v>
      </c>
      <c r="O14" s="56">
        <v>4.9406564584124654E-324</v>
      </c>
      <c r="P14" s="57">
        <v>733.52200000000096</v>
      </c>
      <c r="Q14" s="189">
        <v>1.0338988203840001</v>
      </c>
    </row>
    <row r="15" spans="1:17" ht="14.4" customHeight="1" x14ac:dyDescent="0.3">
      <c r="A15" s="19" t="s">
        <v>43</v>
      </c>
      <c r="B15" s="55">
        <v>4.9406564584124654E-324</v>
      </c>
      <c r="C15" s="56">
        <v>0</v>
      </c>
      <c r="D15" s="56">
        <v>4.9406564584124654E-324</v>
      </c>
      <c r="E15" s="56">
        <v>4.9406564584124654E-324</v>
      </c>
      <c r="F15" s="56">
        <v>4.9406564584124654E-324</v>
      </c>
      <c r="G15" s="56">
        <v>4.9406564584124654E-324</v>
      </c>
      <c r="H15" s="56">
        <v>4.9406564584124654E-324</v>
      </c>
      <c r="I15" s="56">
        <v>4.9406564584124654E-324</v>
      </c>
      <c r="J15" s="56">
        <v>4.9406564584124654E-324</v>
      </c>
      <c r="K15" s="56">
        <v>4.9406564584124654E-324</v>
      </c>
      <c r="L15" s="56">
        <v>4.9406564584124654E-324</v>
      </c>
      <c r="M15" s="56">
        <v>4.9406564584124654E-324</v>
      </c>
      <c r="N15" s="56">
        <v>4.9406564584124654E-324</v>
      </c>
      <c r="O15" s="56">
        <v>4.9406564584124654E-324</v>
      </c>
      <c r="P15" s="57">
        <v>2.4703282292062327E-323</v>
      </c>
      <c r="Q15" s="189" t="s">
        <v>322</v>
      </c>
    </row>
    <row r="16" spans="1:17" ht="14.4" customHeight="1" x14ac:dyDescent="0.3">
      <c r="A16" s="19" t="s">
        <v>44</v>
      </c>
      <c r="B16" s="55">
        <v>4.9406564584124654E-324</v>
      </c>
      <c r="C16" s="56">
        <v>0</v>
      </c>
      <c r="D16" s="56">
        <v>4.9406564584124654E-324</v>
      </c>
      <c r="E16" s="56">
        <v>4.9406564584124654E-324</v>
      </c>
      <c r="F16" s="56">
        <v>4.9406564584124654E-324</v>
      </c>
      <c r="G16" s="56">
        <v>4.9406564584124654E-324</v>
      </c>
      <c r="H16" s="56">
        <v>4.9406564584124654E-324</v>
      </c>
      <c r="I16" s="56">
        <v>4.9406564584124654E-324</v>
      </c>
      <c r="J16" s="56">
        <v>4.9406564584124654E-324</v>
      </c>
      <c r="K16" s="56">
        <v>4.9406564584124654E-324</v>
      </c>
      <c r="L16" s="56">
        <v>4.9406564584124654E-324</v>
      </c>
      <c r="M16" s="56">
        <v>4.9406564584124654E-324</v>
      </c>
      <c r="N16" s="56">
        <v>4.9406564584124654E-324</v>
      </c>
      <c r="O16" s="56">
        <v>4.9406564584124654E-324</v>
      </c>
      <c r="P16" s="57">
        <v>2.4703282292062327E-323</v>
      </c>
      <c r="Q16" s="189" t="s">
        <v>322</v>
      </c>
    </row>
    <row r="17" spans="1:17" ht="14.4" customHeight="1" x14ac:dyDescent="0.3">
      <c r="A17" s="19" t="s">
        <v>45</v>
      </c>
      <c r="B17" s="55">
        <v>1262.1686412359199</v>
      </c>
      <c r="C17" s="56">
        <v>105.180720102994</v>
      </c>
      <c r="D17" s="56">
        <v>20.033149999999999</v>
      </c>
      <c r="E17" s="56">
        <v>96.823149999999998</v>
      </c>
      <c r="F17" s="56">
        <v>67.126710000000003</v>
      </c>
      <c r="G17" s="56">
        <v>169.05709999999999</v>
      </c>
      <c r="H17" s="56">
        <v>122.5538</v>
      </c>
      <c r="I17" s="56">
        <v>4.9406564584124654E-324</v>
      </c>
      <c r="J17" s="56">
        <v>4.9406564584124654E-324</v>
      </c>
      <c r="K17" s="56">
        <v>4.9406564584124654E-324</v>
      </c>
      <c r="L17" s="56">
        <v>4.9406564584124654E-324</v>
      </c>
      <c r="M17" s="56">
        <v>4.9406564584124654E-324</v>
      </c>
      <c r="N17" s="56">
        <v>4.9406564584124654E-324</v>
      </c>
      <c r="O17" s="56">
        <v>4.9406564584124654E-324</v>
      </c>
      <c r="P17" s="57">
        <v>475.59390999999999</v>
      </c>
      <c r="Q17" s="189">
        <v>0.90433666842000004</v>
      </c>
    </row>
    <row r="18" spans="1:17" ht="14.4" customHeight="1" x14ac:dyDescent="0.3">
      <c r="A18" s="19" t="s">
        <v>46</v>
      </c>
      <c r="B18" s="55">
        <v>0</v>
      </c>
      <c r="C18" s="56">
        <v>0</v>
      </c>
      <c r="D18" s="56">
        <v>10.311</v>
      </c>
      <c r="E18" s="56">
        <v>7.8360000000000003</v>
      </c>
      <c r="F18" s="56">
        <v>3.294</v>
      </c>
      <c r="G18" s="56">
        <v>3.2519999999999998</v>
      </c>
      <c r="H18" s="56">
        <v>16.765000000000001</v>
      </c>
      <c r="I18" s="56">
        <v>4.9406564584124654E-324</v>
      </c>
      <c r="J18" s="56">
        <v>4.9406564584124654E-324</v>
      </c>
      <c r="K18" s="56">
        <v>4.9406564584124654E-324</v>
      </c>
      <c r="L18" s="56">
        <v>4.9406564584124654E-324</v>
      </c>
      <c r="M18" s="56">
        <v>4.9406564584124654E-324</v>
      </c>
      <c r="N18" s="56">
        <v>4.9406564584124654E-324</v>
      </c>
      <c r="O18" s="56">
        <v>4.9406564584124654E-324</v>
      </c>
      <c r="P18" s="57">
        <v>41.457999999999998</v>
      </c>
      <c r="Q18" s="189" t="s">
        <v>322</v>
      </c>
    </row>
    <row r="19" spans="1:17" ht="14.4" customHeight="1" x14ac:dyDescent="0.3">
      <c r="A19" s="19" t="s">
        <v>47</v>
      </c>
      <c r="B19" s="55">
        <v>3321.8828778491302</v>
      </c>
      <c r="C19" s="56">
        <v>276.82357315409399</v>
      </c>
      <c r="D19" s="56">
        <v>84.77431</v>
      </c>
      <c r="E19" s="56">
        <v>84.964370000000002</v>
      </c>
      <c r="F19" s="56">
        <v>161.14628999999999</v>
      </c>
      <c r="G19" s="56">
        <v>118.07968</v>
      </c>
      <c r="H19" s="56">
        <v>304.63603000000001</v>
      </c>
      <c r="I19" s="56">
        <v>4.9406564584124654E-324</v>
      </c>
      <c r="J19" s="56">
        <v>4.9406564584124654E-324</v>
      </c>
      <c r="K19" s="56">
        <v>4.9406564584124654E-324</v>
      </c>
      <c r="L19" s="56">
        <v>4.9406564584124654E-324</v>
      </c>
      <c r="M19" s="56">
        <v>4.9406564584124654E-324</v>
      </c>
      <c r="N19" s="56">
        <v>4.9406564584124654E-324</v>
      </c>
      <c r="O19" s="56">
        <v>4.9406564584124654E-324</v>
      </c>
      <c r="P19" s="57">
        <v>753.60068000000001</v>
      </c>
      <c r="Q19" s="189">
        <v>0.54446279369399997</v>
      </c>
    </row>
    <row r="20" spans="1:17" ht="14.4" customHeight="1" x14ac:dyDescent="0.3">
      <c r="A20" s="19" t="s">
        <v>48</v>
      </c>
      <c r="B20" s="55">
        <v>96278.473633319198</v>
      </c>
      <c r="C20" s="56">
        <v>8023.2061361099304</v>
      </c>
      <c r="D20" s="56">
        <v>8194.0997500000394</v>
      </c>
      <c r="E20" s="56">
        <v>7905.5093999999999</v>
      </c>
      <c r="F20" s="56">
        <v>8261.7717400000001</v>
      </c>
      <c r="G20" s="56">
        <v>8626.2637099999993</v>
      </c>
      <c r="H20" s="56">
        <v>8561.5674199999994</v>
      </c>
      <c r="I20" s="56">
        <v>4.9406564584124654E-324</v>
      </c>
      <c r="J20" s="56">
        <v>4.9406564584124654E-324</v>
      </c>
      <c r="K20" s="56">
        <v>4.9406564584124654E-324</v>
      </c>
      <c r="L20" s="56">
        <v>4.9406564584124654E-324</v>
      </c>
      <c r="M20" s="56">
        <v>4.9406564584124654E-324</v>
      </c>
      <c r="N20" s="56">
        <v>4.9406564584124654E-324</v>
      </c>
      <c r="O20" s="56">
        <v>4.9406564584124654E-324</v>
      </c>
      <c r="P20" s="57">
        <v>41549.212019999999</v>
      </c>
      <c r="Q20" s="189">
        <v>1.035725900971</v>
      </c>
    </row>
    <row r="21" spans="1:17" ht="14.4" customHeight="1" x14ac:dyDescent="0.3">
      <c r="A21" s="20" t="s">
        <v>49</v>
      </c>
      <c r="B21" s="55">
        <v>7680.9827214534698</v>
      </c>
      <c r="C21" s="56">
        <v>640.08189345445601</v>
      </c>
      <c r="D21" s="56">
        <v>740.44000000000403</v>
      </c>
      <c r="E21" s="56">
        <v>741.61400000000003</v>
      </c>
      <c r="F21" s="56">
        <v>677.80899999999997</v>
      </c>
      <c r="G21" s="56">
        <v>653.60900000000004</v>
      </c>
      <c r="H21" s="56">
        <v>653.59900000000005</v>
      </c>
      <c r="I21" s="56">
        <v>1.4821969375237396E-323</v>
      </c>
      <c r="J21" s="56">
        <v>1.4821969375237396E-323</v>
      </c>
      <c r="K21" s="56">
        <v>1.4821969375237396E-323</v>
      </c>
      <c r="L21" s="56">
        <v>1.4821969375237396E-323</v>
      </c>
      <c r="M21" s="56">
        <v>1.4821969375237396E-323</v>
      </c>
      <c r="N21" s="56">
        <v>1.4821969375237396E-323</v>
      </c>
      <c r="O21" s="56">
        <v>1.4821969375237396E-323</v>
      </c>
      <c r="P21" s="57">
        <v>3467.0709999999999</v>
      </c>
      <c r="Q21" s="189">
        <v>1.0833210673360001</v>
      </c>
    </row>
    <row r="22" spans="1:17" ht="14.4" customHeight="1" x14ac:dyDescent="0.3">
      <c r="A22" s="19" t="s">
        <v>50</v>
      </c>
      <c r="B22" s="55">
        <v>0</v>
      </c>
      <c r="C22" s="56">
        <v>0</v>
      </c>
      <c r="D22" s="56">
        <v>3.7509999999999999</v>
      </c>
      <c r="E22" s="56">
        <v>4.9406564584124654E-324</v>
      </c>
      <c r="F22" s="56">
        <v>4.9406564584124654E-324</v>
      </c>
      <c r="G22" s="56">
        <v>12.081849999999999</v>
      </c>
      <c r="H22" s="56">
        <v>3.9809000000000001</v>
      </c>
      <c r="I22" s="56">
        <v>4.9406564584124654E-324</v>
      </c>
      <c r="J22" s="56">
        <v>4.9406564584124654E-324</v>
      </c>
      <c r="K22" s="56">
        <v>4.9406564584124654E-324</v>
      </c>
      <c r="L22" s="56">
        <v>4.9406564584124654E-324</v>
      </c>
      <c r="M22" s="56">
        <v>4.9406564584124654E-324</v>
      </c>
      <c r="N22" s="56">
        <v>4.9406564584124654E-324</v>
      </c>
      <c r="O22" s="56">
        <v>4.9406564584124654E-324</v>
      </c>
      <c r="P22" s="57">
        <v>19.813749999999999</v>
      </c>
      <c r="Q22" s="189" t="s">
        <v>322</v>
      </c>
    </row>
    <row r="23" spans="1:17" ht="14.4" customHeight="1" x14ac:dyDescent="0.3">
      <c r="A23" s="20" t="s">
        <v>51</v>
      </c>
      <c r="B23" s="55">
        <v>1.9762625833649862E-323</v>
      </c>
      <c r="C23" s="56">
        <v>0</v>
      </c>
      <c r="D23" s="56">
        <v>1.9762625833649862E-323</v>
      </c>
      <c r="E23" s="56">
        <v>1.9762625833649862E-323</v>
      </c>
      <c r="F23" s="56">
        <v>1.9762625833649862E-323</v>
      </c>
      <c r="G23" s="56">
        <v>1.9762625833649862E-323</v>
      </c>
      <c r="H23" s="56">
        <v>1.9762625833649862E-323</v>
      </c>
      <c r="I23" s="56">
        <v>1.9762625833649862E-323</v>
      </c>
      <c r="J23" s="56">
        <v>1.9762625833649862E-323</v>
      </c>
      <c r="K23" s="56">
        <v>1.9762625833649862E-323</v>
      </c>
      <c r="L23" s="56">
        <v>1.9762625833649862E-323</v>
      </c>
      <c r="M23" s="56">
        <v>1.9762625833649862E-323</v>
      </c>
      <c r="N23" s="56">
        <v>1.9762625833649862E-323</v>
      </c>
      <c r="O23" s="56">
        <v>1.9762625833649862E-323</v>
      </c>
      <c r="P23" s="57">
        <v>9.8813129168249309E-323</v>
      </c>
      <c r="Q23" s="189" t="s">
        <v>322</v>
      </c>
    </row>
    <row r="24" spans="1:17" ht="14.4" customHeight="1" x14ac:dyDescent="0.3">
      <c r="A24" s="20" t="s">
        <v>52</v>
      </c>
      <c r="B24" s="55">
        <v>0</v>
      </c>
      <c r="C24" s="56">
        <v>0</v>
      </c>
      <c r="D24" s="56">
        <v>9.625179999997</v>
      </c>
      <c r="E24" s="56">
        <v>24.909410000002001</v>
      </c>
      <c r="F24" s="56">
        <v>0.10051000000300001</v>
      </c>
      <c r="G24" s="56">
        <v>13.653999999996</v>
      </c>
      <c r="H24" s="56">
        <v>12.957670000003001</v>
      </c>
      <c r="I24" s="56">
        <v>-1.0869444208507424E-322</v>
      </c>
      <c r="J24" s="56">
        <v>-1.0869444208507424E-322</v>
      </c>
      <c r="K24" s="56">
        <v>-1.0869444208507424E-322</v>
      </c>
      <c r="L24" s="56">
        <v>-1.0869444208507424E-322</v>
      </c>
      <c r="M24" s="56">
        <v>-1.0869444208507424E-322</v>
      </c>
      <c r="N24" s="56">
        <v>-1.0869444208507424E-322</v>
      </c>
      <c r="O24" s="56">
        <v>-1.0869444208507424E-322</v>
      </c>
      <c r="P24" s="57">
        <v>61.246770000003004</v>
      </c>
      <c r="Q24" s="189"/>
    </row>
    <row r="25" spans="1:17" ht="14.4" customHeight="1" x14ac:dyDescent="0.3">
      <c r="A25" s="21" t="s">
        <v>53</v>
      </c>
      <c r="B25" s="58">
        <v>146312.91792030001</v>
      </c>
      <c r="C25" s="59">
        <v>12192.743160025</v>
      </c>
      <c r="D25" s="59">
        <v>12020.6609500001</v>
      </c>
      <c r="E25" s="59">
        <v>11832.872530000001</v>
      </c>
      <c r="F25" s="59">
        <v>12703.70313</v>
      </c>
      <c r="G25" s="59">
        <v>12646.807119999999</v>
      </c>
      <c r="H25" s="59">
        <v>12662.677320000001</v>
      </c>
      <c r="I25" s="59">
        <v>4.9406564584124654E-324</v>
      </c>
      <c r="J25" s="59">
        <v>4.9406564584124654E-324</v>
      </c>
      <c r="K25" s="59">
        <v>4.9406564584124654E-324</v>
      </c>
      <c r="L25" s="59">
        <v>4.9406564584124654E-324</v>
      </c>
      <c r="M25" s="59">
        <v>4.9406564584124654E-324</v>
      </c>
      <c r="N25" s="59">
        <v>4.9406564584124654E-324</v>
      </c>
      <c r="O25" s="59">
        <v>4.9406564584124654E-324</v>
      </c>
      <c r="P25" s="60">
        <v>61866.721050000102</v>
      </c>
      <c r="Q25" s="190">
        <v>1.0148121753729999</v>
      </c>
    </row>
    <row r="26" spans="1:17" ht="14.4" customHeight="1" x14ac:dyDescent="0.3">
      <c r="A26" s="19" t="s">
        <v>54</v>
      </c>
      <c r="B26" s="55">
        <v>12483.006095832199</v>
      </c>
      <c r="C26" s="56">
        <v>1040.25050798601</v>
      </c>
      <c r="D26" s="56">
        <v>1251.42716</v>
      </c>
      <c r="E26" s="56">
        <v>1137.45534</v>
      </c>
      <c r="F26" s="56">
        <v>1281.0322900000001</v>
      </c>
      <c r="G26" s="56">
        <v>1173.46693</v>
      </c>
      <c r="H26" s="56">
        <v>1264.27955</v>
      </c>
      <c r="I26" s="56">
        <v>4.9406564584124654E-324</v>
      </c>
      <c r="J26" s="56">
        <v>4.9406564584124654E-324</v>
      </c>
      <c r="K26" s="56">
        <v>4.9406564584124654E-324</v>
      </c>
      <c r="L26" s="56">
        <v>4.9406564584124654E-324</v>
      </c>
      <c r="M26" s="56">
        <v>4.9406564584124654E-324</v>
      </c>
      <c r="N26" s="56">
        <v>4.9406564584124654E-324</v>
      </c>
      <c r="O26" s="56">
        <v>4.9406564584124654E-324</v>
      </c>
      <c r="P26" s="57">
        <v>6107.6612699999996</v>
      </c>
      <c r="Q26" s="189">
        <v>1.1742673948460001</v>
      </c>
    </row>
    <row r="27" spans="1:17" ht="14.4" customHeight="1" x14ac:dyDescent="0.3">
      <c r="A27" s="22" t="s">
        <v>55</v>
      </c>
      <c r="B27" s="58">
        <v>158795.92401613199</v>
      </c>
      <c r="C27" s="59">
        <v>13232.993668011</v>
      </c>
      <c r="D27" s="59">
        <v>13272.088110000101</v>
      </c>
      <c r="E27" s="59">
        <v>12970.327869999999</v>
      </c>
      <c r="F27" s="59">
        <v>13984.735420000001</v>
      </c>
      <c r="G27" s="59">
        <v>13820.27405</v>
      </c>
      <c r="H27" s="59">
        <v>13926.95687</v>
      </c>
      <c r="I27" s="59">
        <v>9.8813129168249309E-324</v>
      </c>
      <c r="J27" s="59">
        <v>9.8813129168249309E-324</v>
      </c>
      <c r="K27" s="59">
        <v>9.8813129168249309E-324</v>
      </c>
      <c r="L27" s="59">
        <v>9.8813129168249309E-324</v>
      </c>
      <c r="M27" s="59">
        <v>9.8813129168249309E-324</v>
      </c>
      <c r="N27" s="59">
        <v>9.8813129168249309E-324</v>
      </c>
      <c r="O27" s="59">
        <v>9.8813129168249309E-324</v>
      </c>
      <c r="P27" s="60">
        <v>67974.382320000106</v>
      </c>
      <c r="Q27" s="190">
        <v>1.0273470089279999</v>
      </c>
    </row>
    <row r="28" spans="1:17" ht="14.4" customHeight="1" x14ac:dyDescent="0.3">
      <c r="A28" s="20" t="s">
        <v>56</v>
      </c>
      <c r="B28" s="55">
        <v>643.47232920274098</v>
      </c>
      <c r="C28" s="56">
        <v>53.622694100228003</v>
      </c>
      <c r="D28" s="56">
        <v>29.423549999999999</v>
      </c>
      <c r="E28" s="56">
        <v>40.17653</v>
      </c>
      <c r="F28" s="56">
        <v>38.084780000000002</v>
      </c>
      <c r="G28" s="56">
        <v>34.923279999999998</v>
      </c>
      <c r="H28" s="56">
        <v>29.974419999999999</v>
      </c>
      <c r="I28" s="56">
        <v>1.2351641146031164E-322</v>
      </c>
      <c r="J28" s="56">
        <v>1.2351641146031164E-322</v>
      </c>
      <c r="K28" s="56">
        <v>1.2351641146031164E-322</v>
      </c>
      <c r="L28" s="56">
        <v>1.2351641146031164E-322</v>
      </c>
      <c r="M28" s="56">
        <v>1.2351641146031164E-322</v>
      </c>
      <c r="N28" s="56">
        <v>1.2351641146031164E-322</v>
      </c>
      <c r="O28" s="56">
        <v>1.2351641146031164E-322</v>
      </c>
      <c r="P28" s="57">
        <v>172.58256</v>
      </c>
      <c r="Q28" s="189">
        <v>0.64369223850400004</v>
      </c>
    </row>
    <row r="29" spans="1:17" ht="14.4" customHeight="1" x14ac:dyDescent="0.3">
      <c r="A29" s="20" t="s">
        <v>57</v>
      </c>
      <c r="B29" s="55">
        <v>9.8813129168249309E-324</v>
      </c>
      <c r="C29" s="56">
        <v>0</v>
      </c>
      <c r="D29" s="56">
        <v>9.8813129168249309E-324</v>
      </c>
      <c r="E29" s="56">
        <v>9.8813129168249309E-324</v>
      </c>
      <c r="F29" s="56">
        <v>9.8813129168249309E-324</v>
      </c>
      <c r="G29" s="56">
        <v>9.8813129168249309E-324</v>
      </c>
      <c r="H29" s="56">
        <v>9.8813129168249309E-324</v>
      </c>
      <c r="I29" s="56">
        <v>9.8813129168249309E-324</v>
      </c>
      <c r="J29" s="56">
        <v>9.8813129168249309E-324</v>
      </c>
      <c r="K29" s="56">
        <v>9.8813129168249309E-324</v>
      </c>
      <c r="L29" s="56">
        <v>9.8813129168249309E-324</v>
      </c>
      <c r="M29" s="56">
        <v>9.8813129168249309E-324</v>
      </c>
      <c r="N29" s="56">
        <v>9.8813129168249309E-324</v>
      </c>
      <c r="O29" s="56">
        <v>9.8813129168249309E-324</v>
      </c>
      <c r="P29" s="57">
        <v>4.9406564584124654E-323</v>
      </c>
      <c r="Q29" s="189" t="s">
        <v>322</v>
      </c>
    </row>
    <row r="30" spans="1:17" ht="14.4" customHeight="1" x14ac:dyDescent="0.3">
      <c r="A30" s="20" t="s">
        <v>58</v>
      </c>
      <c r="B30" s="55">
        <v>4.9406564584124654E-323</v>
      </c>
      <c r="C30" s="56">
        <v>0</v>
      </c>
      <c r="D30" s="56">
        <v>4.9406564584124654E-323</v>
      </c>
      <c r="E30" s="56">
        <v>4.9406564584124654E-323</v>
      </c>
      <c r="F30" s="56">
        <v>4.9406564584124654E-323</v>
      </c>
      <c r="G30" s="56">
        <v>4.9406564584124654E-323</v>
      </c>
      <c r="H30" s="56">
        <v>4.9406564584124654E-323</v>
      </c>
      <c r="I30" s="56">
        <v>4.9406564584124654E-323</v>
      </c>
      <c r="J30" s="56">
        <v>4.9406564584124654E-323</v>
      </c>
      <c r="K30" s="56">
        <v>4.9406564584124654E-323</v>
      </c>
      <c r="L30" s="56">
        <v>4.9406564584124654E-323</v>
      </c>
      <c r="M30" s="56">
        <v>4.9406564584124654E-323</v>
      </c>
      <c r="N30" s="56">
        <v>4.9406564584124654E-323</v>
      </c>
      <c r="O30" s="56">
        <v>4.9406564584124654E-323</v>
      </c>
      <c r="P30" s="57">
        <v>2.4703282292062327E-322</v>
      </c>
      <c r="Q30" s="189">
        <v>0</v>
      </c>
    </row>
    <row r="31" spans="1:17" ht="14.4" customHeight="1" thickBot="1" x14ac:dyDescent="0.35">
      <c r="A31" s="23" t="s">
        <v>59</v>
      </c>
      <c r="B31" s="61">
        <v>1.9762625833649862E-323</v>
      </c>
      <c r="C31" s="62">
        <v>0</v>
      </c>
      <c r="D31" s="62">
        <v>2.4703282292062327E-323</v>
      </c>
      <c r="E31" s="62">
        <v>2.4703282292062327E-323</v>
      </c>
      <c r="F31" s="62">
        <v>2.4703282292062327E-323</v>
      </c>
      <c r="G31" s="62">
        <v>2.4703282292062327E-323</v>
      </c>
      <c r="H31" s="62">
        <v>2.4703282292062327E-323</v>
      </c>
      <c r="I31" s="62">
        <v>2.4703282292062327E-323</v>
      </c>
      <c r="J31" s="62">
        <v>2.4703282292062327E-323</v>
      </c>
      <c r="K31" s="62">
        <v>2.4703282292062327E-323</v>
      </c>
      <c r="L31" s="62">
        <v>2.4703282292062327E-323</v>
      </c>
      <c r="M31" s="62">
        <v>2.4703282292062327E-323</v>
      </c>
      <c r="N31" s="62">
        <v>2.4703282292062327E-323</v>
      </c>
      <c r="O31" s="62">
        <v>2.4703282292062327E-323</v>
      </c>
      <c r="P31" s="63">
        <v>1.2351641146031164E-322</v>
      </c>
      <c r="Q31" s="191" t="s">
        <v>322</v>
      </c>
    </row>
    <row r="32" spans="1:17" ht="14.4" customHeight="1" x14ac:dyDescent="0.3">
      <c r="B32" s="258"/>
      <c r="C32" s="258"/>
      <c r="D32" s="258"/>
      <c r="E32" s="258"/>
      <c r="F32" s="258"/>
      <c r="G32" s="258"/>
      <c r="H32" s="258"/>
      <c r="I32" s="258"/>
      <c r="J32" s="258"/>
      <c r="K32" s="258"/>
      <c r="L32" s="258"/>
      <c r="M32" s="258"/>
      <c r="N32" s="258"/>
      <c r="O32" s="258"/>
      <c r="P32" s="258"/>
      <c r="Q32" s="258"/>
    </row>
    <row r="33" spans="1:17" ht="14.4" customHeight="1" x14ac:dyDescent="0.3">
      <c r="A33" s="229" t="s">
        <v>203</v>
      </c>
      <c r="B33" s="259"/>
      <c r="C33" s="259"/>
      <c r="D33" s="259"/>
      <c r="E33" s="259"/>
      <c r="F33" s="259"/>
      <c r="G33" s="259"/>
      <c r="H33" s="259"/>
      <c r="I33" s="259"/>
      <c r="J33" s="259"/>
      <c r="K33" s="259"/>
      <c r="L33" s="259"/>
      <c r="M33" s="259"/>
      <c r="N33" s="259"/>
      <c r="O33" s="259"/>
      <c r="P33" s="259"/>
      <c r="Q33" s="259"/>
    </row>
    <row r="34" spans="1:17" ht="14.4" customHeight="1" x14ac:dyDescent="0.3">
      <c r="A34" s="263" t="s">
        <v>235</v>
      </c>
      <c r="B34" s="259"/>
      <c r="C34" s="259"/>
      <c r="D34" s="259"/>
      <c r="E34" s="259"/>
      <c r="F34" s="259"/>
      <c r="G34" s="259"/>
      <c r="H34" s="259"/>
      <c r="I34" s="259"/>
      <c r="J34" s="259"/>
      <c r="K34" s="259"/>
      <c r="L34" s="259"/>
      <c r="M34" s="259"/>
      <c r="N34" s="259"/>
      <c r="O34" s="259"/>
      <c r="P34" s="259"/>
      <c r="Q34" s="259"/>
    </row>
    <row r="35" spans="1:17" ht="14.4" customHeight="1" x14ac:dyDescent="0.3">
      <c r="A35" s="264" t="s">
        <v>60</v>
      </c>
      <c r="B35" s="259"/>
      <c r="C35" s="259"/>
      <c r="D35" s="259"/>
      <c r="E35" s="259"/>
      <c r="F35" s="259"/>
      <c r="G35" s="259"/>
      <c r="H35" s="259"/>
      <c r="I35" s="259"/>
      <c r="J35" s="259"/>
      <c r="K35" s="259"/>
      <c r="L35" s="259"/>
      <c r="M35" s="259"/>
      <c r="N35" s="259"/>
      <c r="O35" s="259"/>
      <c r="P35" s="259"/>
      <c r="Q35" s="259"/>
    </row>
  </sheetData>
  <autoFilter ref="A5:A31"/>
  <mergeCells count="3">
    <mergeCell ref="A1:Q1"/>
    <mergeCell ref="B3:O3"/>
    <mergeCell ref="P4:Q4"/>
  </mergeCells>
  <hyperlinks>
    <hyperlink ref="A2" location="Obsah!A1" display="Zpět na Obsah  KL 01  1.-4.měsíc"/>
  </hyperlinks>
  <pageMargins left="0.25" right="0.25" top="0.75" bottom="0.75" header="0.3" footer="0.3"/>
  <pageSetup paperSize="9" scale="81" fitToHeight="0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6">
    <tabColor theme="0" tint="-0.249977111117893"/>
    <pageSetUpPr fitToPage="1"/>
  </sheetPr>
  <dimension ref="A1:K233"/>
  <sheetViews>
    <sheetView showGridLines="0" showRowColHeaders="0" workbookViewId="0">
      <pane xSplit="1" ySplit="5" topLeftCell="B6" activePane="bottomRight" state="frozen"/>
      <selection pane="topRight" activeCell="B1" sqref="B1"/>
      <selection pane="bottomLeft" activeCell="A6" sqref="A6"/>
      <selection pane="bottomRight" sqref="A1:K1"/>
    </sheetView>
  </sheetViews>
  <sheetFormatPr defaultRowHeight="14.4" customHeight="1" x14ac:dyDescent="0.3"/>
  <cols>
    <col min="1" max="1" width="50" style="257" customWidth="1"/>
    <col min="2" max="11" width="10" style="257" customWidth="1"/>
    <col min="12" max="16384" width="8.88671875" style="257"/>
  </cols>
  <sheetData>
    <row r="1" spans="1:11" s="64" customFormat="1" ht="18.600000000000001" customHeight="1" thickBot="1" x14ac:dyDescent="0.4">
      <c r="A1" s="467" t="s">
        <v>61</v>
      </c>
      <c r="B1" s="467"/>
      <c r="C1" s="467"/>
      <c r="D1" s="467"/>
      <c r="E1" s="467"/>
      <c r="F1" s="467"/>
      <c r="G1" s="467"/>
      <c r="H1" s="472"/>
      <c r="I1" s="472"/>
      <c r="J1" s="472"/>
      <c r="K1" s="472"/>
    </row>
    <row r="2" spans="1:11" s="64" customFormat="1" ht="14.4" customHeight="1" thickBot="1" x14ac:dyDescent="0.35">
      <c r="A2" s="386" t="s">
        <v>321</v>
      </c>
      <c r="B2" s="65"/>
      <c r="C2" s="65"/>
      <c r="D2" s="65"/>
      <c r="E2" s="65"/>
      <c r="F2" s="65"/>
      <c r="G2" s="65"/>
      <c r="H2" s="65"/>
      <c r="I2" s="65"/>
      <c r="J2" s="65"/>
      <c r="K2" s="65"/>
    </row>
    <row r="3" spans="1:11" ht="14.4" customHeight="1" x14ac:dyDescent="0.3">
      <c r="A3" s="101"/>
      <c r="B3" s="468" t="s">
        <v>62</v>
      </c>
      <c r="C3" s="469"/>
      <c r="D3" s="469"/>
      <c r="E3" s="469"/>
      <c r="F3" s="475" t="s">
        <v>63</v>
      </c>
      <c r="G3" s="469"/>
      <c r="H3" s="469"/>
      <c r="I3" s="469"/>
      <c r="J3" s="469"/>
      <c r="K3" s="476"/>
    </row>
    <row r="4" spans="1:11" ht="14.4" customHeight="1" x14ac:dyDescent="0.3">
      <c r="A4" s="102"/>
      <c r="B4" s="473"/>
      <c r="C4" s="474"/>
      <c r="D4" s="474"/>
      <c r="E4" s="474"/>
      <c r="F4" s="477" t="s">
        <v>226</v>
      </c>
      <c r="G4" s="479" t="s">
        <v>64</v>
      </c>
      <c r="H4" s="269" t="s">
        <v>184</v>
      </c>
      <c r="I4" s="477" t="s">
        <v>65</v>
      </c>
      <c r="J4" s="479" t="s">
        <v>228</v>
      </c>
      <c r="K4" s="480" t="s">
        <v>229</v>
      </c>
    </row>
    <row r="5" spans="1:11" ht="42" thickBot="1" x14ac:dyDescent="0.35">
      <c r="A5" s="103"/>
      <c r="B5" s="28" t="s">
        <v>222</v>
      </c>
      <c r="C5" s="29" t="s">
        <v>223</v>
      </c>
      <c r="D5" s="30" t="s">
        <v>224</v>
      </c>
      <c r="E5" s="30" t="s">
        <v>225</v>
      </c>
      <c r="F5" s="478"/>
      <c r="G5" s="478"/>
      <c r="H5" s="29" t="s">
        <v>227</v>
      </c>
      <c r="I5" s="478"/>
      <c r="J5" s="478"/>
      <c r="K5" s="481"/>
    </row>
    <row r="6" spans="1:11" ht="14.4" customHeight="1" thickBot="1" x14ac:dyDescent="0.35">
      <c r="A6" s="603" t="s">
        <v>324</v>
      </c>
      <c r="B6" s="585">
        <v>140730.33315249599</v>
      </c>
      <c r="C6" s="585">
        <v>150741.92963</v>
      </c>
      <c r="D6" s="586">
        <v>10011.596477503601</v>
      </c>
      <c r="E6" s="587">
        <v>1.0711402883309999</v>
      </c>
      <c r="F6" s="585">
        <v>146312.91792030001</v>
      </c>
      <c r="G6" s="586">
        <v>60963.715800125101</v>
      </c>
      <c r="H6" s="588">
        <v>12662.677320000001</v>
      </c>
      <c r="I6" s="585">
        <v>61866.721050000102</v>
      </c>
      <c r="J6" s="586">
        <v>903.00524987494998</v>
      </c>
      <c r="K6" s="589">
        <v>0.42283840640499998</v>
      </c>
    </row>
    <row r="7" spans="1:11" ht="14.4" customHeight="1" thickBot="1" x14ac:dyDescent="0.35">
      <c r="A7" s="604" t="s">
        <v>325</v>
      </c>
      <c r="B7" s="585">
        <v>41414.778861752697</v>
      </c>
      <c r="C7" s="585">
        <v>38125.191879999998</v>
      </c>
      <c r="D7" s="586">
        <v>-3289.58698175263</v>
      </c>
      <c r="E7" s="587">
        <v>0.92056973205699999</v>
      </c>
      <c r="F7" s="585">
        <v>37769.410046442601</v>
      </c>
      <c r="G7" s="586">
        <v>15737.254186017701</v>
      </c>
      <c r="H7" s="588">
        <v>2986.6201700000001</v>
      </c>
      <c r="I7" s="585">
        <v>15498.73194</v>
      </c>
      <c r="J7" s="586">
        <v>-238.52224601772099</v>
      </c>
      <c r="K7" s="589">
        <v>0.41035144369299997</v>
      </c>
    </row>
    <row r="8" spans="1:11" ht="14.4" customHeight="1" thickBot="1" x14ac:dyDescent="0.35">
      <c r="A8" s="605" t="s">
        <v>326</v>
      </c>
      <c r="B8" s="585">
        <v>39811.200020169003</v>
      </c>
      <c r="C8" s="585">
        <v>36426.798880000002</v>
      </c>
      <c r="D8" s="586">
        <v>-3384.40114016899</v>
      </c>
      <c r="E8" s="587">
        <v>0.91498871828799999</v>
      </c>
      <c r="F8" s="585">
        <v>36066.677859027201</v>
      </c>
      <c r="G8" s="586">
        <v>15027.782441261301</v>
      </c>
      <c r="H8" s="588">
        <v>2886.6451699999998</v>
      </c>
      <c r="I8" s="585">
        <v>14765.209940000001</v>
      </c>
      <c r="J8" s="586">
        <v>-262.57250126130401</v>
      </c>
      <c r="K8" s="589">
        <v>0.40938647018399998</v>
      </c>
    </row>
    <row r="9" spans="1:11" ht="14.4" customHeight="1" thickBot="1" x14ac:dyDescent="0.35">
      <c r="A9" s="606" t="s">
        <v>327</v>
      </c>
      <c r="B9" s="590">
        <v>4.9406564584124654E-324</v>
      </c>
      <c r="C9" s="590">
        <v>4.4900000000000001E-3</v>
      </c>
      <c r="D9" s="591">
        <v>4.4900000000000001E-3</v>
      </c>
      <c r="E9" s="592" t="s">
        <v>328</v>
      </c>
      <c r="F9" s="590">
        <v>0</v>
      </c>
      <c r="G9" s="591">
        <v>0</v>
      </c>
      <c r="H9" s="593">
        <v>2.6700000000000001E-3</v>
      </c>
      <c r="I9" s="590">
        <v>7.0200000000000002E-3</v>
      </c>
      <c r="J9" s="591">
        <v>7.0200000000000002E-3</v>
      </c>
      <c r="K9" s="594" t="s">
        <v>322</v>
      </c>
    </row>
    <row r="10" spans="1:11" ht="14.4" customHeight="1" thickBot="1" x14ac:dyDescent="0.35">
      <c r="A10" s="607" t="s">
        <v>329</v>
      </c>
      <c r="B10" s="585">
        <v>4.9406564584124654E-324</v>
      </c>
      <c r="C10" s="585">
        <v>4.4900000000000001E-3</v>
      </c>
      <c r="D10" s="586">
        <v>4.4900000000000001E-3</v>
      </c>
      <c r="E10" s="595" t="s">
        <v>328</v>
      </c>
      <c r="F10" s="585">
        <v>0</v>
      </c>
      <c r="G10" s="586">
        <v>0</v>
      </c>
      <c r="H10" s="588">
        <v>2.6700000000000001E-3</v>
      </c>
      <c r="I10" s="585">
        <v>7.0200000000000002E-3</v>
      </c>
      <c r="J10" s="586">
        <v>7.0200000000000002E-3</v>
      </c>
      <c r="K10" s="596" t="s">
        <v>322</v>
      </c>
    </row>
    <row r="11" spans="1:11" ht="14.4" customHeight="1" thickBot="1" x14ac:dyDescent="0.35">
      <c r="A11" s="606" t="s">
        <v>330</v>
      </c>
      <c r="B11" s="590">
        <v>22325.194168541599</v>
      </c>
      <c r="C11" s="590">
        <v>20796.40523</v>
      </c>
      <c r="D11" s="591">
        <v>-1528.7889385415599</v>
      </c>
      <c r="E11" s="597">
        <v>0.93152180773799997</v>
      </c>
      <c r="F11" s="590">
        <v>20135.113082543601</v>
      </c>
      <c r="G11" s="591">
        <v>8389.6304510598293</v>
      </c>
      <c r="H11" s="593">
        <v>1409.3683900000001</v>
      </c>
      <c r="I11" s="590">
        <v>7789.5146400000103</v>
      </c>
      <c r="J11" s="591">
        <v>-600.11581105981998</v>
      </c>
      <c r="K11" s="598">
        <v>0.38686222461500003</v>
      </c>
    </row>
    <row r="12" spans="1:11" ht="14.4" customHeight="1" thickBot="1" x14ac:dyDescent="0.35">
      <c r="A12" s="607" t="s">
        <v>331</v>
      </c>
      <c r="B12" s="585">
        <v>15524.9702002596</v>
      </c>
      <c r="C12" s="585">
        <v>14670.033589999999</v>
      </c>
      <c r="D12" s="586">
        <v>-854.936610259605</v>
      </c>
      <c r="E12" s="587">
        <v>0.94493151360399996</v>
      </c>
      <c r="F12" s="585">
        <v>14598.0415080902</v>
      </c>
      <c r="G12" s="586">
        <v>6082.5172950376</v>
      </c>
      <c r="H12" s="588">
        <v>968.46127000000001</v>
      </c>
      <c r="I12" s="585">
        <v>5246.2329300000001</v>
      </c>
      <c r="J12" s="586">
        <v>-836.28436503759895</v>
      </c>
      <c r="K12" s="589">
        <v>0.35937923091200003</v>
      </c>
    </row>
    <row r="13" spans="1:11" ht="14.4" customHeight="1" thickBot="1" x14ac:dyDescent="0.35">
      <c r="A13" s="607" t="s">
        <v>332</v>
      </c>
      <c r="B13" s="585">
        <v>1950.05100036461</v>
      </c>
      <c r="C13" s="585">
        <v>1778.59105</v>
      </c>
      <c r="D13" s="586">
        <v>-171.45995036460801</v>
      </c>
      <c r="E13" s="587">
        <v>0.91207411994200005</v>
      </c>
      <c r="F13" s="585">
        <v>1775.9338085306599</v>
      </c>
      <c r="G13" s="586">
        <v>739.97242022110697</v>
      </c>
      <c r="H13" s="588">
        <v>38.205199999999998</v>
      </c>
      <c r="I13" s="585">
        <v>439.02880000000101</v>
      </c>
      <c r="J13" s="586">
        <v>-300.94362022110698</v>
      </c>
      <c r="K13" s="589">
        <v>0.24721011441400001</v>
      </c>
    </row>
    <row r="14" spans="1:11" ht="14.4" customHeight="1" thickBot="1" x14ac:dyDescent="0.35">
      <c r="A14" s="607" t="s">
        <v>333</v>
      </c>
      <c r="B14" s="585">
        <v>122.955086628153</v>
      </c>
      <c r="C14" s="585">
        <v>20.297070000000001</v>
      </c>
      <c r="D14" s="586">
        <v>-102.65801662815301</v>
      </c>
      <c r="E14" s="587">
        <v>0.165077107069</v>
      </c>
      <c r="F14" s="585">
        <v>19.773638970844001</v>
      </c>
      <c r="G14" s="586">
        <v>8.2390162378510006</v>
      </c>
      <c r="H14" s="588">
        <v>4.9406564584124654E-324</v>
      </c>
      <c r="I14" s="585">
        <v>2.4703282292062327E-323</v>
      </c>
      <c r="J14" s="586">
        <v>-8.2390162378510006</v>
      </c>
      <c r="K14" s="589">
        <v>0</v>
      </c>
    </row>
    <row r="15" spans="1:11" ht="14.4" customHeight="1" thickBot="1" x14ac:dyDescent="0.35">
      <c r="A15" s="607" t="s">
        <v>334</v>
      </c>
      <c r="B15" s="585">
        <v>801.97536830655702</v>
      </c>
      <c r="C15" s="585">
        <v>879.97077999999999</v>
      </c>
      <c r="D15" s="586">
        <v>77.995411693441994</v>
      </c>
      <c r="E15" s="587">
        <v>1.0972541237240001</v>
      </c>
      <c r="F15" s="585">
        <v>880.00772698819105</v>
      </c>
      <c r="G15" s="586">
        <v>366.669886245079</v>
      </c>
      <c r="H15" s="588">
        <v>103.65278000000001</v>
      </c>
      <c r="I15" s="585">
        <v>341.54471999999998</v>
      </c>
      <c r="J15" s="586">
        <v>-25.125166245079001</v>
      </c>
      <c r="K15" s="589">
        <v>0.38811559208500002</v>
      </c>
    </row>
    <row r="16" spans="1:11" ht="14.4" customHeight="1" thickBot="1" x14ac:dyDescent="0.35">
      <c r="A16" s="607" t="s">
        <v>335</v>
      </c>
      <c r="B16" s="585">
        <v>77.155502903682006</v>
      </c>
      <c r="C16" s="585">
        <v>43.56156</v>
      </c>
      <c r="D16" s="586">
        <v>-33.593942903681999</v>
      </c>
      <c r="E16" s="587">
        <v>0.56459433689799998</v>
      </c>
      <c r="F16" s="585">
        <v>57.001991688032</v>
      </c>
      <c r="G16" s="586">
        <v>23.750829870013</v>
      </c>
      <c r="H16" s="588">
        <v>4.9406564584124654E-324</v>
      </c>
      <c r="I16" s="585">
        <v>21.73836</v>
      </c>
      <c r="J16" s="586">
        <v>-2.0124698700130002</v>
      </c>
      <c r="K16" s="589">
        <v>0.38136141135099999</v>
      </c>
    </row>
    <row r="17" spans="1:11" ht="14.4" customHeight="1" thickBot="1" x14ac:dyDescent="0.35">
      <c r="A17" s="607" t="s">
        <v>336</v>
      </c>
      <c r="B17" s="585">
        <v>1725.0256010021899</v>
      </c>
      <c r="C17" s="585">
        <v>1823.74846</v>
      </c>
      <c r="D17" s="586">
        <v>98.722858997809993</v>
      </c>
      <c r="E17" s="587">
        <v>1.0572297935399999</v>
      </c>
      <c r="F17" s="585">
        <v>1332.87186012498</v>
      </c>
      <c r="G17" s="586">
        <v>555.36327505207305</v>
      </c>
      <c r="H17" s="588">
        <v>93.765020000000007</v>
      </c>
      <c r="I17" s="585">
        <v>665.50566000000094</v>
      </c>
      <c r="J17" s="586">
        <v>110.14238494792799</v>
      </c>
      <c r="K17" s="589">
        <v>0.49930205589100002</v>
      </c>
    </row>
    <row r="18" spans="1:11" ht="14.4" customHeight="1" thickBot="1" x14ac:dyDescent="0.35">
      <c r="A18" s="607" t="s">
        <v>337</v>
      </c>
      <c r="B18" s="585">
        <v>1339.68541755602</v>
      </c>
      <c r="C18" s="585">
        <v>917.60031000000095</v>
      </c>
      <c r="D18" s="586">
        <v>-422.08510755601702</v>
      </c>
      <c r="E18" s="587">
        <v>0.68493714865800004</v>
      </c>
      <c r="F18" s="585">
        <v>837.55678507908999</v>
      </c>
      <c r="G18" s="586">
        <v>348.98199378295402</v>
      </c>
      <c r="H18" s="588">
        <v>156.97432000000001</v>
      </c>
      <c r="I18" s="585">
        <v>786.59701000000098</v>
      </c>
      <c r="J18" s="586">
        <v>437.61501621704701</v>
      </c>
      <c r="K18" s="589">
        <v>0.93915663273500005</v>
      </c>
    </row>
    <row r="19" spans="1:11" ht="14.4" customHeight="1" thickBot="1" x14ac:dyDescent="0.35">
      <c r="A19" s="607" t="s">
        <v>338</v>
      </c>
      <c r="B19" s="585">
        <v>783.37599152075495</v>
      </c>
      <c r="C19" s="585">
        <v>662.60240999999996</v>
      </c>
      <c r="D19" s="586">
        <v>-120.773581520755</v>
      </c>
      <c r="E19" s="587">
        <v>0.84582935547100002</v>
      </c>
      <c r="F19" s="585">
        <v>633.92576307155196</v>
      </c>
      <c r="G19" s="586">
        <v>264.13573461314701</v>
      </c>
      <c r="H19" s="588">
        <v>48.309800000000003</v>
      </c>
      <c r="I19" s="585">
        <v>288.86716000000001</v>
      </c>
      <c r="J19" s="586">
        <v>24.731425386853001</v>
      </c>
      <c r="K19" s="589">
        <v>0.45567979222100002</v>
      </c>
    </row>
    <row r="20" spans="1:11" ht="14.4" customHeight="1" thickBot="1" x14ac:dyDescent="0.35">
      <c r="A20" s="606" t="s">
        <v>339</v>
      </c>
      <c r="B20" s="590">
        <v>3895.0699621001399</v>
      </c>
      <c r="C20" s="590">
        <v>3203.3539999999998</v>
      </c>
      <c r="D20" s="591">
        <v>-691.715962100139</v>
      </c>
      <c r="E20" s="597">
        <v>0.82241244218099996</v>
      </c>
      <c r="F20" s="590">
        <v>3211.9809685395298</v>
      </c>
      <c r="G20" s="591">
        <v>1338.3254035581399</v>
      </c>
      <c r="H20" s="593">
        <v>427.04899999999998</v>
      </c>
      <c r="I20" s="590">
        <v>1954.8389999999999</v>
      </c>
      <c r="J20" s="591">
        <v>616.51359644186698</v>
      </c>
      <c r="K20" s="598">
        <v>0.60860852512700003</v>
      </c>
    </row>
    <row r="21" spans="1:11" ht="14.4" customHeight="1" thickBot="1" x14ac:dyDescent="0.35">
      <c r="A21" s="607" t="s">
        <v>340</v>
      </c>
      <c r="B21" s="585">
        <v>3180.0571192499201</v>
      </c>
      <c r="C21" s="585">
        <v>2613.377</v>
      </c>
      <c r="D21" s="586">
        <v>-566.68011924992095</v>
      </c>
      <c r="E21" s="587">
        <v>0.82180190543700005</v>
      </c>
      <c r="F21" s="585">
        <v>2619.9844762059602</v>
      </c>
      <c r="G21" s="586">
        <v>1091.66019841915</v>
      </c>
      <c r="H21" s="588">
        <v>334.61200000000002</v>
      </c>
      <c r="I21" s="585">
        <v>1577.09</v>
      </c>
      <c r="J21" s="586">
        <v>485.42980158084998</v>
      </c>
      <c r="K21" s="589">
        <v>0.60194631469100002</v>
      </c>
    </row>
    <row r="22" spans="1:11" ht="14.4" customHeight="1" thickBot="1" x14ac:dyDescent="0.35">
      <c r="A22" s="607" t="s">
        <v>341</v>
      </c>
      <c r="B22" s="585">
        <v>715.01284285021802</v>
      </c>
      <c r="C22" s="585">
        <v>589.97699999999998</v>
      </c>
      <c r="D22" s="586">
        <v>-125.035842850218</v>
      </c>
      <c r="E22" s="587">
        <v>0.82512783637300002</v>
      </c>
      <c r="F22" s="585">
        <v>591.99649233356104</v>
      </c>
      <c r="G22" s="586">
        <v>246.66520513898399</v>
      </c>
      <c r="H22" s="588">
        <v>92.436999999999998</v>
      </c>
      <c r="I22" s="585">
        <v>377.74900000000002</v>
      </c>
      <c r="J22" s="586">
        <v>131.083794861017</v>
      </c>
      <c r="K22" s="589">
        <v>0.63809330780100004</v>
      </c>
    </row>
    <row r="23" spans="1:11" ht="14.4" customHeight="1" thickBot="1" x14ac:dyDescent="0.35">
      <c r="A23" s="606" t="s">
        <v>342</v>
      </c>
      <c r="B23" s="590">
        <v>11902.513414863501</v>
      </c>
      <c r="C23" s="590">
        <v>10654.34194</v>
      </c>
      <c r="D23" s="591">
        <v>-1248.17147486351</v>
      </c>
      <c r="E23" s="597">
        <v>0.89513378969900004</v>
      </c>
      <c r="F23" s="590">
        <v>11146.3864246945</v>
      </c>
      <c r="G23" s="591">
        <v>4644.3276769560398</v>
      </c>
      <c r="H23" s="593">
        <v>945.86393999999996</v>
      </c>
      <c r="I23" s="590">
        <v>4359.8582399999996</v>
      </c>
      <c r="J23" s="591">
        <v>-284.46943695603898</v>
      </c>
      <c r="K23" s="598">
        <v>0.39114544156999997</v>
      </c>
    </row>
    <row r="24" spans="1:11" ht="14.4" customHeight="1" thickBot="1" x14ac:dyDescent="0.35">
      <c r="A24" s="607" t="s">
        <v>343</v>
      </c>
      <c r="B24" s="585">
        <v>900.60929747947</v>
      </c>
      <c r="C24" s="585">
        <v>679.20750999999996</v>
      </c>
      <c r="D24" s="586">
        <v>-221.40178747946899</v>
      </c>
      <c r="E24" s="587">
        <v>0.75416444389399995</v>
      </c>
      <c r="F24" s="585">
        <v>1169.2067906161301</v>
      </c>
      <c r="G24" s="586">
        <v>487.16949609005201</v>
      </c>
      <c r="H24" s="588">
        <v>77.823899999999995</v>
      </c>
      <c r="I24" s="585">
        <v>265.07790000000102</v>
      </c>
      <c r="J24" s="586">
        <v>-222.09159609005201</v>
      </c>
      <c r="K24" s="589">
        <v>0.22671601133899999</v>
      </c>
    </row>
    <row r="25" spans="1:11" ht="14.4" customHeight="1" thickBot="1" x14ac:dyDescent="0.35">
      <c r="A25" s="607" t="s">
        <v>344</v>
      </c>
      <c r="B25" s="585">
        <v>4.7497751542910001</v>
      </c>
      <c r="C25" s="585">
        <v>2.8090199999999999</v>
      </c>
      <c r="D25" s="586">
        <v>-1.940755154291</v>
      </c>
      <c r="E25" s="587">
        <v>0.59140062608199995</v>
      </c>
      <c r="F25" s="585">
        <v>2.8091975812499999</v>
      </c>
      <c r="G25" s="586">
        <v>1.1704989921869999</v>
      </c>
      <c r="H25" s="588">
        <v>4.9406564584124654E-324</v>
      </c>
      <c r="I25" s="585">
        <v>1.1836899999999999</v>
      </c>
      <c r="J25" s="586">
        <v>1.3191007812E-2</v>
      </c>
      <c r="K25" s="589">
        <v>0.42136231637799998</v>
      </c>
    </row>
    <row r="26" spans="1:11" ht="14.4" customHeight="1" thickBot="1" x14ac:dyDescent="0.35">
      <c r="A26" s="607" t="s">
        <v>345</v>
      </c>
      <c r="B26" s="585">
        <v>862.48823488406299</v>
      </c>
      <c r="C26" s="585">
        <v>781.34565999999995</v>
      </c>
      <c r="D26" s="586">
        <v>-81.142574884062995</v>
      </c>
      <c r="E26" s="587">
        <v>0.90592036899399997</v>
      </c>
      <c r="F26" s="585">
        <v>793.12252708577296</v>
      </c>
      <c r="G26" s="586">
        <v>330.467719619072</v>
      </c>
      <c r="H26" s="588">
        <v>70.923670000000001</v>
      </c>
      <c r="I26" s="585">
        <v>325.34388000000001</v>
      </c>
      <c r="J26" s="586">
        <v>-5.1238396190710001</v>
      </c>
      <c r="K26" s="589">
        <v>0.410206328643</v>
      </c>
    </row>
    <row r="27" spans="1:11" ht="14.4" customHeight="1" thickBot="1" x14ac:dyDescent="0.35">
      <c r="A27" s="607" t="s">
        <v>346</v>
      </c>
      <c r="B27" s="585">
        <v>7870.8644482499103</v>
      </c>
      <c r="C27" s="585">
        <v>7322.5428700000002</v>
      </c>
      <c r="D27" s="586">
        <v>-548.32157824990395</v>
      </c>
      <c r="E27" s="587">
        <v>0.93033527868999999</v>
      </c>
      <c r="F27" s="585">
        <v>7312.4925494367999</v>
      </c>
      <c r="G27" s="586">
        <v>3046.8718955986701</v>
      </c>
      <c r="H27" s="588">
        <v>677.48806999999999</v>
      </c>
      <c r="I27" s="585">
        <v>3141.1205300000001</v>
      </c>
      <c r="J27" s="586">
        <v>94.248634401336005</v>
      </c>
      <c r="K27" s="589">
        <v>0.429555381939</v>
      </c>
    </row>
    <row r="28" spans="1:11" ht="14.4" customHeight="1" thickBot="1" x14ac:dyDescent="0.35">
      <c r="A28" s="607" t="s">
        <v>347</v>
      </c>
      <c r="B28" s="585">
        <v>1</v>
      </c>
      <c r="C28" s="585">
        <v>0</v>
      </c>
      <c r="D28" s="586">
        <v>-1</v>
      </c>
      <c r="E28" s="587">
        <v>0</v>
      </c>
      <c r="F28" s="585">
        <v>2</v>
      </c>
      <c r="G28" s="586">
        <v>0.83333333333299997</v>
      </c>
      <c r="H28" s="588">
        <v>4.9406564584124654E-324</v>
      </c>
      <c r="I28" s="585">
        <v>2.4703282292062327E-323</v>
      </c>
      <c r="J28" s="586">
        <v>-0.83333333333299997</v>
      </c>
      <c r="K28" s="589">
        <v>9.8813129168249309E-324</v>
      </c>
    </row>
    <row r="29" spans="1:11" ht="14.4" customHeight="1" thickBot="1" x14ac:dyDescent="0.35">
      <c r="A29" s="607" t="s">
        <v>348</v>
      </c>
      <c r="B29" s="585">
        <v>748.73717335368406</v>
      </c>
      <c r="C29" s="585">
        <v>527.63719000000003</v>
      </c>
      <c r="D29" s="586">
        <v>-221.099983353684</v>
      </c>
      <c r="E29" s="587">
        <v>0.70470280998099999</v>
      </c>
      <c r="F29" s="585">
        <v>507.88626476718002</v>
      </c>
      <c r="G29" s="586">
        <v>211.61927698632499</v>
      </c>
      <c r="H29" s="588">
        <v>16.702500000000001</v>
      </c>
      <c r="I29" s="585">
        <v>174.89524</v>
      </c>
      <c r="J29" s="586">
        <v>-36.724036986324002</v>
      </c>
      <c r="K29" s="589">
        <v>0.34435906645300002</v>
      </c>
    </row>
    <row r="30" spans="1:11" ht="14.4" customHeight="1" thickBot="1" x14ac:dyDescent="0.35">
      <c r="A30" s="607" t="s">
        <v>349</v>
      </c>
      <c r="B30" s="585">
        <v>84.072570193060002</v>
      </c>
      <c r="C30" s="585">
        <v>79.956609999999998</v>
      </c>
      <c r="D30" s="586">
        <v>-4.1159601930600003</v>
      </c>
      <c r="E30" s="587">
        <v>0.95104276955400002</v>
      </c>
      <c r="F30" s="585">
        <v>81.391008282735996</v>
      </c>
      <c r="G30" s="586">
        <v>33.912920117806998</v>
      </c>
      <c r="H30" s="588">
        <v>6.1541100000000002</v>
      </c>
      <c r="I30" s="585">
        <v>32.667290000000001</v>
      </c>
      <c r="J30" s="586">
        <v>-1.2456301178069999</v>
      </c>
      <c r="K30" s="589">
        <v>0.40136239480500002</v>
      </c>
    </row>
    <row r="31" spans="1:11" ht="14.4" customHeight="1" thickBot="1" x14ac:dyDescent="0.35">
      <c r="A31" s="607" t="s">
        <v>350</v>
      </c>
      <c r="B31" s="585">
        <v>439.857772297721</v>
      </c>
      <c r="C31" s="585">
        <v>302.56680999999998</v>
      </c>
      <c r="D31" s="586">
        <v>-137.29096229772099</v>
      </c>
      <c r="E31" s="587">
        <v>0.68787419264899996</v>
      </c>
      <c r="F31" s="585">
        <v>307.37780539840998</v>
      </c>
      <c r="G31" s="586">
        <v>128.07408558267099</v>
      </c>
      <c r="H31" s="588">
        <v>19.12799</v>
      </c>
      <c r="I31" s="585">
        <v>86.007140000000007</v>
      </c>
      <c r="J31" s="586">
        <v>-42.066945582670002</v>
      </c>
      <c r="K31" s="589">
        <v>0.27980920707099999</v>
      </c>
    </row>
    <row r="32" spans="1:11" ht="14.4" customHeight="1" thickBot="1" x14ac:dyDescent="0.35">
      <c r="A32" s="607" t="s">
        <v>351</v>
      </c>
      <c r="B32" s="585">
        <v>311.71870521508498</v>
      </c>
      <c r="C32" s="585">
        <v>341.10950000000003</v>
      </c>
      <c r="D32" s="586">
        <v>29.390794784914998</v>
      </c>
      <c r="E32" s="587">
        <v>1.094286272505</v>
      </c>
      <c r="F32" s="585">
        <v>354.93638570776</v>
      </c>
      <c r="G32" s="586">
        <v>147.89016071156701</v>
      </c>
      <c r="H32" s="588">
        <v>35.113399999999999</v>
      </c>
      <c r="I32" s="585">
        <v>161.53008</v>
      </c>
      <c r="J32" s="586">
        <v>13.639919288432999</v>
      </c>
      <c r="K32" s="589">
        <v>0.45509586084800002</v>
      </c>
    </row>
    <row r="33" spans="1:11" ht="14.4" customHeight="1" thickBot="1" x14ac:dyDescent="0.35">
      <c r="A33" s="607" t="s">
        <v>352</v>
      </c>
      <c r="B33" s="585">
        <v>678.41543803622903</v>
      </c>
      <c r="C33" s="585">
        <v>617.16677000000004</v>
      </c>
      <c r="D33" s="586">
        <v>-61.248668036228999</v>
      </c>
      <c r="E33" s="587">
        <v>0.90971805091299995</v>
      </c>
      <c r="F33" s="585">
        <v>615.16389581847204</v>
      </c>
      <c r="G33" s="586">
        <v>256.318289924363</v>
      </c>
      <c r="H33" s="588">
        <v>42.530299999999997</v>
      </c>
      <c r="I33" s="585">
        <v>172.03249</v>
      </c>
      <c r="J33" s="586">
        <v>-84.285799924363005</v>
      </c>
      <c r="K33" s="589">
        <v>0.279653099229</v>
      </c>
    </row>
    <row r="34" spans="1:11" ht="14.4" customHeight="1" thickBot="1" x14ac:dyDescent="0.35">
      <c r="A34" s="606" t="s">
        <v>353</v>
      </c>
      <c r="B34" s="590">
        <v>44.999974880442998</v>
      </c>
      <c r="C34" s="590">
        <v>52.087560000000003</v>
      </c>
      <c r="D34" s="591">
        <v>7.0875851195559996</v>
      </c>
      <c r="E34" s="597">
        <v>1.1575019794650001</v>
      </c>
      <c r="F34" s="590">
        <v>46.999834240810003</v>
      </c>
      <c r="G34" s="591">
        <v>19.583264267004001</v>
      </c>
      <c r="H34" s="593">
        <v>3.50251</v>
      </c>
      <c r="I34" s="590">
        <v>17.804269999999999</v>
      </c>
      <c r="J34" s="591">
        <v>-1.778994267004</v>
      </c>
      <c r="K34" s="598">
        <v>0.37881559132199999</v>
      </c>
    </row>
    <row r="35" spans="1:11" ht="14.4" customHeight="1" thickBot="1" x14ac:dyDescent="0.35">
      <c r="A35" s="607" t="s">
        <v>354</v>
      </c>
      <c r="B35" s="585">
        <v>15.001012889868001</v>
      </c>
      <c r="C35" s="585">
        <v>18.950420000000001</v>
      </c>
      <c r="D35" s="586">
        <v>3.9494071101310002</v>
      </c>
      <c r="E35" s="587">
        <v>1.263276029367</v>
      </c>
      <c r="F35" s="585">
        <v>19.999929464173999</v>
      </c>
      <c r="G35" s="586">
        <v>8.3333039434059994</v>
      </c>
      <c r="H35" s="588">
        <v>0.98004999999999998</v>
      </c>
      <c r="I35" s="585">
        <v>6.5121700000000002</v>
      </c>
      <c r="J35" s="586">
        <v>-1.8211339434060001</v>
      </c>
      <c r="K35" s="589">
        <v>0.32560964835700001</v>
      </c>
    </row>
    <row r="36" spans="1:11" ht="14.4" customHeight="1" thickBot="1" x14ac:dyDescent="0.35">
      <c r="A36" s="607" t="s">
        <v>355</v>
      </c>
      <c r="B36" s="585">
        <v>29.998961990573999</v>
      </c>
      <c r="C36" s="585">
        <v>22.467770000000002</v>
      </c>
      <c r="D36" s="586">
        <v>-7.5311919905740004</v>
      </c>
      <c r="E36" s="587">
        <v>0.74895158062599998</v>
      </c>
      <c r="F36" s="585">
        <v>26.999904776634999</v>
      </c>
      <c r="G36" s="586">
        <v>11.249960323598</v>
      </c>
      <c r="H36" s="588">
        <v>2.5224600000000001</v>
      </c>
      <c r="I36" s="585">
        <v>11.2921</v>
      </c>
      <c r="J36" s="586">
        <v>4.2139676400999998E-2</v>
      </c>
      <c r="K36" s="589">
        <v>0.41822740092600003</v>
      </c>
    </row>
    <row r="37" spans="1:11" ht="14.4" customHeight="1" thickBot="1" x14ac:dyDescent="0.35">
      <c r="A37" s="607" t="s">
        <v>356</v>
      </c>
      <c r="B37" s="585">
        <v>0</v>
      </c>
      <c r="C37" s="585">
        <v>10.669370000000001</v>
      </c>
      <c r="D37" s="586">
        <v>10.669370000000001</v>
      </c>
      <c r="E37" s="595" t="s">
        <v>322</v>
      </c>
      <c r="F37" s="585">
        <v>0</v>
      </c>
      <c r="G37" s="586">
        <v>0</v>
      </c>
      <c r="H37" s="588">
        <v>4.9406564584124654E-324</v>
      </c>
      <c r="I37" s="585">
        <v>2.4703282292062327E-323</v>
      </c>
      <c r="J37" s="586">
        <v>2.4703282292062327E-323</v>
      </c>
      <c r="K37" s="596" t="s">
        <v>322</v>
      </c>
    </row>
    <row r="38" spans="1:11" ht="14.4" customHeight="1" thickBot="1" x14ac:dyDescent="0.35">
      <c r="A38" s="606" t="s">
        <v>357</v>
      </c>
      <c r="B38" s="590">
        <v>802.46948551673495</v>
      </c>
      <c r="C38" s="590">
        <v>861.78869999999995</v>
      </c>
      <c r="D38" s="591">
        <v>59.319214483265</v>
      </c>
      <c r="E38" s="597">
        <v>1.0739208350639999</v>
      </c>
      <c r="F38" s="590">
        <v>867.72827131386805</v>
      </c>
      <c r="G38" s="591">
        <v>361.55344638077798</v>
      </c>
      <c r="H38" s="593">
        <v>75.615430000000003</v>
      </c>
      <c r="I38" s="590">
        <v>330.50416000000001</v>
      </c>
      <c r="J38" s="591">
        <v>-31.049286380777001</v>
      </c>
      <c r="K38" s="598">
        <v>0.38088439771499999</v>
      </c>
    </row>
    <row r="39" spans="1:11" ht="14.4" customHeight="1" thickBot="1" x14ac:dyDescent="0.35">
      <c r="A39" s="607" t="s">
        <v>358</v>
      </c>
      <c r="B39" s="585">
        <v>237.147373479999</v>
      </c>
      <c r="C39" s="585">
        <v>16.871459999999999</v>
      </c>
      <c r="D39" s="586">
        <v>-220.27591347999899</v>
      </c>
      <c r="E39" s="587">
        <v>7.1143355931999996E-2</v>
      </c>
      <c r="F39" s="585">
        <v>19.471439462342001</v>
      </c>
      <c r="G39" s="586">
        <v>8.1130997759749999</v>
      </c>
      <c r="H39" s="588">
        <v>0</v>
      </c>
      <c r="I39" s="585">
        <v>9.8813129168249309E-324</v>
      </c>
      <c r="J39" s="586">
        <v>-8.1130997759749999</v>
      </c>
      <c r="K39" s="589">
        <v>0</v>
      </c>
    </row>
    <row r="40" spans="1:11" ht="14.4" customHeight="1" thickBot="1" x14ac:dyDescent="0.35">
      <c r="A40" s="607" t="s">
        <v>359</v>
      </c>
      <c r="B40" s="585">
        <v>19.741722056371</v>
      </c>
      <c r="C40" s="585">
        <v>19.346830000000001</v>
      </c>
      <c r="D40" s="586">
        <v>-0.394892056371</v>
      </c>
      <c r="E40" s="587">
        <v>0.979997081549</v>
      </c>
      <c r="F40" s="585">
        <v>19.473706395676</v>
      </c>
      <c r="G40" s="586">
        <v>8.1140443315309998</v>
      </c>
      <c r="H40" s="588">
        <v>2.09205</v>
      </c>
      <c r="I40" s="585">
        <v>7.6742800000000004</v>
      </c>
      <c r="J40" s="586">
        <v>-0.43976433153099997</v>
      </c>
      <c r="K40" s="589">
        <v>0.39408419969300001</v>
      </c>
    </row>
    <row r="41" spans="1:11" ht="14.4" customHeight="1" thickBot="1" x14ac:dyDescent="0.35">
      <c r="A41" s="607" t="s">
        <v>360</v>
      </c>
      <c r="B41" s="585">
        <v>374.71217127505503</v>
      </c>
      <c r="C41" s="585">
        <v>535.30019000000004</v>
      </c>
      <c r="D41" s="586">
        <v>160.58801872494499</v>
      </c>
      <c r="E41" s="587">
        <v>1.428563657749</v>
      </c>
      <c r="F41" s="585">
        <v>550.635550553847</v>
      </c>
      <c r="G41" s="586">
        <v>229.43147939743599</v>
      </c>
      <c r="H41" s="588">
        <v>47.570099999999996</v>
      </c>
      <c r="I41" s="585">
        <v>216.19935000000001</v>
      </c>
      <c r="J41" s="586">
        <v>-13.232129397435999</v>
      </c>
      <c r="K41" s="589">
        <v>0.39263601811100002</v>
      </c>
    </row>
    <row r="42" spans="1:11" ht="14.4" customHeight="1" thickBot="1" x14ac:dyDescent="0.35">
      <c r="A42" s="607" t="s">
        <v>361</v>
      </c>
      <c r="B42" s="585">
        <v>126.89546678608301</v>
      </c>
      <c r="C42" s="585">
        <v>120.80431</v>
      </c>
      <c r="D42" s="586">
        <v>-6.0911567860830003</v>
      </c>
      <c r="E42" s="587">
        <v>0.95199862579500005</v>
      </c>
      <c r="F42" s="585">
        <v>128.62773182165299</v>
      </c>
      <c r="G42" s="586">
        <v>53.594888259021999</v>
      </c>
      <c r="H42" s="588">
        <v>8.7434499999999993</v>
      </c>
      <c r="I42" s="585">
        <v>37.164070000000002</v>
      </c>
      <c r="J42" s="586">
        <v>-16.430818259022001</v>
      </c>
      <c r="K42" s="589">
        <v>0.28892735239599998</v>
      </c>
    </row>
    <row r="43" spans="1:11" ht="14.4" customHeight="1" thickBot="1" x14ac:dyDescent="0.35">
      <c r="A43" s="607" t="s">
        <v>362</v>
      </c>
      <c r="B43" s="585">
        <v>2.3079412073430001</v>
      </c>
      <c r="C43" s="585">
        <v>3.2096300000000002</v>
      </c>
      <c r="D43" s="586">
        <v>0.90168879265599999</v>
      </c>
      <c r="E43" s="587">
        <v>1.390689671724</v>
      </c>
      <c r="F43" s="585">
        <v>13.998865634469</v>
      </c>
      <c r="G43" s="586">
        <v>5.8328606810280004</v>
      </c>
      <c r="H43" s="588">
        <v>4.9406564584124654E-324</v>
      </c>
      <c r="I43" s="585">
        <v>0.75734999999999997</v>
      </c>
      <c r="J43" s="586">
        <v>-5.0755106810279997</v>
      </c>
      <c r="K43" s="589">
        <v>5.4100812148999998E-2</v>
      </c>
    </row>
    <row r="44" spans="1:11" ht="14.4" customHeight="1" thickBot="1" x14ac:dyDescent="0.35">
      <c r="A44" s="607" t="s">
        <v>363</v>
      </c>
      <c r="B44" s="585">
        <v>3.5562690591999999E-2</v>
      </c>
      <c r="C44" s="585">
        <v>9.9199999999999997E-2</v>
      </c>
      <c r="D44" s="586">
        <v>6.3637309407000006E-2</v>
      </c>
      <c r="E44" s="587">
        <v>2.7894402348640002</v>
      </c>
      <c r="F44" s="585">
        <v>0.17226446290399999</v>
      </c>
      <c r="G44" s="586">
        <v>7.1776859543000004E-2</v>
      </c>
      <c r="H44" s="588">
        <v>4.9406564584124654E-324</v>
      </c>
      <c r="I44" s="585">
        <v>2.4703282292062327E-323</v>
      </c>
      <c r="J44" s="586">
        <v>-7.1776859543000004E-2</v>
      </c>
      <c r="K44" s="589">
        <v>1.432790372939615E-322</v>
      </c>
    </row>
    <row r="45" spans="1:11" ht="14.4" customHeight="1" thickBot="1" x14ac:dyDescent="0.35">
      <c r="A45" s="607" t="s">
        <v>364</v>
      </c>
      <c r="B45" s="585">
        <v>18.378076979732</v>
      </c>
      <c r="C45" s="585">
        <v>27.11608</v>
      </c>
      <c r="D45" s="586">
        <v>8.7380030202669996</v>
      </c>
      <c r="E45" s="587">
        <v>1.4754579616729999</v>
      </c>
      <c r="F45" s="585">
        <v>15.136760473008</v>
      </c>
      <c r="G45" s="586">
        <v>6.3069835304200002</v>
      </c>
      <c r="H45" s="588">
        <v>2.4853999999999998</v>
      </c>
      <c r="I45" s="585">
        <v>13.86833</v>
      </c>
      <c r="J45" s="586">
        <v>7.561346469579</v>
      </c>
      <c r="K45" s="589">
        <v>0.91620198553900001</v>
      </c>
    </row>
    <row r="46" spans="1:11" ht="14.4" customHeight="1" thickBot="1" x14ac:dyDescent="0.35">
      <c r="A46" s="607" t="s">
        <v>365</v>
      </c>
      <c r="B46" s="585">
        <v>23.251171041555999</v>
      </c>
      <c r="C46" s="585">
        <v>33.569569999999999</v>
      </c>
      <c r="D46" s="586">
        <v>10.318398958443</v>
      </c>
      <c r="E46" s="587">
        <v>1.443779753716</v>
      </c>
      <c r="F46" s="585">
        <v>37.129315561009001</v>
      </c>
      <c r="G46" s="586">
        <v>15.470548150420001</v>
      </c>
      <c r="H46" s="588">
        <v>5.3114299999999997</v>
      </c>
      <c r="I46" s="585">
        <v>17.866489999999999</v>
      </c>
      <c r="J46" s="586">
        <v>2.3959418495790001</v>
      </c>
      <c r="K46" s="589">
        <v>0.48119631967400001</v>
      </c>
    </row>
    <row r="47" spans="1:11" ht="14.4" customHeight="1" thickBot="1" x14ac:dyDescent="0.35">
      <c r="A47" s="607" t="s">
        <v>366</v>
      </c>
      <c r="B47" s="585">
        <v>4.9406564584124654E-324</v>
      </c>
      <c r="C47" s="585">
        <v>5.8620000000000001</v>
      </c>
      <c r="D47" s="586">
        <v>5.8620000000000001</v>
      </c>
      <c r="E47" s="595" t="s">
        <v>328</v>
      </c>
      <c r="F47" s="585">
        <v>0</v>
      </c>
      <c r="G47" s="586">
        <v>0</v>
      </c>
      <c r="H47" s="588">
        <v>4.9406564584124654E-324</v>
      </c>
      <c r="I47" s="585">
        <v>2.4703282292062327E-323</v>
      </c>
      <c r="J47" s="586">
        <v>2.4703282292062327E-323</v>
      </c>
      <c r="K47" s="596" t="s">
        <v>322</v>
      </c>
    </row>
    <row r="48" spans="1:11" ht="14.4" customHeight="1" thickBot="1" x14ac:dyDescent="0.35">
      <c r="A48" s="607" t="s">
        <v>367</v>
      </c>
      <c r="B48" s="585">
        <v>4.9406564584124654E-324</v>
      </c>
      <c r="C48" s="585">
        <v>0.53054999999999997</v>
      </c>
      <c r="D48" s="586">
        <v>0.53054999999999997</v>
      </c>
      <c r="E48" s="595" t="s">
        <v>328</v>
      </c>
      <c r="F48" s="585">
        <v>0</v>
      </c>
      <c r="G48" s="586">
        <v>0</v>
      </c>
      <c r="H48" s="588">
        <v>4.9406564584124654E-324</v>
      </c>
      <c r="I48" s="585">
        <v>2.4703282292062327E-323</v>
      </c>
      <c r="J48" s="586">
        <v>2.4703282292062327E-323</v>
      </c>
      <c r="K48" s="596" t="s">
        <v>322</v>
      </c>
    </row>
    <row r="49" spans="1:11" ht="14.4" customHeight="1" thickBot="1" x14ac:dyDescent="0.35">
      <c r="A49" s="607" t="s">
        <v>368</v>
      </c>
      <c r="B49" s="585">
        <v>4.9406564584124654E-324</v>
      </c>
      <c r="C49" s="585">
        <v>0.60750000000000004</v>
      </c>
      <c r="D49" s="586">
        <v>0.60750000000000004</v>
      </c>
      <c r="E49" s="595" t="s">
        <v>328</v>
      </c>
      <c r="F49" s="585">
        <v>0</v>
      </c>
      <c r="G49" s="586">
        <v>0</v>
      </c>
      <c r="H49" s="588">
        <v>4.9406564584124654E-324</v>
      </c>
      <c r="I49" s="585">
        <v>2.4703282292062327E-323</v>
      </c>
      <c r="J49" s="586">
        <v>2.4703282292062327E-323</v>
      </c>
      <c r="K49" s="596" t="s">
        <v>322</v>
      </c>
    </row>
    <row r="50" spans="1:11" ht="14.4" customHeight="1" thickBot="1" x14ac:dyDescent="0.35">
      <c r="A50" s="607" t="s">
        <v>369</v>
      </c>
      <c r="B50" s="585">
        <v>4.9406564584124654E-324</v>
      </c>
      <c r="C50" s="585">
        <v>98.471379999999996</v>
      </c>
      <c r="D50" s="586">
        <v>98.471379999999996</v>
      </c>
      <c r="E50" s="595" t="s">
        <v>328</v>
      </c>
      <c r="F50" s="585">
        <v>83.082636948957003</v>
      </c>
      <c r="G50" s="586">
        <v>34.617765395398003</v>
      </c>
      <c r="H50" s="588">
        <v>9.4130000000000003</v>
      </c>
      <c r="I50" s="585">
        <v>36.974290000000003</v>
      </c>
      <c r="J50" s="586">
        <v>2.3565246046010002</v>
      </c>
      <c r="K50" s="589">
        <v>0.44503028981499998</v>
      </c>
    </row>
    <row r="51" spans="1:11" ht="14.4" customHeight="1" thickBot="1" x14ac:dyDescent="0.35">
      <c r="A51" s="606" t="s">
        <v>370</v>
      </c>
      <c r="B51" s="590">
        <v>548.87529183354297</v>
      </c>
      <c r="C51" s="590">
        <v>570.69694000000004</v>
      </c>
      <c r="D51" s="591">
        <v>21.821648166456999</v>
      </c>
      <c r="E51" s="597">
        <v>1.0397570240289999</v>
      </c>
      <c r="F51" s="590">
        <v>383.305589915322</v>
      </c>
      <c r="G51" s="591">
        <v>159.71066246471801</v>
      </c>
      <c r="H51" s="593">
        <v>5.2390100000000004</v>
      </c>
      <c r="I51" s="590">
        <v>202.86206000000001</v>
      </c>
      <c r="J51" s="591">
        <v>43.151397535282001</v>
      </c>
      <c r="K51" s="598">
        <v>0.52924367746500001</v>
      </c>
    </row>
    <row r="52" spans="1:11" ht="14.4" customHeight="1" thickBot="1" x14ac:dyDescent="0.35">
      <c r="A52" s="607" t="s">
        <v>371</v>
      </c>
      <c r="B52" s="585">
        <v>0</v>
      </c>
      <c r="C52" s="585">
        <v>3.9569999999999999</v>
      </c>
      <c r="D52" s="586">
        <v>3.9569999999999999</v>
      </c>
      <c r="E52" s="595" t="s">
        <v>322</v>
      </c>
      <c r="F52" s="585">
        <v>3.2053757642890002</v>
      </c>
      <c r="G52" s="586">
        <v>1.33557323512</v>
      </c>
      <c r="H52" s="588">
        <v>4.9406564584124654E-324</v>
      </c>
      <c r="I52" s="585">
        <v>2.4703282292062327E-323</v>
      </c>
      <c r="J52" s="586">
        <v>-1.33557323512</v>
      </c>
      <c r="K52" s="589">
        <v>9.8813129168249309E-324</v>
      </c>
    </row>
    <row r="53" spans="1:11" ht="14.4" customHeight="1" thickBot="1" x14ac:dyDescent="0.35">
      <c r="A53" s="607" t="s">
        <v>372</v>
      </c>
      <c r="B53" s="585">
        <v>541.36038199290499</v>
      </c>
      <c r="C53" s="585">
        <v>561.96576000000005</v>
      </c>
      <c r="D53" s="586">
        <v>20.605378007094998</v>
      </c>
      <c r="E53" s="587">
        <v>1.038062220089</v>
      </c>
      <c r="F53" s="585">
        <v>374.6019075072</v>
      </c>
      <c r="G53" s="586">
        <v>156.084128128</v>
      </c>
      <c r="H53" s="588">
        <v>4.9592099999999997</v>
      </c>
      <c r="I53" s="585">
        <v>198.84559999999999</v>
      </c>
      <c r="J53" s="586">
        <v>42.761471872000001</v>
      </c>
      <c r="K53" s="589">
        <v>0.53081843956200003</v>
      </c>
    </row>
    <row r="54" spans="1:11" ht="14.4" customHeight="1" thickBot="1" x14ac:dyDescent="0.35">
      <c r="A54" s="607" t="s">
        <v>373</v>
      </c>
      <c r="B54" s="585">
        <v>0</v>
      </c>
      <c r="C54" s="585">
        <v>4.9406564584124654E-324</v>
      </c>
      <c r="D54" s="586">
        <v>4.9406564584124654E-324</v>
      </c>
      <c r="E54" s="595" t="s">
        <v>322</v>
      </c>
      <c r="F54" s="585">
        <v>4.9406564584124654E-324</v>
      </c>
      <c r="G54" s="586">
        <v>0</v>
      </c>
      <c r="H54" s="588">
        <v>4.9406564584124654E-324</v>
      </c>
      <c r="I54" s="585">
        <v>1.7302999999999999</v>
      </c>
      <c r="J54" s="586">
        <v>1.7302999999999999</v>
      </c>
      <c r="K54" s="596" t="s">
        <v>328</v>
      </c>
    </row>
    <row r="55" spans="1:11" ht="14.4" customHeight="1" thickBot="1" x14ac:dyDescent="0.35">
      <c r="A55" s="607" t="s">
        <v>374</v>
      </c>
      <c r="B55" s="585">
        <v>6.6063943750589997</v>
      </c>
      <c r="C55" s="585">
        <v>4.7741800000000003</v>
      </c>
      <c r="D55" s="586">
        <v>-1.8322143750590001</v>
      </c>
      <c r="E55" s="587">
        <v>0.722660460299</v>
      </c>
      <c r="F55" s="585">
        <v>5.4983066438329997</v>
      </c>
      <c r="G55" s="586">
        <v>2.2909611015969999</v>
      </c>
      <c r="H55" s="588">
        <v>0.27979999999999999</v>
      </c>
      <c r="I55" s="585">
        <v>2.2861600000000002</v>
      </c>
      <c r="J55" s="586">
        <v>-4.8011015970000001E-3</v>
      </c>
      <c r="K55" s="589">
        <v>0.415793470261</v>
      </c>
    </row>
    <row r="56" spans="1:11" ht="14.4" customHeight="1" thickBot="1" x14ac:dyDescent="0.35">
      <c r="A56" s="606" t="s">
        <v>375</v>
      </c>
      <c r="B56" s="590">
        <v>292.077722433075</v>
      </c>
      <c r="C56" s="590">
        <v>280.85001999999997</v>
      </c>
      <c r="D56" s="591">
        <v>-11.227702433074001</v>
      </c>
      <c r="E56" s="597">
        <v>0.96155919616300001</v>
      </c>
      <c r="F56" s="590">
        <v>275.16368777954898</v>
      </c>
      <c r="G56" s="591">
        <v>114.651536574812</v>
      </c>
      <c r="H56" s="593">
        <v>20.00422</v>
      </c>
      <c r="I56" s="590">
        <v>109.82055</v>
      </c>
      <c r="J56" s="591">
        <v>-4.8309865748109999</v>
      </c>
      <c r="K56" s="598">
        <v>0.39910989304599997</v>
      </c>
    </row>
    <row r="57" spans="1:11" ht="14.4" customHeight="1" thickBot="1" x14ac:dyDescent="0.35">
      <c r="A57" s="607" t="s">
        <v>376</v>
      </c>
      <c r="B57" s="585">
        <v>34.777212953339003</v>
      </c>
      <c r="C57" s="585">
        <v>43.801409999999997</v>
      </c>
      <c r="D57" s="586">
        <v>9.0241970466599994</v>
      </c>
      <c r="E57" s="587">
        <v>1.259485918517</v>
      </c>
      <c r="F57" s="585">
        <v>39.181692540957002</v>
      </c>
      <c r="G57" s="586">
        <v>16.325705225398998</v>
      </c>
      <c r="H57" s="588">
        <v>0.72738000000000003</v>
      </c>
      <c r="I57" s="585">
        <v>17.4924</v>
      </c>
      <c r="J57" s="586">
        <v>1.1666947746</v>
      </c>
      <c r="K57" s="589">
        <v>0.44644319491000001</v>
      </c>
    </row>
    <row r="58" spans="1:11" ht="14.4" customHeight="1" thickBot="1" x14ac:dyDescent="0.35">
      <c r="A58" s="607" t="s">
        <v>377</v>
      </c>
      <c r="B58" s="585">
        <v>0</v>
      </c>
      <c r="C58" s="585">
        <v>4.9406564584124654E-324</v>
      </c>
      <c r="D58" s="586">
        <v>4.9406564584124654E-324</v>
      </c>
      <c r="E58" s="595" t="s">
        <v>322</v>
      </c>
      <c r="F58" s="585">
        <v>4.9406564584124654E-324</v>
      </c>
      <c r="G58" s="586">
        <v>0</v>
      </c>
      <c r="H58" s="588">
        <v>4.9406564584124654E-324</v>
      </c>
      <c r="I58" s="585">
        <v>0.48282000000000003</v>
      </c>
      <c r="J58" s="586">
        <v>0.48282000000000003</v>
      </c>
      <c r="K58" s="596" t="s">
        <v>328</v>
      </c>
    </row>
    <row r="59" spans="1:11" ht="14.4" customHeight="1" thickBot="1" x14ac:dyDescent="0.35">
      <c r="A59" s="607" t="s">
        <v>378</v>
      </c>
      <c r="B59" s="585">
        <v>3.401245568877</v>
      </c>
      <c r="C59" s="585">
        <v>0.59387000000000001</v>
      </c>
      <c r="D59" s="586">
        <v>-2.8073755688770001</v>
      </c>
      <c r="E59" s="587">
        <v>0.17460368208400001</v>
      </c>
      <c r="F59" s="585">
        <v>0</v>
      </c>
      <c r="G59" s="586">
        <v>0</v>
      </c>
      <c r="H59" s="588">
        <v>4.9406564584124654E-324</v>
      </c>
      <c r="I59" s="585">
        <v>1.3655999999999999</v>
      </c>
      <c r="J59" s="586">
        <v>1.3655999999999999</v>
      </c>
      <c r="K59" s="596" t="s">
        <v>322</v>
      </c>
    </row>
    <row r="60" spans="1:11" ht="14.4" customHeight="1" thickBot="1" x14ac:dyDescent="0.35">
      <c r="A60" s="607" t="s">
        <v>379</v>
      </c>
      <c r="B60" s="585">
        <v>253.899263910857</v>
      </c>
      <c r="C60" s="585">
        <v>236.45473999999999</v>
      </c>
      <c r="D60" s="586">
        <v>-17.444523910857001</v>
      </c>
      <c r="E60" s="587">
        <v>0.93129352309900004</v>
      </c>
      <c r="F60" s="585">
        <v>0</v>
      </c>
      <c r="G60" s="586">
        <v>0</v>
      </c>
      <c r="H60" s="588">
        <v>4.9406564584124654E-324</v>
      </c>
      <c r="I60" s="585">
        <v>2.4703282292062327E-323</v>
      </c>
      <c r="J60" s="586">
        <v>2.4703282292062327E-323</v>
      </c>
      <c r="K60" s="596" t="s">
        <v>322</v>
      </c>
    </row>
    <row r="61" spans="1:11" ht="14.4" customHeight="1" thickBot="1" x14ac:dyDescent="0.35">
      <c r="A61" s="607" t="s">
        <v>380</v>
      </c>
      <c r="B61" s="585">
        <v>4.9406564584124654E-324</v>
      </c>
      <c r="C61" s="585">
        <v>4.9406564584124654E-324</v>
      </c>
      <c r="D61" s="586">
        <v>0</v>
      </c>
      <c r="E61" s="587">
        <v>1</v>
      </c>
      <c r="F61" s="585">
        <v>29.002789627662001</v>
      </c>
      <c r="G61" s="586">
        <v>12.084495678192001</v>
      </c>
      <c r="H61" s="588">
        <v>2.0783200000000002</v>
      </c>
      <c r="I61" s="585">
        <v>9.9898600000000002</v>
      </c>
      <c r="J61" s="586">
        <v>-2.0946356781920001</v>
      </c>
      <c r="K61" s="589">
        <v>0.34444479749099999</v>
      </c>
    </row>
    <row r="62" spans="1:11" ht="14.4" customHeight="1" thickBot="1" x14ac:dyDescent="0.35">
      <c r="A62" s="607" t="s">
        <v>381</v>
      </c>
      <c r="B62" s="585">
        <v>4.9406564584124654E-324</v>
      </c>
      <c r="C62" s="585">
        <v>4.9406564584124654E-324</v>
      </c>
      <c r="D62" s="586">
        <v>0</v>
      </c>
      <c r="E62" s="587">
        <v>1</v>
      </c>
      <c r="F62" s="585">
        <v>62.998776699809</v>
      </c>
      <c r="G62" s="586">
        <v>26.249490291587001</v>
      </c>
      <c r="H62" s="588">
        <v>4.1701300000000003</v>
      </c>
      <c r="I62" s="585">
        <v>15.49075</v>
      </c>
      <c r="J62" s="586">
        <v>-10.758740291586999</v>
      </c>
      <c r="K62" s="589">
        <v>0.245889695189</v>
      </c>
    </row>
    <row r="63" spans="1:11" ht="14.4" customHeight="1" thickBot="1" x14ac:dyDescent="0.35">
      <c r="A63" s="607" t="s">
        <v>382</v>
      </c>
      <c r="B63" s="585">
        <v>4.9406564584124654E-324</v>
      </c>
      <c r="C63" s="585">
        <v>4.9406564584124654E-324</v>
      </c>
      <c r="D63" s="586">
        <v>0</v>
      </c>
      <c r="E63" s="587">
        <v>1</v>
      </c>
      <c r="F63" s="585">
        <v>143.98042891111999</v>
      </c>
      <c r="G63" s="586">
        <v>59.991845379632998</v>
      </c>
      <c r="H63" s="588">
        <v>13.02839</v>
      </c>
      <c r="I63" s="585">
        <v>64.999120000000005</v>
      </c>
      <c r="J63" s="586">
        <v>5.0072746203660001</v>
      </c>
      <c r="K63" s="589">
        <v>0.45144413370300002</v>
      </c>
    </row>
    <row r="64" spans="1:11" ht="14.4" customHeight="1" thickBot="1" x14ac:dyDescent="0.35">
      <c r="A64" s="606" t="s">
        <v>383</v>
      </c>
      <c r="B64" s="590">
        <v>4.9406564584124654E-324</v>
      </c>
      <c r="C64" s="590">
        <v>7.27</v>
      </c>
      <c r="D64" s="591">
        <v>7.27</v>
      </c>
      <c r="E64" s="592" t="s">
        <v>328</v>
      </c>
      <c r="F64" s="590">
        <v>0</v>
      </c>
      <c r="G64" s="591">
        <v>0</v>
      </c>
      <c r="H64" s="593">
        <v>4.9406564584124654E-324</v>
      </c>
      <c r="I64" s="590">
        <v>2.4703282292062327E-323</v>
      </c>
      <c r="J64" s="591">
        <v>2.4703282292062327E-323</v>
      </c>
      <c r="K64" s="594" t="s">
        <v>322</v>
      </c>
    </row>
    <row r="65" spans="1:11" ht="14.4" customHeight="1" thickBot="1" x14ac:dyDescent="0.35">
      <c r="A65" s="607" t="s">
        <v>384</v>
      </c>
      <c r="B65" s="585">
        <v>4.9406564584124654E-324</v>
      </c>
      <c r="C65" s="585">
        <v>7.27</v>
      </c>
      <c r="D65" s="586">
        <v>7.27</v>
      </c>
      <c r="E65" s="595" t="s">
        <v>328</v>
      </c>
      <c r="F65" s="585">
        <v>0</v>
      </c>
      <c r="G65" s="586">
        <v>0</v>
      </c>
      <c r="H65" s="588">
        <v>4.9406564584124654E-324</v>
      </c>
      <c r="I65" s="585">
        <v>2.4703282292062327E-323</v>
      </c>
      <c r="J65" s="586">
        <v>2.4703282292062327E-323</v>
      </c>
      <c r="K65" s="596" t="s">
        <v>322</v>
      </c>
    </row>
    <row r="66" spans="1:11" ht="14.4" customHeight="1" thickBot="1" x14ac:dyDescent="0.35">
      <c r="A66" s="605" t="s">
        <v>42</v>
      </c>
      <c r="B66" s="585">
        <v>1603.57884158364</v>
      </c>
      <c r="C66" s="585">
        <v>1698.393</v>
      </c>
      <c r="D66" s="586">
        <v>94.814158416354999</v>
      </c>
      <c r="E66" s="587">
        <v>1.0591265960589999</v>
      </c>
      <c r="F66" s="585">
        <v>1702.7321874153899</v>
      </c>
      <c r="G66" s="586">
        <v>709.47174475641498</v>
      </c>
      <c r="H66" s="588">
        <v>99.974999999999994</v>
      </c>
      <c r="I66" s="585">
        <v>733.52200000000096</v>
      </c>
      <c r="J66" s="586">
        <v>24.050255243586001</v>
      </c>
      <c r="K66" s="589">
        <v>0.43079117515999998</v>
      </c>
    </row>
    <row r="67" spans="1:11" ht="14.4" customHeight="1" thickBot="1" x14ac:dyDescent="0.35">
      <c r="A67" s="606" t="s">
        <v>385</v>
      </c>
      <c r="B67" s="590">
        <v>1603.57884158364</v>
      </c>
      <c r="C67" s="590">
        <v>1698.393</v>
      </c>
      <c r="D67" s="591">
        <v>94.814158416354999</v>
      </c>
      <c r="E67" s="597">
        <v>1.0591265960589999</v>
      </c>
      <c r="F67" s="590">
        <v>1702.7321874153899</v>
      </c>
      <c r="G67" s="591">
        <v>709.47174475641498</v>
      </c>
      <c r="H67" s="593">
        <v>99.974999999999994</v>
      </c>
      <c r="I67" s="590">
        <v>733.52200000000096</v>
      </c>
      <c r="J67" s="591">
        <v>24.050255243586001</v>
      </c>
      <c r="K67" s="598">
        <v>0.43079117515999998</v>
      </c>
    </row>
    <row r="68" spans="1:11" ht="14.4" customHeight="1" thickBot="1" x14ac:dyDescent="0.35">
      <c r="A68" s="607" t="s">
        <v>386</v>
      </c>
      <c r="B68" s="585">
        <v>331.48607578524098</v>
      </c>
      <c r="C68" s="585">
        <v>484.57799999999997</v>
      </c>
      <c r="D68" s="586">
        <v>153.09192421475899</v>
      </c>
      <c r="E68" s="587">
        <v>1.4618351580890001</v>
      </c>
      <c r="F68" s="585">
        <v>480.95636649651601</v>
      </c>
      <c r="G68" s="586">
        <v>200.398486040215</v>
      </c>
      <c r="H68" s="588">
        <v>30.036000000000001</v>
      </c>
      <c r="I68" s="585">
        <v>152.85</v>
      </c>
      <c r="J68" s="586">
        <v>-47.548486040214001</v>
      </c>
      <c r="K68" s="589">
        <v>0.31780429712000002</v>
      </c>
    </row>
    <row r="69" spans="1:11" ht="14.4" customHeight="1" thickBot="1" x14ac:dyDescent="0.35">
      <c r="A69" s="607" t="s">
        <v>387</v>
      </c>
      <c r="B69" s="585">
        <v>136.005845272518</v>
      </c>
      <c r="C69" s="585">
        <v>133.15299999999999</v>
      </c>
      <c r="D69" s="586">
        <v>-2.8528452725169999</v>
      </c>
      <c r="E69" s="587">
        <v>0.97902409806799995</v>
      </c>
      <c r="F69" s="585">
        <v>126.004540626758</v>
      </c>
      <c r="G69" s="586">
        <v>52.501891927815002</v>
      </c>
      <c r="H69" s="588">
        <v>9.98</v>
      </c>
      <c r="I69" s="585">
        <v>54.508000000000003</v>
      </c>
      <c r="J69" s="586">
        <v>2.0061080721839999</v>
      </c>
      <c r="K69" s="589">
        <v>0.43258758556499999</v>
      </c>
    </row>
    <row r="70" spans="1:11" ht="14.4" customHeight="1" thickBot="1" x14ac:dyDescent="0.35">
      <c r="A70" s="607" t="s">
        <v>388</v>
      </c>
      <c r="B70" s="585">
        <v>1136.08692052589</v>
      </c>
      <c r="C70" s="585">
        <v>1080.662</v>
      </c>
      <c r="D70" s="586">
        <v>-55.424920525885</v>
      </c>
      <c r="E70" s="587">
        <v>0.95121419010700003</v>
      </c>
      <c r="F70" s="585">
        <v>1095.7712802921201</v>
      </c>
      <c r="G70" s="586">
        <v>456.57136678838401</v>
      </c>
      <c r="H70" s="588">
        <v>59.959000000000003</v>
      </c>
      <c r="I70" s="585">
        <v>526.16400000000101</v>
      </c>
      <c r="J70" s="586">
        <v>69.592633211616999</v>
      </c>
      <c r="K70" s="589">
        <v>0.480176848456</v>
      </c>
    </row>
    <row r="71" spans="1:11" ht="14.4" customHeight="1" thickBot="1" x14ac:dyDescent="0.35">
      <c r="A71" s="608" t="s">
        <v>389</v>
      </c>
      <c r="B71" s="590">
        <v>3897.5775433815802</v>
      </c>
      <c r="C71" s="590">
        <v>4730.1388800000104</v>
      </c>
      <c r="D71" s="591">
        <v>832.56133661842296</v>
      </c>
      <c r="E71" s="597">
        <v>1.2136099480639999</v>
      </c>
      <c r="F71" s="590">
        <v>4584.0515190850501</v>
      </c>
      <c r="G71" s="591">
        <v>1910.0214662854401</v>
      </c>
      <c r="H71" s="593">
        <v>443.95483000000002</v>
      </c>
      <c r="I71" s="590">
        <v>1270.6525899999999</v>
      </c>
      <c r="J71" s="591">
        <v>-639.368876285439</v>
      </c>
      <c r="K71" s="598">
        <v>0.27718985807800001</v>
      </c>
    </row>
    <row r="72" spans="1:11" ht="14.4" customHeight="1" thickBot="1" x14ac:dyDescent="0.35">
      <c r="A72" s="605" t="s">
        <v>45</v>
      </c>
      <c r="B72" s="585">
        <v>848.351419992346</v>
      </c>
      <c r="C72" s="585">
        <v>1361.229</v>
      </c>
      <c r="D72" s="586">
        <v>512.87758000765598</v>
      </c>
      <c r="E72" s="587">
        <v>1.604557931914</v>
      </c>
      <c r="F72" s="585">
        <v>1262.1686412359199</v>
      </c>
      <c r="G72" s="586">
        <v>525.90360051496702</v>
      </c>
      <c r="H72" s="588">
        <v>122.5538</v>
      </c>
      <c r="I72" s="585">
        <v>475.59390999999999</v>
      </c>
      <c r="J72" s="586">
        <v>-50.309690514967002</v>
      </c>
      <c r="K72" s="589">
        <v>0.37680694517500002</v>
      </c>
    </row>
    <row r="73" spans="1:11" ht="14.4" customHeight="1" thickBot="1" x14ac:dyDescent="0.35">
      <c r="A73" s="609" t="s">
        <v>390</v>
      </c>
      <c r="B73" s="585">
        <v>848.351419992346</v>
      </c>
      <c r="C73" s="585">
        <v>1361.229</v>
      </c>
      <c r="D73" s="586">
        <v>512.87758000765598</v>
      </c>
      <c r="E73" s="587">
        <v>1.604557931914</v>
      </c>
      <c r="F73" s="585">
        <v>1262.1686412359199</v>
      </c>
      <c r="G73" s="586">
        <v>525.90360051496702</v>
      </c>
      <c r="H73" s="588">
        <v>122.5538</v>
      </c>
      <c r="I73" s="585">
        <v>475.59390999999999</v>
      </c>
      <c r="J73" s="586">
        <v>-50.309690514967002</v>
      </c>
      <c r="K73" s="589">
        <v>0.37680694517500002</v>
      </c>
    </row>
    <row r="74" spans="1:11" ht="14.4" customHeight="1" thickBot="1" x14ac:dyDescent="0.35">
      <c r="A74" s="607" t="s">
        <v>391</v>
      </c>
      <c r="B74" s="585">
        <v>661.08218885069698</v>
      </c>
      <c r="C74" s="585">
        <v>1214.50443</v>
      </c>
      <c r="D74" s="586">
        <v>553.42224114930502</v>
      </c>
      <c r="E74" s="587">
        <v>1.8371458957489999</v>
      </c>
      <c r="F74" s="585">
        <v>1119.9429471910501</v>
      </c>
      <c r="G74" s="586">
        <v>466.64289466293701</v>
      </c>
      <c r="H74" s="588">
        <v>117.16558999999999</v>
      </c>
      <c r="I74" s="585">
        <v>442.80595</v>
      </c>
      <c r="J74" s="586">
        <v>-23.836944662937</v>
      </c>
      <c r="K74" s="589">
        <v>0.39538259614900001</v>
      </c>
    </row>
    <row r="75" spans="1:11" ht="14.4" customHeight="1" thickBot="1" x14ac:dyDescent="0.35">
      <c r="A75" s="607" t="s">
        <v>392</v>
      </c>
      <c r="B75" s="585">
        <v>0</v>
      </c>
      <c r="C75" s="585">
        <v>8.3339999999999996</v>
      </c>
      <c r="D75" s="586">
        <v>8.3339999999999996</v>
      </c>
      <c r="E75" s="595" t="s">
        <v>322</v>
      </c>
      <c r="F75" s="585">
        <v>0</v>
      </c>
      <c r="G75" s="586">
        <v>0</v>
      </c>
      <c r="H75" s="588">
        <v>4.9406564584124654E-324</v>
      </c>
      <c r="I75" s="585">
        <v>2.4703282292062327E-323</v>
      </c>
      <c r="J75" s="586">
        <v>2.4703282292062327E-323</v>
      </c>
      <c r="K75" s="596" t="s">
        <v>322</v>
      </c>
    </row>
    <row r="76" spans="1:11" ht="14.4" customHeight="1" thickBot="1" x14ac:dyDescent="0.35">
      <c r="A76" s="607" t="s">
        <v>393</v>
      </c>
      <c r="B76" s="585">
        <v>19.282407225438</v>
      </c>
      <c r="C76" s="585">
        <v>26.58053</v>
      </c>
      <c r="D76" s="586">
        <v>7.2981227745619996</v>
      </c>
      <c r="E76" s="587">
        <v>1.3784860826359999</v>
      </c>
      <c r="F76" s="585">
        <v>21.309921317552</v>
      </c>
      <c r="G76" s="586">
        <v>8.8791338823130008</v>
      </c>
      <c r="H76" s="588">
        <v>1.0529999999999999</v>
      </c>
      <c r="I76" s="585">
        <v>1.4770000000000001</v>
      </c>
      <c r="J76" s="586">
        <v>-7.4021338823129996</v>
      </c>
      <c r="K76" s="589">
        <v>6.9310438926000001E-2</v>
      </c>
    </row>
    <row r="77" spans="1:11" ht="14.4" customHeight="1" thickBot="1" x14ac:dyDescent="0.35">
      <c r="A77" s="607" t="s">
        <v>394</v>
      </c>
      <c r="B77" s="585">
        <v>113.990806933854</v>
      </c>
      <c r="C77" s="585">
        <v>87.44726</v>
      </c>
      <c r="D77" s="586">
        <v>-26.543546933853001</v>
      </c>
      <c r="E77" s="587">
        <v>0.76714309120299995</v>
      </c>
      <c r="F77" s="585">
        <v>96.999836234566999</v>
      </c>
      <c r="G77" s="586">
        <v>40.416598431068998</v>
      </c>
      <c r="H77" s="588">
        <v>2.1155599999999999</v>
      </c>
      <c r="I77" s="585">
        <v>18.668479999999999</v>
      </c>
      <c r="J77" s="586">
        <v>-21.748118431068999</v>
      </c>
      <c r="K77" s="589">
        <v>0.19245888162999999</v>
      </c>
    </row>
    <row r="78" spans="1:11" ht="14.4" customHeight="1" thickBot="1" x14ac:dyDescent="0.35">
      <c r="A78" s="607" t="s">
        <v>395</v>
      </c>
      <c r="B78" s="585">
        <v>53.996016982356998</v>
      </c>
      <c r="C78" s="585">
        <v>24.362780000000001</v>
      </c>
      <c r="D78" s="586">
        <v>-29.633236982357001</v>
      </c>
      <c r="E78" s="587">
        <v>0.45119587261299998</v>
      </c>
      <c r="F78" s="585">
        <v>23.915936492752</v>
      </c>
      <c r="G78" s="586">
        <v>9.9649735386459994</v>
      </c>
      <c r="H78" s="588">
        <v>2.2196500000000001</v>
      </c>
      <c r="I78" s="585">
        <v>12.642480000000001</v>
      </c>
      <c r="J78" s="586">
        <v>2.677506461353</v>
      </c>
      <c r="K78" s="589">
        <v>0.52862157431400003</v>
      </c>
    </row>
    <row r="79" spans="1:11" ht="14.4" customHeight="1" thickBot="1" x14ac:dyDescent="0.35">
      <c r="A79" s="610" t="s">
        <v>46</v>
      </c>
      <c r="B79" s="590">
        <v>0</v>
      </c>
      <c r="C79" s="590">
        <v>64.903999999999996</v>
      </c>
      <c r="D79" s="591">
        <v>64.903999999999996</v>
      </c>
      <c r="E79" s="592" t="s">
        <v>322</v>
      </c>
      <c r="F79" s="590">
        <v>0</v>
      </c>
      <c r="G79" s="591">
        <v>0</v>
      </c>
      <c r="H79" s="593">
        <v>16.765000000000001</v>
      </c>
      <c r="I79" s="590">
        <v>41.457999999999998</v>
      </c>
      <c r="J79" s="591">
        <v>41.457999999999998</v>
      </c>
      <c r="K79" s="594" t="s">
        <v>322</v>
      </c>
    </row>
    <row r="80" spans="1:11" ht="14.4" customHeight="1" thickBot="1" x14ac:dyDescent="0.35">
      <c r="A80" s="606" t="s">
        <v>396</v>
      </c>
      <c r="B80" s="590">
        <v>0</v>
      </c>
      <c r="C80" s="590">
        <v>64.903999999999996</v>
      </c>
      <c r="D80" s="591">
        <v>64.903999999999996</v>
      </c>
      <c r="E80" s="592" t="s">
        <v>322</v>
      </c>
      <c r="F80" s="590">
        <v>0</v>
      </c>
      <c r="G80" s="591">
        <v>0</v>
      </c>
      <c r="H80" s="593">
        <v>16.765000000000001</v>
      </c>
      <c r="I80" s="590">
        <v>41.457999999999998</v>
      </c>
      <c r="J80" s="591">
        <v>41.457999999999998</v>
      </c>
      <c r="K80" s="594" t="s">
        <v>322</v>
      </c>
    </row>
    <row r="81" spans="1:11" ht="14.4" customHeight="1" thickBot="1" x14ac:dyDescent="0.35">
      <c r="A81" s="607" t="s">
        <v>397</v>
      </c>
      <c r="B81" s="585">
        <v>0</v>
      </c>
      <c r="C81" s="585">
        <v>45.606000000000002</v>
      </c>
      <c r="D81" s="586">
        <v>45.606000000000002</v>
      </c>
      <c r="E81" s="595" t="s">
        <v>322</v>
      </c>
      <c r="F81" s="585">
        <v>0</v>
      </c>
      <c r="G81" s="586">
        <v>0</v>
      </c>
      <c r="H81" s="588">
        <v>16.765000000000001</v>
      </c>
      <c r="I81" s="585">
        <v>36.707999999999998</v>
      </c>
      <c r="J81" s="586">
        <v>36.707999999999998</v>
      </c>
      <c r="K81" s="596" t="s">
        <v>322</v>
      </c>
    </row>
    <row r="82" spans="1:11" ht="14.4" customHeight="1" thickBot="1" x14ac:dyDescent="0.35">
      <c r="A82" s="607" t="s">
        <v>398</v>
      </c>
      <c r="B82" s="585">
        <v>0</v>
      </c>
      <c r="C82" s="585">
        <v>19.297999999999998</v>
      </c>
      <c r="D82" s="586">
        <v>19.297999999999998</v>
      </c>
      <c r="E82" s="595" t="s">
        <v>322</v>
      </c>
      <c r="F82" s="585">
        <v>0</v>
      </c>
      <c r="G82" s="586">
        <v>0</v>
      </c>
      <c r="H82" s="588">
        <v>4.9406564584124654E-324</v>
      </c>
      <c r="I82" s="585">
        <v>4.75</v>
      </c>
      <c r="J82" s="586">
        <v>4.75</v>
      </c>
      <c r="K82" s="596" t="s">
        <v>322</v>
      </c>
    </row>
    <row r="83" spans="1:11" ht="14.4" customHeight="1" thickBot="1" x14ac:dyDescent="0.35">
      <c r="A83" s="605" t="s">
        <v>47</v>
      </c>
      <c r="B83" s="585">
        <v>3049.22612338924</v>
      </c>
      <c r="C83" s="585">
        <v>3304.0058800000002</v>
      </c>
      <c r="D83" s="586">
        <v>254.77975661076599</v>
      </c>
      <c r="E83" s="587">
        <v>1.0835555469810001</v>
      </c>
      <c r="F83" s="585">
        <v>3321.8828778491302</v>
      </c>
      <c r="G83" s="586">
        <v>1384.11786577047</v>
      </c>
      <c r="H83" s="588">
        <v>304.63603000000001</v>
      </c>
      <c r="I83" s="585">
        <v>753.60068000000001</v>
      </c>
      <c r="J83" s="586">
        <v>-630.517185770472</v>
      </c>
      <c r="K83" s="589">
        <v>0.22685949737200001</v>
      </c>
    </row>
    <row r="84" spans="1:11" ht="14.4" customHeight="1" thickBot="1" x14ac:dyDescent="0.35">
      <c r="A84" s="606" t="s">
        <v>399</v>
      </c>
      <c r="B84" s="590">
        <v>3.638544479289</v>
      </c>
      <c r="C84" s="590">
        <v>3.7149999999999999</v>
      </c>
      <c r="D84" s="591">
        <v>7.6455520710000002E-2</v>
      </c>
      <c r="E84" s="597">
        <v>1.021012666231</v>
      </c>
      <c r="F84" s="590">
        <v>1.484880987748</v>
      </c>
      <c r="G84" s="591">
        <v>0.61870041156099997</v>
      </c>
      <c r="H84" s="593">
        <v>3.4209999999999998</v>
      </c>
      <c r="I84" s="590">
        <v>4.0419999999999998</v>
      </c>
      <c r="J84" s="591">
        <v>3.4232995884380002</v>
      </c>
      <c r="K84" s="598">
        <v>2.7221036792510001</v>
      </c>
    </row>
    <row r="85" spans="1:11" ht="14.4" customHeight="1" thickBot="1" x14ac:dyDescent="0.35">
      <c r="A85" s="607" t="s">
        <v>400</v>
      </c>
      <c r="B85" s="585">
        <v>3.638544479289</v>
      </c>
      <c r="C85" s="585">
        <v>3.7149999999999999</v>
      </c>
      <c r="D85" s="586">
        <v>7.6455520710000002E-2</v>
      </c>
      <c r="E85" s="587">
        <v>1.021012666231</v>
      </c>
      <c r="F85" s="585">
        <v>1.484880987748</v>
      </c>
      <c r="G85" s="586">
        <v>0.61870041156099997</v>
      </c>
      <c r="H85" s="588">
        <v>3.4209999999999998</v>
      </c>
      <c r="I85" s="585">
        <v>4.0419999999999998</v>
      </c>
      <c r="J85" s="586">
        <v>3.4232995884380002</v>
      </c>
      <c r="K85" s="589">
        <v>2.7221036792510001</v>
      </c>
    </row>
    <row r="86" spans="1:11" ht="14.4" customHeight="1" thickBot="1" x14ac:dyDescent="0.35">
      <c r="A86" s="606" t="s">
        <v>401</v>
      </c>
      <c r="B86" s="590">
        <v>22.079735437857</v>
      </c>
      <c r="C86" s="590">
        <v>25.4527</v>
      </c>
      <c r="D86" s="591">
        <v>3.3729645621420001</v>
      </c>
      <c r="E86" s="597">
        <v>1.1527629065859999</v>
      </c>
      <c r="F86" s="590">
        <v>24.489591363542001</v>
      </c>
      <c r="G86" s="591">
        <v>10.203996401475001</v>
      </c>
      <c r="H86" s="593">
        <v>2.6299600000000001</v>
      </c>
      <c r="I86" s="590">
        <v>9.4070499999999999</v>
      </c>
      <c r="J86" s="591">
        <v>-0.79694640147499995</v>
      </c>
      <c r="K86" s="598">
        <v>0.38412441679199999</v>
      </c>
    </row>
    <row r="87" spans="1:11" ht="14.4" customHeight="1" thickBot="1" x14ac:dyDescent="0.35">
      <c r="A87" s="607" t="s">
        <v>402</v>
      </c>
      <c r="B87" s="585">
        <v>6.1794267232840001</v>
      </c>
      <c r="C87" s="585">
        <v>6.9768999999999997</v>
      </c>
      <c r="D87" s="586">
        <v>0.79747327671500001</v>
      </c>
      <c r="E87" s="587">
        <v>1.1290529546550001</v>
      </c>
      <c r="F87" s="585">
        <v>7.137272612326</v>
      </c>
      <c r="G87" s="586">
        <v>2.9738635884689999</v>
      </c>
      <c r="H87" s="588">
        <v>0.92720000000000002</v>
      </c>
      <c r="I87" s="585">
        <v>2.7797999999999998</v>
      </c>
      <c r="J87" s="586">
        <v>-0.19406358846899999</v>
      </c>
      <c r="K87" s="589">
        <v>0.38947650608099998</v>
      </c>
    </row>
    <row r="88" spans="1:11" ht="14.4" customHeight="1" thickBot="1" x14ac:dyDescent="0.35">
      <c r="A88" s="607" t="s">
        <v>403</v>
      </c>
      <c r="B88" s="585">
        <v>15.900308714573001</v>
      </c>
      <c r="C88" s="585">
        <v>18.4758</v>
      </c>
      <c r="D88" s="586">
        <v>2.5754912854269998</v>
      </c>
      <c r="E88" s="587">
        <v>1.161977439033</v>
      </c>
      <c r="F88" s="585">
        <v>17.352318751215002</v>
      </c>
      <c r="G88" s="586">
        <v>7.2301328130059996</v>
      </c>
      <c r="H88" s="588">
        <v>1.7027600000000001</v>
      </c>
      <c r="I88" s="585">
        <v>6.6272500000000001</v>
      </c>
      <c r="J88" s="586">
        <v>-0.602882813006</v>
      </c>
      <c r="K88" s="589">
        <v>0.38192302106800002</v>
      </c>
    </row>
    <row r="89" spans="1:11" ht="14.4" customHeight="1" thickBot="1" x14ac:dyDescent="0.35">
      <c r="A89" s="606" t="s">
        <v>404</v>
      </c>
      <c r="B89" s="590">
        <v>56.007710225220002</v>
      </c>
      <c r="C89" s="590">
        <v>115.90673</v>
      </c>
      <c r="D89" s="591">
        <v>59.899019774780001</v>
      </c>
      <c r="E89" s="597">
        <v>2.0694781046020001</v>
      </c>
      <c r="F89" s="590">
        <v>106.88134014518</v>
      </c>
      <c r="G89" s="591">
        <v>44.533891727158</v>
      </c>
      <c r="H89" s="593">
        <v>10.41568</v>
      </c>
      <c r="I89" s="590">
        <v>53.335680000000004</v>
      </c>
      <c r="J89" s="591">
        <v>8.8017882728409997</v>
      </c>
      <c r="K89" s="598">
        <v>0.49901769501999999</v>
      </c>
    </row>
    <row r="90" spans="1:11" ht="14.4" customHeight="1" thickBot="1" x14ac:dyDescent="0.35">
      <c r="A90" s="607" t="s">
        <v>405</v>
      </c>
      <c r="B90" s="585">
        <v>6.7698301881349998</v>
      </c>
      <c r="C90" s="585">
        <v>6.48</v>
      </c>
      <c r="D90" s="586">
        <v>-0.289830188135</v>
      </c>
      <c r="E90" s="587">
        <v>0.95718796778000004</v>
      </c>
      <c r="F90" s="585">
        <v>6.7120523065229998</v>
      </c>
      <c r="G90" s="586">
        <v>2.7966884610510001</v>
      </c>
      <c r="H90" s="588">
        <v>4.9406564584124654E-324</v>
      </c>
      <c r="I90" s="585">
        <v>3.24</v>
      </c>
      <c r="J90" s="586">
        <v>0.44331153894800002</v>
      </c>
      <c r="K90" s="589">
        <v>0.482713759076</v>
      </c>
    </row>
    <row r="91" spans="1:11" ht="14.4" customHeight="1" thickBot="1" x14ac:dyDescent="0.35">
      <c r="A91" s="607" t="s">
        <v>406</v>
      </c>
      <c r="B91" s="585">
        <v>49.237880037083997</v>
      </c>
      <c r="C91" s="585">
        <v>109.42673000000001</v>
      </c>
      <c r="D91" s="586">
        <v>60.188849962915</v>
      </c>
      <c r="E91" s="587">
        <v>2.222409452185</v>
      </c>
      <c r="F91" s="585">
        <v>100.169287838657</v>
      </c>
      <c r="G91" s="586">
        <v>41.737203266107002</v>
      </c>
      <c r="H91" s="588">
        <v>10.41568</v>
      </c>
      <c r="I91" s="585">
        <v>50.095680000000002</v>
      </c>
      <c r="J91" s="586">
        <v>8.3584767338929993</v>
      </c>
      <c r="K91" s="589">
        <v>0.50011017429500004</v>
      </c>
    </row>
    <row r="92" spans="1:11" ht="14.4" customHeight="1" thickBot="1" x14ac:dyDescent="0.35">
      <c r="A92" s="606" t="s">
        <v>407</v>
      </c>
      <c r="B92" s="590">
        <v>548.25889733499696</v>
      </c>
      <c r="C92" s="590">
        <v>680.6182</v>
      </c>
      <c r="D92" s="591">
        <v>132.35930266500301</v>
      </c>
      <c r="E92" s="597">
        <v>1.2414175188180001</v>
      </c>
      <c r="F92" s="590">
        <v>681.34438929851001</v>
      </c>
      <c r="G92" s="591">
        <v>283.89349554104598</v>
      </c>
      <c r="H92" s="593">
        <v>93.442980000000006</v>
      </c>
      <c r="I92" s="590">
        <v>207.44458</v>
      </c>
      <c r="J92" s="591">
        <v>-76.448915541044997</v>
      </c>
      <c r="K92" s="598">
        <v>0.30446362112600001</v>
      </c>
    </row>
    <row r="93" spans="1:11" ht="14.4" customHeight="1" thickBot="1" x14ac:dyDescent="0.35">
      <c r="A93" s="607" t="s">
        <v>408</v>
      </c>
      <c r="B93" s="585">
        <v>542.00055035752803</v>
      </c>
      <c r="C93" s="585">
        <v>674.19494999999995</v>
      </c>
      <c r="D93" s="586">
        <v>132.19439964247201</v>
      </c>
      <c r="E93" s="587">
        <v>1.2439008586889999</v>
      </c>
      <c r="F93" s="585">
        <v>674.84997911754101</v>
      </c>
      <c r="G93" s="586">
        <v>281.18749129897498</v>
      </c>
      <c r="H93" s="588">
        <v>92.936049999999994</v>
      </c>
      <c r="I93" s="585">
        <v>204.81415999999999</v>
      </c>
      <c r="J93" s="586">
        <v>-76.373331298975003</v>
      </c>
      <c r="K93" s="589">
        <v>0.30349583809399999</v>
      </c>
    </row>
    <row r="94" spans="1:11" ht="14.4" customHeight="1" thickBot="1" x14ac:dyDescent="0.35">
      <c r="A94" s="607" t="s">
        <v>409</v>
      </c>
      <c r="B94" s="585">
        <v>6.2583469774690004</v>
      </c>
      <c r="C94" s="585">
        <v>6.4232500000000003</v>
      </c>
      <c r="D94" s="586">
        <v>0.16490302253</v>
      </c>
      <c r="E94" s="587">
        <v>1.0263492936909999</v>
      </c>
      <c r="F94" s="585">
        <v>6.494410180969</v>
      </c>
      <c r="G94" s="586">
        <v>2.7060042420700001</v>
      </c>
      <c r="H94" s="588">
        <v>0.50692999999999999</v>
      </c>
      <c r="I94" s="585">
        <v>2.63042</v>
      </c>
      <c r="J94" s="586">
        <v>-7.5584242070000002E-2</v>
      </c>
      <c r="K94" s="589">
        <v>0.40502831307199999</v>
      </c>
    </row>
    <row r="95" spans="1:11" ht="14.4" customHeight="1" thickBot="1" x14ac:dyDescent="0.35">
      <c r="A95" s="606" t="s">
        <v>410</v>
      </c>
      <c r="B95" s="590">
        <v>2419.2412359118698</v>
      </c>
      <c r="C95" s="590">
        <v>2478.3132500000002</v>
      </c>
      <c r="D95" s="591">
        <v>59.072014088129002</v>
      </c>
      <c r="E95" s="597">
        <v>1.024417579037</v>
      </c>
      <c r="F95" s="590">
        <v>2507.6826760541499</v>
      </c>
      <c r="G95" s="591">
        <v>1044.86778168923</v>
      </c>
      <c r="H95" s="593">
        <v>193.91591</v>
      </c>
      <c r="I95" s="590">
        <v>474.40586999999999</v>
      </c>
      <c r="J95" s="591">
        <v>-570.46191168923099</v>
      </c>
      <c r="K95" s="598">
        <v>0.18918098152099999</v>
      </c>
    </row>
    <row r="96" spans="1:11" ht="14.4" customHeight="1" thickBot="1" x14ac:dyDescent="0.35">
      <c r="A96" s="607" t="s">
        <v>411</v>
      </c>
      <c r="B96" s="585">
        <v>6.0078406763640002</v>
      </c>
      <c r="C96" s="585">
        <v>24.102</v>
      </c>
      <c r="D96" s="586">
        <v>18.094159323635001</v>
      </c>
      <c r="E96" s="587">
        <v>4.0117575179409997</v>
      </c>
      <c r="F96" s="585">
        <v>24.736281323360998</v>
      </c>
      <c r="G96" s="586">
        <v>10.306783884733999</v>
      </c>
      <c r="H96" s="588">
        <v>4.9406564584124654E-324</v>
      </c>
      <c r="I96" s="585">
        <v>2.4703282292062327E-323</v>
      </c>
      <c r="J96" s="586">
        <v>-10.306783884733999</v>
      </c>
      <c r="K96" s="589">
        <v>0</v>
      </c>
    </row>
    <row r="97" spans="1:11" ht="14.4" customHeight="1" thickBot="1" x14ac:dyDescent="0.35">
      <c r="A97" s="607" t="s">
        <v>412</v>
      </c>
      <c r="B97" s="585">
        <v>1471.73494775365</v>
      </c>
      <c r="C97" s="585">
        <v>1650.74344</v>
      </c>
      <c r="D97" s="586">
        <v>179.00849224635201</v>
      </c>
      <c r="E97" s="587">
        <v>1.121630931248</v>
      </c>
      <c r="F97" s="585">
        <v>1613.00378090872</v>
      </c>
      <c r="G97" s="586">
        <v>672.08490871196796</v>
      </c>
      <c r="H97" s="588">
        <v>128.90877</v>
      </c>
      <c r="I97" s="585">
        <v>206.90651</v>
      </c>
      <c r="J97" s="586">
        <v>-465.17839871196799</v>
      </c>
      <c r="K97" s="589">
        <v>0.12827403906199999</v>
      </c>
    </row>
    <row r="98" spans="1:11" ht="14.4" customHeight="1" thickBot="1" x14ac:dyDescent="0.35">
      <c r="A98" s="607" t="s">
        <v>413</v>
      </c>
      <c r="B98" s="585">
        <v>0</v>
      </c>
      <c r="C98" s="585">
        <v>4.9406564584124654E-324</v>
      </c>
      <c r="D98" s="586">
        <v>4.9406564584124654E-324</v>
      </c>
      <c r="E98" s="595" t="s">
        <v>322</v>
      </c>
      <c r="F98" s="585">
        <v>1.0003644167400001</v>
      </c>
      <c r="G98" s="586">
        <v>0.416818506975</v>
      </c>
      <c r="H98" s="588">
        <v>4.9406564584124654E-324</v>
      </c>
      <c r="I98" s="585">
        <v>2.4703282292062327E-323</v>
      </c>
      <c r="J98" s="586">
        <v>-0.416818506975</v>
      </c>
      <c r="K98" s="589">
        <v>2.4703282292062327E-323</v>
      </c>
    </row>
    <row r="99" spans="1:11" ht="14.4" customHeight="1" thickBot="1" x14ac:dyDescent="0.35">
      <c r="A99" s="607" t="s">
        <v>414</v>
      </c>
      <c r="B99" s="585">
        <v>4.9406564584124654E-324</v>
      </c>
      <c r="C99" s="585">
        <v>4.8901300000000001</v>
      </c>
      <c r="D99" s="586">
        <v>4.8901300000000001</v>
      </c>
      <c r="E99" s="595" t="s">
        <v>328</v>
      </c>
      <c r="F99" s="585">
        <v>4.6200517014060001</v>
      </c>
      <c r="G99" s="586">
        <v>1.9250215422520001</v>
      </c>
      <c r="H99" s="588">
        <v>4.9406564584124654E-324</v>
      </c>
      <c r="I99" s="585">
        <v>0.58079999999999998</v>
      </c>
      <c r="J99" s="586">
        <v>-1.3442215422520001</v>
      </c>
      <c r="K99" s="589">
        <v>0.12571287888900001</v>
      </c>
    </row>
    <row r="100" spans="1:11" ht="14.4" customHeight="1" thickBot="1" x14ac:dyDescent="0.35">
      <c r="A100" s="607" t="s">
        <v>415</v>
      </c>
      <c r="B100" s="585">
        <v>941.49844748185797</v>
      </c>
      <c r="C100" s="585">
        <v>798.57768000000101</v>
      </c>
      <c r="D100" s="586">
        <v>-142.92076748185801</v>
      </c>
      <c r="E100" s="587">
        <v>0.84819861587199996</v>
      </c>
      <c r="F100" s="585">
        <v>864.32219770391998</v>
      </c>
      <c r="G100" s="586">
        <v>360.13424904329997</v>
      </c>
      <c r="H100" s="588">
        <v>65.007140000000007</v>
      </c>
      <c r="I100" s="585">
        <v>266.91856000000001</v>
      </c>
      <c r="J100" s="586">
        <v>-93.215689043300003</v>
      </c>
      <c r="K100" s="589">
        <v>0.30881835582700001</v>
      </c>
    </row>
    <row r="101" spans="1:11" ht="14.4" customHeight="1" thickBot="1" x14ac:dyDescent="0.35">
      <c r="A101" s="606" t="s">
        <v>416</v>
      </c>
      <c r="B101" s="590">
        <v>0</v>
      </c>
      <c r="C101" s="590">
        <v>4.9406564584124654E-324</v>
      </c>
      <c r="D101" s="591">
        <v>4.9406564584124654E-324</v>
      </c>
      <c r="E101" s="592" t="s">
        <v>322</v>
      </c>
      <c r="F101" s="590">
        <v>4.9406564584124654E-324</v>
      </c>
      <c r="G101" s="591">
        <v>0</v>
      </c>
      <c r="H101" s="593">
        <v>0.8105</v>
      </c>
      <c r="I101" s="590">
        <v>4.9654999999999996</v>
      </c>
      <c r="J101" s="591">
        <v>4.9654999999999996</v>
      </c>
      <c r="K101" s="594" t="s">
        <v>328</v>
      </c>
    </row>
    <row r="102" spans="1:11" ht="14.4" customHeight="1" thickBot="1" x14ac:dyDescent="0.35">
      <c r="A102" s="607" t="s">
        <v>417</v>
      </c>
      <c r="B102" s="585">
        <v>0</v>
      </c>
      <c r="C102" s="585">
        <v>4.9406564584124654E-324</v>
      </c>
      <c r="D102" s="586">
        <v>4.9406564584124654E-324</v>
      </c>
      <c r="E102" s="595" t="s">
        <v>322</v>
      </c>
      <c r="F102" s="585">
        <v>4.9406564584124654E-324</v>
      </c>
      <c r="G102" s="586">
        <v>0</v>
      </c>
      <c r="H102" s="588">
        <v>0.8105</v>
      </c>
      <c r="I102" s="585">
        <v>0.8105</v>
      </c>
      <c r="J102" s="586">
        <v>0.8105</v>
      </c>
      <c r="K102" s="596" t="s">
        <v>328</v>
      </c>
    </row>
    <row r="103" spans="1:11" ht="14.4" customHeight="1" thickBot="1" x14ac:dyDescent="0.35">
      <c r="A103" s="607" t="s">
        <v>418</v>
      </c>
      <c r="B103" s="585">
        <v>4.9406564584124654E-324</v>
      </c>
      <c r="C103" s="585">
        <v>4.9406564584124654E-324</v>
      </c>
      <c r="D103" s="586">
        <v>0</v>
      </c>
      <c r="E103" s="587">
        <v>1</v>
      </c>
      <c r="F103" s="585">
        <v>4.9406564584124654E-324</v>
      </c>
      <c r="G103" s="586">
        <v>0</v>
      </c>
      <c r="H103" s="588">
        <v>4.9406564584124654E-324</v>
      </c>
      <c r="I103" s="585">
        <v>4.1550000000000002</v>
      </c>
      <c r="J103" s="586">
        <v>4.1550000000000002</v>
      </c>
      <c r="K103" s="596" t="s">
        <v>328</v>
      </c>
    </row>
    <row r="104" spans="1:11" ht="14.4" customHeight="1" thickBot="1" x14ac:dyDescent="0.35">
      <c r="A104" s="604" t="s">
        <v>48</v>
      </c>
      <c r="B104" s="585">
        <v>86190.976747362904</v>
      </c>
      <c r="C104" s="585">
        <v>98370.369920000099</v>
      </c>
      <c r="D104" s="586">
        <v>12179.393172637199</v>
      </c>
      <c r="E104" s="587">
        <v>1.1413070559380001</v>
      </c>
      <c r="F104" s="585">
        <v>96278.473633319198</v>
      </c>
      <c r="G104" s="586">
        <v>40116.030680549702</v>
      </c>
      <c r="H104" s="588">
        <v>8561.5674199999994</v>
      </c>
      <c r="I104" s="585">
        <v>41549.212019999999</v>
      </c>
      <c r="J104" s="586">
        <v>1433.1813394503799</v>
      </c>
      <c r="K104" s="589">
        <v>0.43155245873699999</v>
      </c>
    </row>
    <row r="105" spans="1:11" ht="14.4" customHeight="1" thickBot="1" x14ac:dyDescent="0.35">
      <c r="A105" s="610" t="s">
        <v>419</v>
      </c>
      <c r="B105" s="590">
        <v>63889.9999999965</v>
      </c>
      <c r="C105" s="590">
        <v>73117.311000000002</v>
      </c>
      <c r="D105" s="591">
        <v>9227.3110000035394</v>
      </c>
      <c r="E105" s="597">
        <v>1.144424964783</v>
      </c>
      <c r="F105" s="590">
        <v>71515.999999998705</v>
      </c>
      <c r="G105" s="591">
        <v>29798.333333332801</v>
      </c>
      <c r="H105" s="593">
        <v>6345.0389999999998</v>
      </c>
      <c r="I105" s="590">
        <v>30793.708999999999</v>
      </c>
      <c r="J105" s="591">
        <v>995.37566666723103</v>
      </c>
      <c r="K105" s="598">
        <v>0.43058489009399997</v>
      </c>
    </row>
    <row r="106" spans="1:11" ht="14.4" customHeight="1" thickBot="1" x14ac:dyDescent="0.35">
      <c r="A106" s="606" t="s">
        <v>420</v>
      </c>
      <c r="B106" s="590">
        <v>63714.9999999965</v>
      </c>
      <c r="C106" s="590">
        <v>72691.883000000002</v>
      </c>
      <c r="D106" s="591">
        <v>8976.8830000035505</v>
      </c>
      <c r="E106" s="597">
        <v>1.1408912030130001</v>
      </c>
      <c r="F106" s="590">
        <v>70737.999999998705</v>
      </c>
      <c r="G106" s="591">
        <v>29474.1666666661</v>
      </c>
      <c r="H106" s="593">
        <v>6302.9</v>
      </c>
      <c r="I106" s="590">
        <v>30574.635999999999</v>
      </c>
      <c r="J106" s="591">
        <v>1100.4693333338901</v>
      </c>
      <c r="K106" s="598">
        <v>0.43222364217199999</v>
      </c>
    </row>
    <row r="107" spans="1:11" ht="14.4" customHeight="1" thickBot="1" x14ac:dyDescent="0.35">
      <c r="A107" s="607" t="s">
        <v>421</v>
      </c>
      <c r="B107" s="585">
        <v>63714.9999999965</v>
      </c>
      <c r="C107" s="585">
        <v>72691.883000000002</v>
      </c>
      <c r="D107" s="586">
        <v>8976.8830000035505</v>
      </c>
      <c r="E107" s="587">
        <v>1.1408912030130001</v>
      </c>
      <c r="F107" s="585">
        <v>70737.999999998705</v>
      </c>
      <c r="G107" s="586">
        <v>29474.1666666661</v>
      </c>
      <c r="H107" s="588">
        <v>6302.9</v>
      </c>
      <c r="I107" s="585">
        <v>30574.635999999999</v>
      </c>
      <c r="J107" s="586">
        <v>1100.4693333338901</v>
      </c>
      <c r="K107" s="589">
        <v>0.43222364217199999</v>
      </c>
    </row>
    <row r="108" spans="1:11" ht="14.4" customHeight="1" thickBot="1" x14ac:dyDescent="0.35">
      <c r="A108" s="606" t="s">
        <v>422</v>
      </c>
      <c r="B108" s="590">
        <v>174.99999999999099</v>
      </c>
      <c r="C108" s="590">
        <v>149.6</v>
      </c>
      <c r="D108" s="591">
        <v>-25.399999999990001</v>
      </c>
      <c r="E108" s="597">
        <v>0.85485714285699999</v>
      </c>
      <c r="F108" s="590">
        <v>540.99999999999</v>
      </c>
      <c r="G108" s="591">
        <v>225.416666666662</v>
      </c>
      <c r="H108" s="593">
        <v>30.6</v>
      </c>
      <c r="I108" s="590">
        <v>158.19999999999999</v>
      </c>
      <c r="J108" s="591">
        <v>-67.216666666661993</v>
      </c>
      <c r="K108" s="598">
        <v>0.29242144177399998</v>
      </c>
    </row>
    <row r="109" spans="1:11" ht="14.4" customHeight="1" thickBot="1" x14ac:dyDescent="0.35">
      <c r="A109" s="607" t="s">
        <v>423</v>
      </c>
      <c r="B109" s="585">
        <v>174.99999999999099</v>
      </c>
      <c r="C109" s="585">
        <v>149.6</v>
      </c>
      <c r="D109" s="586">
        <v>-25.399999999990001</v>
      </c>
      <c r="E109" s="587">
        <v>0.85485714285699999</v>
      </c>
      <c r="F109" s="585">
        <v>540.99999999999</v>
      </c>
      <c r="G109" s="586">
        <v>225.416666666662</v>
      </c>
      <c r="H109" s="588">
        <v>30.6</v>
      </c>
      <c r="I109" s="585">
        <v>158.19999999999999</v>
      </c>
      <c r="J109" s="586">
        <v>-67.216666666661993</v>
      </c>
      <c r="K109" s="589">
        <v>0.29242144177399998</v>
      </c>
    </row>
    <row r="110" spans="1:11" ht="14.4" customHeight="1" thickBot="1" x14ac:dyDescent="0.35">
      <c r="A110" s="606" t="s">
        <v>424</v>
      </c>
      <c r="B110" s="590">
        <v>0</v>
      </c>
      <c r="C110" s="590">
        <v>275.82799999999997</v>
      </c>
      <c r="D110" s="591">
        <v>275.82799999999997</v>
      </c>
      <c r="E110" s="592" t="s">
        <v>322</v>
      </c>
      <c r="F110" s="590">
        <v>236.99999999999599</v>
      </c>
      <c r="G110" s="591">
        <v>98.749999999997996</v>
      </c>
      <c r="H110" s="593">
        <v>11.539</v>
      </c>
      <c r="I110" s="590">
        <v>60.872999999999998</v>
      </c>
      <c r="J110" s="591">
        <v>-37.876999999997999</v>
      </c>
      <c r="K110" s="598">
        <v>0.25684810126500002</v>
      </c>
    </row>
    <row r="111" spans="1:11" ht="14.4" customHeight="1" thickBot="1" x14ac:dyDescent="0.35">
      <c r="A111" s="607" t="s">
        <v>425</v>
      </c>
      <c r="B111" s="585">
        <v>0</v>
      </c>
      <c r="C111" s="585">
        <v>275.82799999999997</v>
      </c>
      <c r="D111" s="586">
        <v>275.82799999999997</v>
      </c>
      <c r="E111" s="595" t="s">
        <v>322</v>
      </c>
      <c r="F111" s="585">
        <v>236.99999999999599</v>
      </c>
      <c r="G111" s="586">
        <v>98.749999999997996</v>
      </c>
      <c r="H111" s="588">
        <v>11.539</v>
      </c>
      <c r="I111" s="585">
        <v>60.872999999999998</v>
      </c>
      <c r="J111" s="586">
        <v>-37.876999999997999</v>
      </c>
      <c r="K111" s="589">
        <v>0.25684810126500002</v>
      </c>
    </row>
    <row r="112" spans="1:11" ht="14.4" customHeight="1" thickBot="1" x14ac:dyDescent="0.35">
      <c r="A112" s="605" t="s">
        <v>426</v>
      </c>
      <c r="B112" s="585">
        <v>21663.9767473664</v>
      </c>
      <c r="C112" s="585">
        <v>24523.378700000001</v>
      </c>
      <c r="D112" s="586">
        <v>2859.4019526335701</v>
      </c>
      <c r="E112" s="587">
        <v>1.131988784237</v>
      </c>
      <c r="F112" s="585">
        <v>24053.4736333205</v>
      </c>
      <c r="G112" s="586">
        <v>10022.2806805502</v>
      </c>
      <c r="H112" s="588">
        <v>2153.3822</v>
      </c>
      <c r="I112" s="585">
        <v>10449.145909999999</v>
      </c>
      <c r="J112" s="586">
        <v>426.86522944980999</v>
      </c>
      <c r="K112" s="589">
        <v>0.43441317745899999</v>
      </c>
    </row>
    <row r="113" spans="1:11" ht="14.4" customHeight="1" thickBot="1" x14ac:dyDescent="0.35">
      <c r="A113" s="606" t="s">
        <v>427</v>
      </c>
      <c r="B113" s="590">
        <v>5733.9999558658801</v>
      </c>
      <c r="C113" s="590">
        <v>6555.4563500000004</v>
      </c>
      <c r="D113" s="591">
        <v>821.45639413412096</v>
      </c>
      <c r="E113" s="597">
        <v>1.143260620937</v>
      </c>
      <c r="F113" s="590">
        <v>6368.4736333208402</v>
      </c>
      <c r="G113" s="591">
        <v>2653.5306805503501</v>
      </c>
      <c r="H113" s="593">
        <v>570.00720000000001</v>
      </c>
      <c r="I113" s="590">
        <v>2765.9369200000001</v>
      </c>
      <c r="J113" s="591">
        <v>112.406239449654</v>
      </c>
      <c r="K113" s="598">
        <v>0.43431708746100001</v>
      </c>
    </row>
    <row r="114" spans="1:11" ht="14.4" customHeight="1" thickBot="1" x14ac:dyDescent="0.35">
      <c r="A114" s="607" t="s">
        <v>428</v>
      </c>
      <c r="B114" s="585">
        <v>5733.9999558658801</v>
      </c>
      <c r="C114" s="585">
        <v>6555.4563500000004</v>
      </c>
      <c r="D114" s="586">
        <v>821.45639413412096</v>
      </c>
      <c r="E114" s="587">
        <v>1.143260620937</v>
      </c>
      <c r="F114" s="585">
        <v>6368.4736333208402</v>
      </c>
      <c r="G114" s="586">
        <v>2653.5306805503501</v>
      </c>
      <c r="H114" s="588">
        <v>570.00720000000001</v>
      </c>
      <c r="I114" s="585">
        <v>2765.9369200000001</v>
      </c>
      <c r="J114" s="586">
        <v>112.406239449654</v>
      </c>
      <c r="K114" s="589">
        <v>0.43431708746100001</v>
      </c>
    </row>
    <row r="115" spans="1:11" ht="14.4" customHeight="1" thickBot="1" x14ac:dyDescent="0.35">
      <c r="A115" s="606" t="s">
        <v>429</v>
      </c>
      <c r="B115" s="590">
        <v>15929.9767915006</v>
      </c>
      <c r="C115" s="590">
        <v>17967.922350000001</v>
      </c>
      <c r="D115" s="591">
        <v>2037.94555849945</v>
      </c>
      <c r="E115" s="597">
        <v>1.1279314832130001</v>
      </c>
      <c r="F115" s="590">
        <v>17684.9999999996</v>
      </c>
      <c r="G115" s="591">
        <v>7368.7499999998499</v>
      </c>
      <c r="H115" s="593">
        <v>1583.375</v>
      </c>
      <c r="I115" s="590">
        <v>7683.2089900000101</v>
      </c>
      <c r="J115" s="591">
        <v>314.45899000015697</v>
      </c>
      <c r="K115" s="598">
        <v>0.43444778003899998</v>
      </c>
    </row>
    <row r="116" spans="1:11" ht="14.4" customHeight="1" thickBot="1" x14ac:dyDescent="0.35">
      <c r="A116" s="607" t="s">
        <v>430</v>
      </c>
      <c r="B116" s="585">
        <v>15929.9767915006</v>
      </c>
      <c r="C116" s="585">
        <v>17967.922350000001</v>
      </c>
      <c r="D116" s="586">
        <v>2037.94555849945</v>
      </c>
      <c r="E116" s="587">
        <v>1.1279314832130001</v>
      </c>
      <c r="F116" s="585">
        <v>17684.9999999996</v>
      </c>
      <c r="G116" s="586">
        <v>7368.7499999998499</v>
      </c>
      <c r="H116" s="588">
        <v>1583.375</v>
      </c>
      <c r="I116" s="585">
        <v>7683.2089900000101</v>
      </c>
      <c r="J116" s="586">
        <v>314.45899000015697</v>
      </c>
      <c r="K116" s="589">
        <v>0.43444778003899998</v>
      </c>
    </row>
    <row r="117" spans="1:11" ht="14.4" customHeight="1" thickBot="1" x14ac:dyDescent="0.35">
      <c r="A117" s="605" t="s">
        <v>431</v>
      </c>
      <c r="B117" s="585">
        <v>636.99999999996498</v>
      </c>
      <c r="C117" s="585">
        <v>729.68021999999996</v>
      </c>
      <c r="D117" s="586">
        <v>92.680220000035007</v>
      </c>
      <c r="E117" s="587">
        <v>1.1454948508630001</v>
      </c>
      <c r="F117" s="585">
        <v>708.99999999998602</v>
      </c>
      <c r="G117" s="586">
        <v>295.416666666661</v>
      </c>
      <c r="H117" s="588">
        <v>63.14622</v>
      </c>
      <c r="I117" s="585">
        <v>306.35710999999998</v>
      </c>
      <c r="J117" s="586">
        <v>10.940443333338999</v>
      </c>
      <c r="K117" s="589">
        <v>0.43209747531699999</v>
      </c>
    </row>
    <row r="118" spans="1:11" ht="14.4" customHeight="1" thickBot="1" x14ac:dyDescent="0.35">
      <c r="A118" s="606" t="s">
        <v>432</v>
      </c>
      <c r="B118" s="590">
        <v>636.99999999996498</v>
      </c>
      <c r="C118" s="590">
        <v>729.68021999999996</v>
      </c>
      <c r="D118" s="591">
        <v>92.680220000035007</v>
      </c>
      <c r="E118" s="597">
        <v>1.1454948508630001</v>
      </c>
      <c r="F118" s="590">
        <v>708.99999999998602</v>
      </c>
      <c r="G118" s="591">
        <v>295.416666666661</v>
      </c>
      <c r="H118" s="593">
        <v>63.14622</v>
      </c>
      <c r="I118" s="590">
        <v>306.35710999999998</v>
      </c>
      <c r="J118" s="591">
        <v>10.940443333338999</v>
      </c>
      <c r="K118" s="598">
        <v>0.43209747531699999</v>
      </c>
    </row>
    <row r="119" spans="1:11" ht="14.4" customHeight="1" thickBot="1" x14ac:dyDescent="0.35">
      <c r="A119" s="607" t="s">
        <v>433</v>
      </c>
      <c r="B119" s="585">
        <v>636.99999999996498</v>
      </c>
      <c r="C119" s="585">
        <v>729.68021999999996</v>
      </c>
      <c r="D119" s="586">
        <v>92.680220000035007</v>
      </c>
      <c r="E119" s="587">
        <v>1.1454948508630001</v>
      </c>
      <c r="F119" s="585">
        <v>708.99999999998602</v>
      </c>
      <c r="G119" s="586">
        <v>295.416666666661</v>
      </c>
      <c r="H119" s="588">
        <v>63.14622</v>
      </c>
      <c r="I119" s="585">
        <v>306.35710999999998</v>
      </c>
      <c r="J119" s="586">
        <v>10.940443333338999</v>
      </c>
      <c r="K119" s="589">
        <v>0.43209747531699999</v>
      </c>
    </row>
    <row r="120" spans="1:11" ht="14.4" customHeight="1" thickBot="1" x14ac:dyDescent="0.35">
      <c r="A120" s="604" t="s">
        <v>434</v>
      </c>
      <c r="B120" s="585">
        <v>0</v>
      </c>
      <c r="C120" s="585">
        <v>441.79250999999999</v>
      </c>
      <c r="D120" s="586">
        <v>441.79250999999999</v>
      </c>
      <c r="E120" s="595" t="s">
        <v>322</v>
      </c>
      <c r="F120" s="585">
        <v>0</v>
      </c>
      <c r="G120" s="586">
        <v>0</v>
      </c>
      <c r="H120" s="588">
        <v>12.955</v>
      </c>
      <c r="I120" s="585">
        <v>61.239750000000001</v>
      </c>
      <c r="J120" s="586">
        <v>61.239750000000001</v>
      </c>
      <c r="K120" s="596" t="s">
        <v>322</v>
      </c>
    </row>
    <row r="121" spans="1:11" ht="14.4" customHeight="1" thickBot="1" x14ac:dyDescent="0.35">
      <c r="A121" s="605" t="s">
        <v>435</v>
      </c>
      <c r="B121" s="585">
        <v>0</v>
      </c>
      <c r="C121" s="585">
        <v>304.90600000000001</v>
      </c>
      <c r="D121" s="586">
        <v>304.90600000000001</v>
      </c>
      <c r="E121" s="595" t="s">
        <v>322</v>
      </c>
      <c r="F121" s="585">
        <v>0</v>
      </c>
      <c r="G121" s="586">
        <v>0</v>
      </c>
      <c r="H121" s="588">
        <v>4.9406564584124654E-324</v>
      </c>
      <c r="I121" s="585">
        <v>2.4703282292062327E-323</v>
      </c>
      <c r="J121" s="586">
        <v>2.4703282292062327E-323</v>
      </c>
      <c r="K121" s="596" t="s">
        <v>322</v>
      </c>
    </row>
    <row r="122" spans="1:11" ht="14.4" customHeight="1" thickBot="1" x14ac:dyDescent="0.35">
      <c r="A122" s="606" t="s">
        <v>436</v>
      </c>
      <c r="B122" s="590">
        <v>0</v>
      </c>
      <c r="C122" s="590">
        <v>304.90600000000001</v>
      </c>
      <c r="D122" s="591">
        <v>304.90600000000001</v>
      </c>
      <c r="E122" s="592" t="s">
        <v>322</v>
      </c>
      <c r="F122" s="590">
        <v>0</v>
      </c>
      <c r="G122" s="591">
        <v>0</v>
      </c>
      <c r="H122" s="593">
        <v>4.9406564584124654E-324</v>
      </c>
      <c r="I122" s="590">
        <v>2.4703282292062327E-323</v>
      </c>
      <c r="J122" s="591">
        <v>2.4703282292062327E-323</v>
      </c>
      <c r="K122" s="594" t="s">
        <v>322</v>
      </c>
    </row>
    <row r="123" spans="1:11" ht="14.4" customHeight="1" thickBot="1" x14ac:dyDescent="0.35">
      <c r="A123" s="607" t="s">
        <v>437</v>
      </c>
      <c r="B123" s="585">
        <v>0</v>
      </c>
      <c r="C123" s="585">
        <v>304.90600000000001</v>
      </c>
      <c r="D123" s="586">
        <v>304.90600000000001</v>
      </c>
      <c r="E123" s="595" t="s">
        <v>322</v>
      </c>
      <c r="F123" s="585">
        <v>0</v>
      </c>
      <c r="G123" s="586">
        <v>0</v>
      </c>
      <c r="H123" s="588">
        <v>4.9406564584124654E-324</v>
      </c>
      <c r="I123" s="585">
        <v>2.4703282292062327E-323</v>
      </c>
      <c r="J123" s="586">
        <v>2.4703282292062327E-323</v>
      </c>
      <c r="K123" s="596" t="s">
        <v>322</v>
      </c>
    </row>
    <row r="124" spans="1:11" ht="14.4" customHeight="1" thickBot="1" x14ac:dyDescent="0.35">
      <c r="A124" s="605" t="s">
        <v>438</v>
      </c>
      <c r="B124" s="585">
        <v>0</v>
      </c>
      <c r="C124" s="585">
        <v>136.88650999999999</v>
      </c>
      <c r="D124" s="586">
        <v>136.88650999999999</v>
      </c>
      <c r="E124" s="595" t="s">
        <v>322</v>
      </c>
      <c r="F124" s="585">
        <v>0</v>
      </c>
      <c r="G124" s="586">
        <v>0</v>
      </c>
      <c r="H124" s="588">
        <v>12.955</v>
      </c>
      <c r="I124" s="585">
        <v>61.239750000000001</v>
      </c>
      <c r="J124" s="586">
        <v>61.239750000000001</v>
      </c>
      <c r="K124" s="596" t="s">
        <v>322</v>
      </c>
    </row>
    <row r="125" spans="1:11" ht="14.4" customHeight="1" thickBot="1" x14ac:dyDescent="0.35">
      <c r="A125" s="606" t="s">
        <v>439</v>
      </c>
      <c r="B125" s="590">
        <v>0</v>
      </c>
      <c r="C125" s="590">
        <v>77.328509999999994</v>
      </c>
      <c r="D125" s="591">
        <v>77.328509999999994</v>
      </c>
      <c r="E125" s="592" t="s">
        <v>322</v>
      </c>
      <c r="F125" s="590">
        <v>0</v>
      </c>
      <c r="G125" s="591">
        <v>0</v>
      </c>
      <c r="H125" s="593">
        <v>0.755</v>
      </c>
      <c r="I125" s="590">
        <v>19.607749999999999</v>
      </c>
      <c r="J125" s="591">
        <v>19.607749999999999</v>
      </c>
      <c r="K125" s="594" t="s">
        <v>322</v>
      </c>
    </row>
    <row r="126" spans="1:11" ht="14.4" customHeight="1" thickBot="1" x14ac:dyDescent="0.35">
      <c r="A126" s="607" t="s">
        <v>440</v>
      </c>
      <c r="B126" s="585">
        <v>0</v>
      </c>
      <c r="C126" s="585">
        <v>15.293509999999999</v>
      </c>
      <c r="D126" s="586">
        <v>15.293509999999999</v>
      </c>
      <c r="E126" s="595" t="s">
        <v>322</v>
      </c>
      <c r="F126" s="585">
        <v>0</v>
      </c>
      <c r="G126" s="586">
        <v>0</v>
      </c>
      <c r="H126" s="588">
        <v>0.255</v>
      </c>
      <c r="I126" s="585">
        <v>1.1247499999999999</v>
      </c>
      <c r="J126" s="586">
        <v>1.1247499999999999</v>
      </c>
      <c r="K126" s="596" t="s">
        <v>322</v>
      </c>
    </row>
    <row r="127" spans="1:11" ht="14.4" customHeight="1" thickBot="1" x14ac:dyDescent="0.35">
      <c r="A127" s="607" t="s">
        <v>441</v>
      </c>
      <c r="B127" s="585">
        <v>4.9406564584124654E-324</v>
      </c>
      <c r="C127" s="585">
        <v>4.9406564584124654E-324</v>
      </c>
      <c r="D127" s="586">
        <v>0</v>
      </c>
      <c r="E127" s="587">
        <v>1</v>
      </c>
      <c r="F127" s="585">
        <v>4.9406564584124654E-324</v>
      </c>
      <c r="G127" s="586">
        <v>0</v>
      </c>
      <c r="H127" s="588">
        <v>4.9406564584124654E-324</v>
      </c>
      <c r="I127" s="585">
        <v>-4.1550000000000002</v>
      </c>
      <c r="J127" s="586">
        <v>-4.1550000000000002</v>
      </c>
      <c r="K127" s="596" t="s">
        <v>328</v>
      </c>
    </row>
    <row r="128" spans="1:11" ht="14.4" customHeight="1" thickBot="1" x14ac:dyDescent="0.35">
      <c r="A128" s="607" t="s">
        <v>442</v>
      </c>
      <c r="B128" s="585">
        <v>0</v>
      </c>
      <c r="C128" s="585">
        <v>61.534999999999997</v>
      </c>
      <c r="D128" s="586">
        <v>61.534999999999997</v>
      </c>
      <c r="E128" s="595" t="s">
        <v>322</v>
      </c>
      <c r="F128" s="585">
        <v>0</v>
      </c>
      <c r="G128" s="586">
        <v>0</v>
      </c>
      <c r="H128" s="588">
        <v>0.5</v>
      </c>
      <c r="I128" s="585">
        <v>22.538</v>
      </c>
      <c r="J128" s="586">
        <v>22.538</v>
      </c>
      <c r="K128" s="596" t="s">
        <v>322</v>
      </c>
    </row>
    <row r="129" spans="1:11" ht="14.4" customHeight="1" thickBot="1" x14ac:dyDescent="0.35">
      <c r="A129" s="607" t="s">
        <v>443</v>
      </c>
      <c r="B129" s="585">
        <v>4.9406564584124654E-324</v>
      </c>
      <c r="C129" s="585">
        <v>0.49999999999900002</v>
      </c>
      <c r="D129" s="586">
        <v>0.49999999999900002</v>
      </c>
      <c r="E129" s="595" t="s">
        <v>328</v>
      </c>
      <c r="F129" s="585">
        <v>0</v>
      </c>
      <c r="G129" s="586">
        <v>0</v>
      </c>
      <c r="H129" s="588">
        <v>4.9406564584124654E-324</v>
      </c>
      <c r="I129" s="585">
        <v>0.1</v>
      </c>
      <c r="J129" s="586">
        <v>0.1</v>
      </c>
      <c r="K129" s="596" t="s">
        <v>322</v>
      </c>
    </row>
    <row r="130" spans="1:11" ht="14.4" customHeight="1" thickBot="1" x14ac:dyDescent="0.35">
      <c r="A130" s="606" t="s">
        <v>444</v>
      </c>
      <c r="B130" s="590">
        <v>0</v>
      </c>
      <c r="C130" s="590">
        <v>1.5740000000000001</v>
      </c>
      <c r="D130" s="591">
        <v>1.5740000000000001</v>
      </c>
      <c r="E130" s="592" t="s">
        <v>322</v>
      </c>
      <c r="F130" s="590">
        <v>0</v>
      </c>
      <c r="G130" s="591">
        <v>0</v>
      </c>
      <c r="H130" s="593">
        <v>1.2</v>
      </c>
      <c r="I130" s="590">
        <v>1.2</v>
      </c>
      <c r="J130" s="591">
        <v>1.2</v>
      </c>
      <c r="K130" s="594" t="s">
        <v>322</v>
      </c>
    </row>
    <row r="131" spans="1:11" ht="14.4" customHeight="1" thickBot="1" x14ac:dyDescent="0.35">
      <c r="A131" s="607" t="s">
        <v>445</v>
      </c>
      <c r="B131" s="585">
        <v>0</v>
      </c>
      <c r="C131" s="585">
        <v>1.5740000000000001</v>
      </c>
      <c r="D131" s="586">
        <v>1.5740000000000001</v>
      </c>
      <c r="E131" s="595" t="s">
        <v>322</v>
      </c>
      <c r="F131" s="585">
        <v>0</v>
      </c>
      <c r="G131" s="586">
        <v>0</v>
      </c>
      <c r="H131" s="588">
        <v>1.2</v>
      </c>
      <c r="I131" s="585">
        <v>1.2</v>
      </c>
      <c r="J131" s="586">
        <v>1.2</v>
      </c>
      <c r="K131" s="596" t="s">
        <v>322</v>
      </c>
    </row>
    <row r="132" spans="1:11" ht="14.4" customHeight="1" thickBot="1" x14ac:dyDescent="0.35">
      <c r="A132" s="609" t="s">
        <v>446</v>
      </c>
      <c r="B132" s="585">
        <v>0</v>
      </c>
      <c r="C132" s="585">
        <v>28.663</v>
      </c>
      <c r="D132" s="586">
        <v>28.663</v>
      </c>
      <c r="E132" s="595" t="s">
        <v>322</v>
      </c>
      <c r="F132" s="585">
        <v>0</v>
      </c>
      <c r="G132" s="586">
        <v>0</v>
      </c>
      <c r="H132" s="588">
        <v>4.9406564584124654E-324</v>
      </c>
      <c r="I132" s="585">
        <v>8.4320000000000004</v>
      </c>
      <c r="J132" s="586">
        <v>8.4320000000000004</v>
      </c>
      <c r="K132" s="596" t="s">
        <v>322</v>
      </c>
    </row>
    <row r="133" spans="1:11" ht="14.4" customHeight="1" thickBot="1" x14ac:dyDescent="0.35">
      <c r="A133" s="607" t="s">
        <v>447</v>
      </c>
      <c r="B133" s="585">
        <v>0</v>
      </c>
      <c r="C133" s="585">
        <v>28.663</v>
      </c>
      <c r="D133" s="586">
        <v>28.663</v>
      </c>
      <c r="E133" s="595" t="s">
        <v>322</v>
      </c>
      <c r="F133" s="585">
        <v>0</v>
      </c>
      <c r="G133" s="586">
        <v>0</v>
      </c>
      <c r="H133" s="588">
        <v>4.9406564584124654E-324</v>
      </c>
      <c r="I133" s="585">
        <v>8.4320000000000004</v>
      </c>
      <c r="J133" s="586">
        <v>8.4320000000000004</v>
      </c>
      <c r="K133" s="596" t="s">
        <v>322</v>
      </c>
    </row>
    <row r="134" spans="1:11" ht="14.4" customHeight="1" thickBot="1" x14ac:dyDescent="0.35">
      <c r="A134" s="609" t="s">
        <v>448</v>
      </c>
      <c r="B134" s="585">
        <v>0</v>
      </c>
      <c r="C134" s="585">
        <v>28.321000000000002</v>
      </c>
      <c r="D134" s="586">
        <v>28.321000000000002</v>
      </c>
      <c r="E134" s="595" t="s">
        <v>322</v>
      </c>
      <c r="F134" s="585">
        <v>0</v>
      </c>
      <c r="G134" s="586">
        <v>0</v>
      </c>
      <c r="H134" s="588">
        <v>11</v>
      </c>
      <c r="I134" s="585">
        <v>32</v>
      </c>
      <c r="J134" s="586">
        <v>32</v>
      </c>
      <c r="K134" s="596" t="s">
        <v>322</v>
      </c>
    </row>
    <row r="135" spans="1:11" ht="14.4" customHeight="1" thickBot="1" x14ac:dyDescent="0.35">
      <c r="A135" s="607" t="s">
        <v>449</v>
      </c>
      <c r="B135" s="585">
        <v>0</v>
      </c>
      <c r="C135" s="585">
        <v>28.321000000000002</v>
      </c>
      <c r="D135" s="586">
        <v>28.321000000000002</v>
      </c>
      <c r="E135" s="595" t="s">
        <v>322</v>
      </c>
      <c r="F135" s="585">
        <v>0</v>
      </c>
      <c r="G135" s="586">
        <v>0</v>
      </c>
      <c r="H135" s="588">
        <v>11</v>
      </c>
      <c r="I135" s="585">
        <v>32</v>
      </c>
      <c r="J135" s="586">
        <v>32</v>
      </c>
      <c r="K135" s="596" t="s">
        <v>322</v>
      </c>
    </row>
    <row r="136" spans="1:11" ht="14.4" customHeight="1" thickBot="1" x14ac:dyDescent="0.35">
      <c r="A136" s="609" t="s">
        <v>450</v>
      </c>
      <c r="B136" s="585">
        <v>4.9406564584124654E-324</v>
      </c>
      <c r="C136" s="585">
        <v>1</v>
      </c>
      <c r="D136" s="586">
        <v>1</v>
      </c>
      <c r="E136" s="595" t="s">
        <v>328</v>
      </c>
      <c r="F136" s="585">
        <v>0</v>
      </c>
      <c r="G136" s="586">
        <v>0</v>
      </c>
      <c r="H136" s="588">
        <v>4.9406564584124654E-324</v>
      </c>
      <c r="I136" s="585">
        <v>2.4703282292062327E-323</v>
      </c>
      <c r="J136" s="586">
        <v>2.4703282292062327E-323</v>
      </c>
      <c r="K136" s="596" t="s">
        <v>322</v>
      </c>
    </row>
    <row r="137" spans="1:11" ht="14.4" customHeight="1" thickBot="1" x14ac:dyDescent="0.35">
      <c r="A137" s="607" t="s">
        <v>451</v>
      </c>
      <c r="B137" s="585">
        <v>4.9406564584124654E-324</v>
      </c>
      <c r="C137" s="585">
        <v>1</v>
      </c>
      <c r="D137" s="586">
        <v>1</v>
      </c>
      <c r="E137" s="595" t="s">
        <v>328</v>
      </c>
      <c r="F137" s="585">
        <v>0</v>
      </c>
      <c r="G137" s="586">
        <v>0</v>
      </c>
      <c r="H137" s="588">
        <v>4.9406564584124654E-324</v>
      </c>
      <c r="I137" s="585">
        <v>2.4703282292062327E-323</v>
      </c>
      <c r="J137" s="586">
        <v>2.4703282292062327E-323</v>
      </c>
      <c r="K137" s="596" t="s">
        <v>322</v>
      </c>
    </row>
    <row r="138" spans="1:11" ht="14.4" customHeight="1" thickBot="1" x14ac:dyDescent="0.35">
      <c r="A138" s="604" t="s">
        <v>452</v>
      </c>
      <c r="B138" s="585">
        <v>9226.9999999994998</v>
      </c>
      <c r="C138" s="585">
        <v>9072.0079800000003</v>
      </c>
      <c r="D138" s="586">
        <v>-154.992019999494</v>
      </c>
      <c r="E138" s="587">
        <v>0.98320233878800001</v>
      </c>
      <c r="F138" s="585">
        <v>7680.9827214534698</v>
      </c>
      <c r="G138" s="586">
        <v>3200.4094672722799</v>
      </c>
      <c r="H138" s="588">
        <v>657.57989999999995</v>
      </c>
      <c r="I138" s="585">
        <v>3486.8847500000002</v>
      </c>
      <c r="J138" s="586">
        <v>286.47528272772303</v>
      </c>
      <c r="K138" s="589">
        <v>0.45396336334100001</v>
      </c>
    </row>
    <row r="139" spans="1:11" ht="14.4" customHeight="1" thickBot="1" x14ac:dyDescent="0.35">
      <c r="A139" s="605" t="s">
        <v>453</v>
      </c>
      <c r="B139" s="585">
        <v>9226.9999999994998</v>
      </c>
      <c r="C139" s="585">
        <v>8997.2099999999991</v>
      </c>
      <c r="D139" s="586">
        <v>-229.78999999949301</v>
      </c>
      <c r="E139" s="587">
        <v>0.97509591416499997</v>
      </c>
      <c r="F139" s="585">
        <v>7680.9827214534698</v>
      </c>
      <c r="G139" s="586">
        <v>3200.4094672722799</v>
      </c>
      <c r="H139" s="588">
        <v>653.59900000000005</v>
      </c>
      <c r="I139" s="585">
        <v>3467.0709999999999</v>
      </c>
      <c r="J139" s="586">
        <v>266.661532727723</v>
      </c>
      <c r="K139" s="589">
        <v>0.451383778056</v>
      </c>
    </row>
    <row r="140" spans="1:11" ht="14.4" customHeight="1" thickBot="1" x14ac:dyDescent="0.35">
      <c r="A140" s="606" t="s">
        <v>454</v>
      </c>
      <c r="B140" s="590">
        <v>9226.9999999994998</v>
      </c>
      <c r="C140" s="590">
        <v>8989.8680000000004</v>
      </c>
      <c r="D140" s="591">
        <v>-237.13199999949401</v>
      </c>
      <c r="E140" s="597">
        <v>0.97430020591699995</v>
      </c>
      <c r="F140" s="590">
        <v>7680.9827214534698</v>
      </c>
      <c r="G140" s="591">
        <v>3200.4094672722799</v>
      </c>
      <c r="H140" s="593">
        <v>653.59900000000005</v>
      </c>
      <c r="I140" s="590">
        <v>3442.875</v>
      </c>
      <c r="J140" s="591">
        <v>242.465532727723</v>
      </c>
      <c r="K140" s="598">
        <v>0.44823366030799999</v>
      </c>
    </row>
    <row r="141" spans="1:11" ht="14.4" customHeight="1" thickBot="1" x14ac:dyDescent="0.35">
      <c r="A141" s="607" t="s">
        <v>455</v>
      </c>
      <c r="B141" s="585">
        <v>210.99999999998801</v>
      </c>
      <c r="C141" s="585">
        <v>198.108</v>
      </c>
      <c r="D141" s="586">
        <v>-12.891999999988</v>
      </c>
      <c r="E141" s="587">
        <v>0.93890047393300002</v>
      </c>
      <c r="F141" s="585">
        <v>193.992292422985</v>
      </c>
      <c r="G141" s="586">
        <v>80.830121842910003</v>
      </c>
      <c r="H141" s="588">
        <v>16.105</v>
      </c>
      <c r="I141" s="585">
        <v>80.525000000000006</v>
      </c>
      <c r="J141" s="586">
        <v>-0.30512184291</v>
      </c>
      <c r="K141" s="589">
        <v>0.415093811172</v>
      </c>
    </row>
    <row r="142" spans="1:11" ht="14.4" customHeight="1" thickBot="1" x14ac:dyDescent="0.35">
      <c r="A142" s="607" t="s">
        <v>456</v>
      </c>
      <c r="B142" s="585">
        <v>1387.99999999992</v>
      </c>
      <c r="C142" s="585">
        <v>1300.3399999999999</v>
      </c>
      <c r="D142" s="586">
        <v>-87.659999999923002</v>
      </c>
      <c r="E142" s="587">
        <v>0.936844380403</v>
      </c>
      <c r="F142" s="585">
        <v>1362.99999999998</v>
      </c>
      <c r="G142" s="586">
        <v>567.91666666665606</v>
      </c>
      <c r="H142" s="588">
        <v>113.70099999999999</v>
      </c>
      <c r="I142" s="585">
        <v>567.34600000000103</v>
      </c>
      <c r="J142" s="586">
        <v>-0.57066666665499999</v>
      </c>
      <c r="K142" s="589">
        <v>0.41624798239100003</v>
      </c>
    </row>
    <row r="143" spans="1:11" ht="14.4" customHeight="1" thickBot="1" x14ac:dyDescent="0.35">
      <c r="A143" s="607" t="s">
        <v>457</v>
      </c>
      <c r="B143" s="585">
        <v>937.99999999994895</v>
      </c>
      <c r="C143" s="585">
        <v>819.53700000000003</v>
      </c>
      <c r="D143" s="586">
        <v>-118.462999999948</v>
      </c>
      <c r="E143" s="587">
        <v>0.87370682302699998</v>
      </c>
      <c r="F143" s="585">
        <v>776.99042903061195</v>
      </c>
      <c r="G143" s="586">
        <v>323.74601209608801</v>
      </c>
      <c r="H143" s="588">
        <v>64.709000000000003</v>
      </c>
      <c r="I143" s="585">
        <v>323.54500000000002</v>
      </c>
      <c r="J143" s="586">
        <v>-0.20101209608699999</v>
      </c>
      <c r="K143" s="589">
        <v>0.41640796065300001</v>
      </c>
    </row>
    <row r="144" spans="1:11" ht="14.4" customHeight="1" thickBot="1" x14ac:dyDescent="0.35">
      <c r="A144" s="607" t="s">
        <v>458</v>
      </c>
      <c r="B144" s="585">
        <v>6610.9999999996398</v>
      </c>
      <c r="C144" s="585">
        <v>6592.2870000000003</v>
      </c>
      <c r="D144" s="586">
        <v>-18.712999999636001</v>
      </c>
      <c r="E144" s="587">
        <v>0.99716941461200004</v>
      </c>
      <c r="F144" s="585">
        <v>5269.99999999991</v>
      </c>
      <c r="G144" s="586">
        <v>2195.8333333332898</v>
      </c>
      <c r="H144" s="588">
        <v>452.45299999999997</v>
      </c>
      <c r="I144" s="585">
        <v>2438.3040000000001</v>
      </c>
      <c r="J144" s="586">
        <v>242.47066666670901</v>
      </c>
      <c r="K144" s="589">
        <v>0.46267628083399998</v>
      </c>
    </row>
    <row r="145" spans="1:11" ht="14.4" customHeight="1" thickBot="1" x14ac:dyDescent="0.35">
      <c r="A145" s="607" t="s">
        <v>459</v>
      </c>
      <c r="B145" s="585">
        <v>78.999999999994998</v>
      </c>
      <c r="C145" s="585">
        <v>79.596000000000004</v>
      </c>
      <c r="D145" s="586">
        <v>0.596000000004</v>
      </c>
      <c r="E145" s="587">
        <v>1.007544303797</v>
      </c>
      <c r="F145" s="585">
        <v>76.999999999997996</v>
      </c>
      <c r="G145" s="586">
        <v>32.083333333332</v>
      </c>
      <c r="H145" s="588">
        <v>6.6310000000000002</v>
      </c>
      <c r="I145" s="585">
        <v>33.155000000000001</v>
      </c>
      <c r="J145" s="586">
        <v>1.0716666666670001</v>
      </c>
      <c r="K145" s="589">
        <v>0.43058441558400001</v>
      </c>
    </row>
    <row r="146" spans="1:11" ht="14.4" customHeight="1" thickBot="1" x14ac:dyDescent="0.35">
      <c r="A146" s="606" t="s">
        <v>460</v>
      </c>
      <c r="B146" s="590">
        <v>0</v>
      </c>
      <c r="C146" s="590">
        <v>7.3419999999990004</v>
      </c>
      <c r="D146" s="591">
        <v>7.3419999999990004</v>
      </c>
      <c r="E146" s="592" t="s">
        <v>322</v>
      </c>
      <c r="F146" s="590">
        <v>0</v>
      </c>
      <c r="G146" s="591">
        <v>0</v>
      </c>
      <c r="H146" s="593">
        <v>4.9406564584124654E-324</v>
      </c>
      <c r="I146" s="590">
        <v>24.196000000000002</v>
      </c>
      <c r="J146" s="591">
        <v>24.196000000000002</v>
      </c>
      <c r="K146" s="594" t="s">
        <v>322</v>
      </c>
    </row>
    <row r="147" spans="1:11" ht="14.4" customHeight="1" thickBot="1" x14ac:dyDescent="0.35">
      <c r="A147" s="607" t="s">
        <v>461</v>
      </c>
      <c r="B147" s="585">
        <v>0</v>
      </c>
      <c r="C147" s="585">
        <v>7.3419999999990004</v>
      </c>
      <c r="D147" s="586">
        <v>7.3419999999990004</v>
      </c>
      <c r="E147" s="595" t="s">
        <v>322</v>
      </c>
      <c r="F147" s="585">
        <v>0</v>
      </c>
      <c r="G147" s="586">
        <v>0</v>
      </c>
      <c r="H147" s="588">
        <v>4.9406564584124654E-324</v>
      </c>
      <c r="I147" s="585">
        <v>24.196000000000002</v>
      </c>
      <c r="J147" s="586">
        <v>24.196000000000002</v>
      </c>
      <c r="K147" s="596" t="s">
        <v>322</v>
      </c>
    </row>
    <row r="148" spans="1:11" ht="14.4" customHeight="1" thickBot="1" x14ac:dyDescent="0.35">
      <c r="A148" s="605" t="s">
        <v>462</v>
      </c>
      <c r="B148" s="585">
        <v>0</v>
      </c>
      <c r="C148" s="585">
        <v>74.797979999999995</v>
      </c>
      <c r="D148" s="586">
        <v>74.797979999999995</v>
      </c>
      <c r="E148" s="595" t="s">
        <v>322</v>
      </c>
      <c r="F148" s="585">
        <v>0</v>
      </c>
      <c r="G148" s="586">
        <v>0</v>
      </c>
      <c r="H148" s="588">
        <v>3.9809000000000001</v>
      </c>
      <c r="I148" s="585">
        <v>19.813749999999999</v>
      </c>
      <c r="J148" s="586">
        <v>19.813749999999999</v>
      </c>
      <c r="K148" s="596" t="s">
        <v>322</v>
      </c>
    </row>
    <row r="149" spans="1:11" ht="14.4" customHeight="1" thickBot="1" x14ac:dyDescent="0.35">
      <c r="A149" s="606" t="s">
        <v>463</v>
      </c>
      <c r="B149" s="590">
        <v>0</v>
      </c>
      <c r="C149" s="590">
        <v>74.797979999999995</v>
      </c>
      <c r="D149" s="591">
        <v>74.797979999999995</v>
      </c>
      <c r="E149" s="592" t="s">
        <v>322</v>
      </c>
      <c r="F149" s="590">
        <v>0</v>
      </c>
      <c r="G149" s="591">
        <v>0</v>
      </c>
      <c r="H149" s="593">
        <v>3.9809000000000001</v>
      </c>
      <c r="I149" s="590">
        <v>3.9809000000000001</v>
      </c>
      <c r="J149" s="591">
        <v>3.9809000000000001</v>
      </c>
      <c r="K149" s="594" t="s">
        <v>322</v>
      </c>
    </row>
    <row r="150" spans="1:11" ht="14.4" customHeight="1" thickBot="1" x14ac:dyDescent="0.35">
      <c r="A150" s="607" t="s">
        <v>464</v>
      </c>
      <c r="B150" s="585">
        <v>0</v>
      </c>
      <c r="C150" s="585">
        <v>74.797979999999995</v>
      </c>
      <c r="D150" s="586">
        <v>74.797979999999995</v>
      </c>
      <c r="E150" s="595" t="s">
        <v>322</v>
      </c>
      <c r="F150" s="585">
        <v>0</v>
      </c>
      <c r="G150" s="586">
        <v>0</v>
      </c>
      <c r="H150" s="588">
        <v>3.9809000000000001</v>
      </c>
      <c r="I150" s="585">
        <v>3.9809000000000001</v>
      </c>
      <c r="J150" s="586">
        <v>3.9809000000000001</v>
      </c>
      <c r="K150" s="596" t="s">
        <v>322</v>
      </c>
    </row>
    <row r="151" spans="1:11" ht="14.4" customHeight="1" thickBot="1" x14ac:dyDescent="0.35">
      <c r="A151" s="606" t="s">
        <v>465</v>
      </c>
      <c r="B151" s="590">
        <v>0</v>
      </c>
      <c r="C151" s="590">
        <v>4.9406564584124654E-324</v>
      </c>
      <c r="D151" s="591">
        <v>4.9406564584124654E-324</v>
      </c>
      <c r="E151" s="592" t="s">
        <v>322</v>
      </c>
      <c r="F151" s="590">
        <v>4.9406564584124654E-324</v>
      </c>
      <c r="G151" s="591">
        <v>0</v>
      </c>
      <c r="H151" s="593">
        <v>4.9406564584124654E-324</v>
      </c>
      <c r="I151" s="590">
        <v>15.832850000000001</v>
      </c>
      <c r="J151" s="591">
        <v>15.832850000000001</v>
      </c>
      <c r="K151" s="594" t="s">
        <v>328</v>
      </c>
    </row>
    <row r="152" spans="1:11" ht="14.4" customHeight="1" thickBot="1" x14ac:dyDescent="0.35">
      <c r="A152" s="607" t="s">
        <v>466</v>
      </c>
      <c r="B152" s="585">
        <v>0</v>
      </c>
      <c r="C152" s="585">
        <v>4.9406564584124654E-324</v>
      </c>
      <c r="D152" s="586">
        <v>4.9406564584124654E-324</v>
      </c>
      <c r="E152" s="595" t="s">
        <v>322</v>
      </c>
      <c r="F152" s="585">
        <v>4.9406564584124654E-324</v>
      </c>
      <c r="G152" s="586">
        <v>0</v>
      </c>
      <c r="H152" s="588">
        <v>4.9406564584124654E-324</v>
      </c>
      <c r="I152" s="585">
        <v>8.0888500000000008</v>
      </c>
      <c r="J152" s="586">
        <v>8.0888500000000008</v>
      </c>
      <c r="K152" s="596" t="s">
        <v>328</v>
      </c>
    </row>
    <row r="153" spans="1:11" ht="14.4" customHeight="1" thickBot="1" x14ac:dyDescent="0.35">
      <c r="A153" s="607" t="s">
        <v>467</v>
      </c>
      <c r="B153" s="585">
        <v>0</v>
      </c>
      <c r="C153" s="585">
        <v>4.9406564584124654E-324</v>
      </c>
      <c r="D153" s="586">
        <v>4.9406564584124654E-324</v>
      </c>
      <c r="E153" s="595" t="s">
        <v>322</v>
      </c>
      <c r="F153" s="585">
        <v>4.9406564584124654E-324</v>
      </c>
      <c r="G153" s="586">
        <v>0</v>
      </c>
      <c r="H153" s="588">
        <v>4.9406564584124654E-324</v>
      </c>
      <c r="I153" s="585">
        <v>7.7439999999999998</v>
      </c>
      <c r="J153" s="586">
        <v>7.7439999999999998</v>
      </c>
      <c r="K153" s="596" t="s">
        <v>328</v>
      </c>
    </row>
    <row r="154" spans="1:11" ht="14.4" customHeight="1" thickBot="1" x14ac:dyDescent="0.35">
      <c r="A154" s="604" t="s">
        <v>468</v>
      </c>
      <c r="B154" s="585">
        <v>0</v>
      </c>
      <c r="C154" s="585">
        <v>2.4284599999999998</v>
      </c>
      <c r="D154" s="586">
        <v>2.4284599999999998</v>
      </c>
      <c r="E154" s="595" t="s">
        <v>322</v>
      </c>
      <c r="F154" s="585">
        <v>0</v>
      </c>
      <c r="G154" s="586">
        <v>0</v>
      </c>
      <c r="H154" s="588">
        <v>4.9406564584124654E-324</v>
      </c>
      <c r="I154" s="585">
        <v>2.4703282292062327E-323</v>
      </c>
      <c r="J154" s="586">
        <v>2.4703282292062327E-323</v>
      </c>
      <c r="K154" s="596" t="s">
        <v>322</v>
      </c>
    </row>
    <row r="155" spans="1:11" ht="14.4" customHeight="1" thickBot="1" x14ac:dyDescent="0.35">
      <c r="A155" s="605" t="s">
        <v>469</v>
      </c>
      <c r="B155" s="585">
        <v>0</v>
      </c>
      <c r="C155" s="585">
        <v>2.4284599999999998</v>
      </c>
      <c r="D155" s="586">
        <v>2.4284599999999998</v>
      </c>
      <c r="E155" s="595" t="s">
        <v>322</v>
      </c>
      <c r="F155" s="585">
        <v>0</v>
      </c>
      <c r="G155" s="586">
        <v>0</v>
      </c>
      <c r="H155" s="588">
        <v>4.9406564584124654E-324</v>
      </c>
      <c r="I155" s="585">
        <v>2.4703282292062327E-323</v>
      </c>
      <c r="J155" s="586">
        <v>2.4703282292062327E-323</v>
      </c>
      <c r="K155" s="596" t="s">
        <v>322</v>
      </c>
    </row>
    <row r="156" spans="1:11" ht="14.4" customHeight="1" thickBot="1" x14ac:dyDescent="0.35">
      <c r="A156" s="606" t="s">
        <v>470</v>
      </c>
      <c r="B156" s="590">
        <v>0</v>
      </c>
      <c r="C156" s="590">
        <v>2.4284599999999998</v>
      </c>
      <c r="D156" s="591">
        <v>2.4284599999999998</v>
      </c>
      <c r="E156" s="592" t="s">
        <v>322</v>
      </c>
      <c r="F156" s="590">
        <v>0</v>
      </c>
      <c r="G156" s="591">
        <v>0</v>
      </c>
      <c r="H156" s="593">
        <v>4.9406564584124654E-324</v>
      </c>
      <c r="I156" s="590">
        <v>2.4703282292062327E-323</v>
      </c>
      <c r="J156" s="591">
        <v>2.4703282292062327E-323</v>
      </c>
      <c r="K156" s="594" t="s">
        <v>322</v>
      </c>
    </row>
    <row r="157" spans="1:11" ht="14.4" customHeight="1" thickBot="1" x14ac:dyDescent="0.35">
      <c r="A157" s="607" t="s">
        <v>471</v>
      </c>
      <c r="B157" s="585">
        <v>0</v>
      </c>
      <c r="C157" s="585">
        <v>2.4284599999999998</v>
      </c>
      <c r="D157" s="586">
        <v>2.4284599999999998</v>
      </c>
      <c r="E157" s="595" t="s">
        <v>322</v>
      </c>
      <c r="F157" s="585">
        <v>0</v>
      </c>
      <c r="G157" s="586">
        <v>0</v>
      </c>
      <c r="H157" s="588">
        <v>4.9406564584124654E-324</v>
      </c>
      <c r="I157" s="585">
        <v>2.4703282292062327E-323</v>
      </c>
      <c r="J157" s="586">
        <v>2.4703282292062327E-323</v>
      </c>
      <c r="K157" s="596" t="s">
        <v>322</v>
      </c>
    </row>
    <row r="158" spans="1:11" ht="14.4" customHeight="1" thickBot="1" x14ac:dyDescent="0.35">
      <c r="A158" s="603" t="s">
        <v>472</v>
      </c>
      <c r="B158" s="585">
        <v>146025.67308731499</v>
      </c>
      <c r="C158" s="585">
        <v>147592.93218999999</v>
      </c>
      <c r="D158" s="586">
        <v>1567.2591026851701</v>
      </c>
      <c r="E158" s="587">
        <v>1.010732764106</v>
      </c>
      <c r="F158" s="585">
        <v>156100.50734474399</v>
      </c>
      <c r="G158" s="586">
        <v>65041.878060310002</v>
      </c>
      <c r="H158" s="588">
        <v>16809.499059999998</v>
      </c>
      <c r="I158" s="585">
        <v>69816.868799999997</v>
      </c>
      <c r="J158" s="586">
        <v>4774.9907396899698</v>
      </c>
      <c r="K158" s="589">
        <v>0.44725587371600001</v>
      </c>
    </row>
    <row r="159" spans="1:11" ht="14.4" customHeight="1" thickBot="1" x14ac:dyDescent="0.35">
      <c r="A159" s="604" t="s">
        <v>473</v>
      </c>
      <c r="B159" s="585">
        <v>144821.317000273</v>
      </c>
      <c r="C159" s="585">
        <v>146339.27101999999</v>
      </c>
      <c r="D159" s="586">
        <v>1517.95401972687</v>
      </c>
      <c r="E159" s="587">
        <v>1.0104815648080001</v>
      </c>
      <c r="F159" s="585">
        <v>155804.47216224199</v>
      </c>
      <c r="G159" s="586">
        <v>64918.530067600797</v>
      </c>
      <c r="H159" s="588">
        <v>16728.259249999999</v>
      </c>
      <c r="I159" s="585">
        <v>69643.625440000003</v>
      </c>
      <c r="J159" s="586">
        <v>4725.0953723991597</v>
      </c>
      <c r="K159" s="589">
        <v>0.44699375103599998</v>
      </c>
    </row>
    <row r="160" spans="1:11" ht="14.4" customHeight="1" thickBot="1" x14ac:dyDescent="0.35">
      <c r="A160" s="605" t="s">
        <v>474</v>
      </c>
      <c r="B160" s="585">
        <v>144821.317000273</v>
      </c>
      <c r="C160" s="585">
        <v>146339.27101999999</v>
      </c>
      <c r="D160" s="586">
        <v>1517.95401972687</v>
      </c>
      <c r="E160" s="587">
        <v>1.0104815648080001</v>
      </c>
      <c r="F160" s="585">
        <v>155804.47216224199</v>
      </c>
      <c r="G160" s="586">
        <v>64918.530067600797</v>
      </c>
      <c r="H160" s="588">
        <v>16728.259249999999</v>
      </c>
      <c r="I160" s="585">
        <v>69643.625440000003</v>
      </c>
      <c r="J160" s="586">
        <v>4725.0953723991597</v>
      </c>
      <c r="K160" s="589">
        <v>0.44699375103599998</v>
      </c>
    </row>
    <row r="161" spans="1:11" ht="14.4" customHeight="1" thickBot="1" x14ac:dyDescent="0.35">
      <c r="A161" s="606" t="s">
        <v>475</v>
      </c>
      <c r="B161" s="590">
        <v>637.28655486171897</v>
      </c>
      <c r="C161" s="590">
        <v>599.72335999999996</v>
      </c>
      <c r="D161" s="591">
        <v>-37.563194861718003</v>
      </c>
      <c r="E161" s="597">
        <v>0.94105760654199999</v>
      </c>
      <c r="F161" s="590">
        <v>643.47232920274098</v>
      </c>
      <c r="G161" s="591">
        <v>268.11347050114199</v>
      </c>
      <c r="H161" s="593">
        <v>29.974419999999999</v>
      </c>
      <c r="I161" s="590">
        <v>172.58256</v>
      </c>
      <c r="J161" s="591">
        <v>-95.530910501142003</v>
      </c>
      <c r="K161" s="598">
        <v>0.26820509937600001</v>
      </c>
    </row>
    <row r="162" spans="1:11" ht="14.4" customHeight="1" thickBot="1" x14ac:dyDescent="0.35">
      <c r="A162" s="607" t="s">
        <v>476</v>
      </c>
      <c r="B162" s="585">
        <v>1.1314045927280001</v>
      </c>
      <c r="C162" s="585">
        <v>0.90159</v>
      </c>
      <c r="D162" s="586">
        <v>-0.22981459272800001</v>
      </c>
      <c r="E162" s="587">
        <v>0.79687673692899996</v>
      </c>
      <c r="F162" s="585">
        <v>1.036554359553</v>
      </c>
      <c r="G162" s="586">
        <v>0.431897649813</v>
      </c>
      <c r="H162" s="588">
        <v>5.7020000000000001E-2</v>
      </c>
      <c r="I162" s="585">
        <v>0.33056999999999997</v>
      </c>
      <c r="J162" s="586">
        <v>-0.10132764981300001</v>
      </c>
      <c r="K162" s="589">
        <v>0.31891236282300001</v>
      </c>
    </row>
    <row r="163" spans="1:11" ht="14.4" customHeight="1" thickBot="1" x14ac:dyDescent="0.35">
      <c r="A163" s="607" t="s">
        <v>477</v>
      </c>
      <c r="B163" s="585">
        <v>0.44252830874799998</v>
      </c>
      <c r="C163" s="585">
        <v>0.69299999999999995</v>
      </c>
      <c r="D163" s="586">
        <v>0.25047169125099999</v>
      </c>
      <c r="E163" s="587">
        <v>1.5660015106359999</v>
      </c>
      <c r="F163" s="585">
        <v>0.73648338506800004</v>
      </c>
      <c r="G163" s="586">
        <v>0.306868077111</v>
      </c>
      <c r="H163" s="588">
        <v>4.9406564584124654E-324</v>
      </c>
      <c r="I163" s="585">
        <v>2.4703282292062327E-323</v>
      </c>
      <c r="J163" s="586">
        <v>-0.306868077111</v>
      </c>
      <c r="K163" s="589">
        <v>3.4584595208887258E-323</v>
      </c>
    </row>
    <row r="164" spans="1:11" ht="14.4" customHeight="1" thickBot="1" x14ac:dyDescent="0.35">
      <c r="A164" s="607" t="s">
        <v>478</v>
      </c>
      <c r="B164" s="585">
        <v>229.061072077548</v>
      </c>
      <c r="C164" s="585">
        <v>362.81675000000001</v>
      </c>
      <c r="D164" s="586">
        <v>133.75567792245201</v>
      </c>
      <c r="E164" s="587">
        <v>1.583930201274</v>
      </c>
      <c r="F164" s="585">
        <v>395.84474379521703</v>
      </c>
      <c r="G164" s="586">
        <v>164.93530991467401</v>
      </c>
      <c r="H164" s="588">
        <v>18.3689</v>
      </c>
      <c r="I164" s="585">
        <v>63.359299999999998</v>
      </c>
      <c r="J164" s="586">
        <v>-101.576009914674</v>
      </c>
      <c r="K164" s="589">
        <v>0.16006098601300001</v>
      </c>
    </row>
    <row r="165" spans="1:11" ht="14.4" customHeight="1" thickBot="1" x14ac:dyDescent="0.35">
      <c r="A165" s="607" t="s">
        <v>479</v>
      </c>
      <c r="B165" s="585">
        <v>406.65154988269398</v>
      </c>
      <c r="C165" s="585">
        <v>235.31201999999999</v>
      </c>
      <c r="D165" s="586">
        <v>-171.33952988269399</v>
      </c>
      <c r="E165" s="587">
        <v>0.57865762485799999</v>
      </c>
      <c r="F165" s="585">
        <v>245.854547662903</v>
      </c>
      <c r="G165" s="586">
        <v>102.439394859543</v>
      </c>
      <c r="H165" s="588">
        <v>11.548500000000001</v>
      </c>
      <c r="I165" s="585">
        <v>108.89269</v>
      </c>
      <c r="J165" s="586">
        <v>6.4532951404569996</v>
      </c>
      <c r="K165" s="589">
        <v>0.44291509363999998</v>
      </c>
    </row>
    <row r="166" spans="1:11" ht="14.4" customHeight="1" thickBot="1" x14ac:dyDescent="0.35">
      <c r="A166" s="606" t="s">
        <v>480</v>
      </c>
      <c r="B166" s="590">
        <v>1256.0170489632701</v>
      </c>
      <c r="C166" s="590">
        <v>291.17334</v>
      </c>
      <c r="D166" s="591">
        <v>-964.84370896326698</v>
      </c>
      <c r="E166" s="597">
        <v>0.23182276087699999</v>
      </c>
      <c r="F166" s="590">
        <v>0</v>
      </c>
      <c r="G166" s="591">
        <v>0</v>
      </c>
      <c r="H166" s="593">
        <v>16.89481</v>
      </c>
      <c r="I166" s="590">
        <v>67.593360000000004</v>
      </c>
      <c r="J166" s="591">
        <v>67.593360000000004</v>
      </c>
      <c r="K166" s="594" t="s">
        <v>322</v>
      </c>
    </row>
    <row r="167" spans="1:11" ht="14.4" customHeight="1" thickBot="1" x14ac:dyDescent="0.35">
      <c r="A167" s="607" t="s">
        <v>481</v>
      </c>
      <c r="B167" s="585">
        <v>4.9406564584124654E-324</v>
      </c>
      <c r="C167" s="585">
        <v>4.9406564584124654E-324</v>
      </c>
      <c r="D167" s="586">
        <v>0</v>
      </c>
      <c r="E167" s="587">
        <v>1</v>
      </c>
      <c r="F167" s="585">
        <v>4.9406564584124654E-324</v>
      </c>
      <c r="G167" s="586">
        <v>0</v>
      </c>
      <c r="H167" s="588">
        <v>4.9406564584124654E-324</v>
      </c>
      <c r="I167" s="585">
        <v>1.0999999999999999E-2</v>
      </c>
      <c r="J167" s="586">
        <v>1.0999999999999999E-2</v>
      </c>
      <c r="K167" s="596" t="s">
        <v>328</v>
      </c>
    </row>
    <row r="168" spans="1:11" ht="14.4" customHeight="1" thickBot="1" x14ac:dyDescent="0.35">
      <c r="A168" s="607" t="s">
        <v>482</v>
      </c>
      <c r="B168" s="585">
        <v>1223.0170585102001</v>
      </c>
      <c r="C168" s="585">
        <v>275.93614000000002</v>
      </c>
      <c r="D168" s="586">
        <v>-947.08091851019901</v>
      </c>
      <c r="E168" s="587">
        <v>0.225619207908</v>
      </c>
      <c r="F168" s="585">
        <v>0</v>
      </c>
      <c r="G168" s="586">
        <v>0</v>
      </c>
      <c r="H168" s="588">
        <v>16.639610000000001</v>
      </c>
      <c r="I168" s="585">
        <v>60.226660000000003</v>
      </c>
      <c r="J168" s="586">
        <v>60.226660000000003</v>
      </c>
      <c r="K168" s="596" t="s">
        <v>322</v>
      </c>
    </row>
    <row r="169" spans="1:11" ht="14.4" customHeight="1" thickBot="1" x14ac:dyDescent="0.35">
      <c r="A169" s="607" t="s">
        <v>483</v>
      </c>
      <c r="B169" s="585">
        <v>32.999990453066999</v>
      </c>
      <c r="C169" s="585">
        <v>15.2372</v>
      </c>
      <c r="D169" s="586">
        <v>-17.762790453067002</v>
      </c>
      <c r="E169" s="587">
        <v>0.46173346691299999</v>
      </c>
      <c r="F169" s="585">
        <v>0</v>
      </c>
      <c r="G169" s="586">
        <v>0</v>
      </c>
      <c r="H169" s="588">
        <v>0.25519999999999998</v>
      </c>
      <c r="I169" s="585">
        <v>7.3556999999999997</v>
      </c>
      <c r="J169" s="586">
        <v>7.3556999999999997</v>
      </c>
      <c r="K169" s="596" t="s">
        <v>322</v>
      </c>
    </row>
    <row r="170" spans="1:11" ht="14.4" customHeight="1" thickBot="1" x14ac:dyDescent="0.35">
      <c r="A170" s="606" t="s">
        <v>484</v>
      </c>
      <c r="B170" s="590">
        <v>179.01387064071</v>
      </c>
      <c r="C170" s="590">
        <v>53.213039999999999</v>
      </c>
      <c r="D170" s="591">
        <v>-125.80083064071</v>
      </c>
      <c r="E170" s="597">
        <v>0.29725651877999998</v>
      </c>
      <c r="F170" s="590">
        <v>24.999833039230001</v>
      </c>
      <c r="G170" s="591">
        <v>10.416597099679</v>
      </c>
      <c r="H170" s="593">
        <v>4.20221</v>
      </c>
      <c r="I170" s="590">
        <v>45.816160000000004</v>
      </c>
      <c r="J170" s="591">
        <v>35.399562900319999</v>
      </c>
      <c r="K170" s="598">
        <v>1.832658639283</v>
      </c>
    </row>
    <row r="171" spans="1:11" ht="14.4" customHeight="1" thickBot="1" x14ac:dyDescent="0.35">
      <c r="A171" s="607" t="s">
        <v>485</v>
      </c>
      <c r="B171" s="585">
        <v>92.996854019444996</v>
      </c>
      <c r="C171" s="585">
        <v>23.23854</v>
      </c>
      <c r="D171" s="586">
        <v>-69.758314019444995</v>
      </c>
      <c r="E171" s="587">
        <v>0.249885227248</v>
      </c>
      <c r="F171" s="585">
        <v>24.999833039230001</v>
      </c>
      <c r="G171" s="586">
        <v>10.416597099679</v>
      </c>
      <c r="H171" s="588">
        <v>3.3348499999999999</v>
      </c>
      <c r="I171" s="585">
        <v>7.6228499999999997</v>
      </c>
      <c r="J171" s="586">
        <v>-2.7937470996789999</v>
      </c>
      <c r="K171" s="589">
        <v>0.30491603635999998</v>
      </c>
    </row>
    <row r="172" spans="1:11" ht="14.4" customHeight="1" thickBot="1" x14ac:dyDescent="0.35">
      <c r="A172" s="607" t="s">
        <v>486</v>
      </c>
      <c r="B172" s="585">
        <v>86.017016621264005</v>
      </c>
      <c r="C172" s="585">
        <v>29.974499999999999</v>
      </c>
      <c r="D172" s="586">
        <v>-56.042516621263999</v>
      </c>
      <c r="E172" s="587">
        <v>0.348471746375</v>
      </c>
      <c r="F172" s="585">
        <v>0</v>
      </c>
      <c r="G172" s="586">
        <v>0</v>
      </c>
      <c r="H172" s="588">
        <v>0.86736000000000002</v>
      </c>
      <c r="I172" s="585">
        <v>38.193309999999997</v>
      </c>
      <c r="J172" s="586">
        <v>38.193309999999997</v>
      </c>
      <c r="K172" s="596" t="s">
        <v>322</v>
      </c>
    </row>
    <row r="173" spans="1:11" ht="14.4" customHeight="1" thickBot="1" x14ac:dyDescent="0.35">
      <c r="A173" s="606" t="s">
        <v>487</v>
      </c>
      <c r="B173" s="590">
        <v>4.9406564584124654E-324</v>
      </c>
      <c r="C173" s="590">
        <v>-3.9868999999999999</v>
      </c>
      <c r="D173" s="591">
        <v>-3.9868999999999999</v>
      </c>
      <c r="E173" s="592" t="s">
        <v>328</v>
      </c>
      <c r="F173" s="590">
        <v>0</v>
      </c>
      <c r="G173" s="591">
        <v>0</v>
      </c>
      <c r="H173" s="593">
        <v>4.9406564584124654E-324</v>
      </c>
      <c r="I173" s="590">
        <v>2.4703282292062327E-323</v>
      </c>
      <c r="J173" s="591">
        <v>2.4703282292062327E-323</v>
      </c>
      <c r="K173" s="594" t="s">
        <v>322</v>
      </c>
    </row>
    <row r="174" spans="1:11" ht="14.4" customHeight="1" thickBot="1" x14ac:dyDescent="0.35">
      <c r="A174" s="607" t="s">
        <v>488</v>
      </c>
      <c r="B174" s="585">
        <v>4.9406564584124654E-324</v>
      </c>
      <c r="C174" s="585">
        <v>-3.8833600000000001</v>
      </c>
      <c r="D174" s="586">
        <v>-3.8833600000000001</v>
      </c>
      <c r="E174" s="595" t="s">
        <v>328</v>
      </c>
      <c r="F174" s="585">
        <v>0</v>
      </c>
      <c r="G174" s="586">
        <v>0</v>
      </c>
      <c r="H174" s="588">
        <v>4.9406564584124654E-324</v>
      </c>
      <c r="I174" s="585">
        <v>2.4703282292062327E-323</v>
      </c>
      <c r="J174" s="586">
        <v>2.4703282292062327E-323</v>
      </c>
      <c r="K174" s="596" t="s">
        <v>322</v>
      </c>
    </row>
    <row r="175" spans="1:11" ht="14.4" customHeight="1" thickBot="1" x14ac:dyDescent="0.35">
      <c r="A175" s="607" t="s">
        <v>489</v>
      </c>
      <c r="B175" s="585">
        <v>4.9406564584124654E-324</v>
      </c>
      <c r="C175" s="585">
        <v>-0.10353999999999999</v>
      </c>
      <c r="D175" s="586">
        <v>-0.10353999999999999</v>
      </c>
      <c r="E175" s="595" t="s">
        <v>328</v>
      </c>
      <c r="F175" s="585">
        <v>0</v>
      </c>
      <c r="G175" s="586">
        <v>0</v>
      </c>
      <c r="H175" s="588">
        <v>4.9406564584124654E-324</v>
      </c>
      <c r="I175" s="585">
        <v>2.4703282292062327E-323</v>
      </c>
      <c r="J175" s="586">
        <v>2.4703282292062327E-323</v>
      </c>
      <c r="K175" s="596" t="s">
        <v>322</v>
      </c>
    </row>
    <row r="176" spans="1:11" ht="14.4" customHeight="1" thickBot="1" x14ac:dyDescent="0.35">
      <c r="A176" s="606" t="s">
        <v>490</v>
      </c>
      <c r="B176" s="590">
        <v>142748.99952580701</v>
      </c>
      <c r="C176" s="590">
        <v>137368.427</v>
      </c>
      <c r="D176" s="591">
        <v>-5380.5725258074199</v>
      </c>
      <c r="E176" s="597">
        <v>0.96230745894000003</v>
      </c>
      <c r="F176" s="590">
        <v>155136</v>
      </c>
      <c r="G176" s="591">
        <v>64640</v>
      </c>
      <c r="H176" s="593">
        <v>16677.187809999999</v>
      </c>
      <c r="I176" s="590">
        <v>68597.471810000003</v>
      </c>
      <c r="J176" s="591">
        <v>3957.47180999996</v>
      </c>
      <c r="K176" s="598">
        <v>0.44217636016099998</v>
      </c>
    </row>
    <row r="177" spans="1:11" ht="14.4" customHeight="1" thickBot="1" x14ac:dyDescent="0.35">
      <c r="A177" s="607" t="s">
        <v>491</v>
      </c>
      <c r="B177" s="585">
        <v>70656.999786986606</v>
      </c>
      <c r="C177" s="585">
        <v>63271.915309999997</v>
      </c>
      <c r="D177" s="586">
        <v>-7385.0844769865798</v>
      </c>
      <c r="E177" s="587">
        <v>0.89547978969800002</v>
      </c>
      <c r="F177" s="585">
        <v>73283</v>
      </c>
      <c r="G177" s="586">
        <v>30534.583333333299</v>
      </c>
      <c r="H177" s="588">
        <v>8300.86024</v>
      </c>
      <c r="I177" s="585">
        <v>31735.317060000001</v>
      </c>
      <c r="J177" s="586">
        <v>1200.73372666666</v>
      </c>
      <c r="K177" s="589">
        <v>0.43305155438499998</v>
      </c>
    </row>
    <row r="178" spans="1:11" ht="14.4" customHeight="1" thickBot="1" x14ac:dyDescent="0.35">
      <c r="A178" s="607" t="s">
        <v>492</v>
      </c>
      <c r="B178" s="585">
        <v>72091.999738820901</v>
      </c>
      <c r="C178" s="585">
        <v>74096.511689999999</v>
      </c>
      <c r="D178" s="586">
        <v>2004.5119511791399</v>
      </c>
      <c r="E178" s="587">
        <v>1.0278049153640001</v>
      </c>
      <c r="F178" s="585">
        <v>81853</v>
      </c>
      <c r="G178" s="586">
        <v>34105.416666666701</v>
      </c>
      <c r="H178" s="588">
        <v>8376.3275699999995</v>
      </c>
      <c r="I178" s="585">
        <v>36862.154750000002</v>
      </c>
      <c r="J178" s="586">
        <v>2756.73808333332</v>
      </c>
      <c r="K178" s="589">
        <v>0.45034579978700001</v>
      </c>
    </row>
    <row r="179" spans="1:11" ht="14.4" customHeight="1" thickBot="1" x14ac:dyDescent="0.35">
      <c r="A179" s="606" t="s">
        <v>493</v>
      </c>
      <c r="B179" s="590">
        <v>0</v>
      </c>
      <c r="C179" s="590">
        <v>8030.7211799999995</v>
      </c>
      <c r="D179" s="591">
        <v>8030.7211799999995</v>
      </c>
      <c r="E179" s="592" t="s">
        <v>322</v>
      </c>
      <c r="F179" s="590">
        <v>0</v>
      </c>
      <c r="G179" s="591">
        <v>0</v>
      </c>
      <c r="H179" s="593">
        <v>4.9406564584124654E-324</v>
      </c>
      <c r="I179" s="590">
        <v>760.16155000000003</v>
      </c>
      <c r="J179" s="591">
        <v>760.16155000000003</v>
      </c>
      <c r="K179" s="594" t="s">
        <v>322</v>
      </c>
    </row>
    <row r="180" spans="1:11" ht="14.4" customHeight="1" thickBot="1" x14ac:dyDescent="0.35">
      <c r="A180" s="607" t="s">
        <v>494</v>
      </c>
      <c r="B180" s="585">
        <v>4.9406564584124654E-324</v>
      </c>
      <c r="C180" s="585">
        <v>5265.9722400000001</v>
      </c>
      <c r="D180" s="586">
        <v>5265.9722400000001</v>
      </c>
      <c r="E180" s="595" t="s">
        <v>328</v>
      </c>
      <c r="F180" s="585">
        <v>0</v>
      </c>
      <c r="G180" s="586">
        <v>0</v>
      </c>
      <c r="H180" s="588">
        <v>4.9406564584124654E-324</v>
      </c>
      <c r="I180" s="585">
        <v>388.05533000000003</v>
      </c>
      <c r="J180" s="586">
        <v>388.05533000000003</v>
      </c>
      <c r="K180" s="596" t="s">
        <v>322</v>
      </c>
    </row>
    <row r="181" spans="1:11" ht="14.4" customHeight="1" thickBot="1" x14ac:dyDescent="0.35">
      <c r="A181" s="607" t="s">
        <v>495</v>
      </c>
      <c r="B181" s="585">
        <v>0</v>
      </c>
      <c r="C181" s="585">
        <v>2764.7489399999999</v>
      </c>
      <c r="D181" s="586">
        <v>2764.7489399999999</v>
      </c>
      <c r="E181" s="595" t="s">
        <v>322</v>
      </c>
      <c r="F181" s="585">
        <v>0</v>
      </c>
      <c r="G181" s="586">
        <v>0</v>
      </c>
      <c r="H181" s="588">
        <v>4.9406564584124654E-324</v>
      </c>
      <c r="I181" s="585">
        <v>372.10622000000001</v>
      </c>
      <c r="J181" s="586">
        <v>372.10622000000001</v>
      </c>
      <c r="K181" s="596" t="s">
        <v>322</v>
      </c>
    </row>
    <row r="182" spans="1:11" ht="14.4" customHeight="1" thickBot="1" x14ac:dyDescent="0.35">
      <c r="A182" s="604" t="s">
        <v>496</v>
      </c>
      <c r="B182" s="585">
        <v>1056.35608704174</v>
      </c>
      <c r="C182" s="585">
        <v>1214.39717</v>
      </c>
      <c r="D182" s="586">
        <v>158.04108295826501</v>
      </c>
      <c r="E182" s="587">
        <v>1.1496096675130001</v>
      </c>
      <c r="F182" s="585">
        <v>208.03518250208501</v>
      </c>
      <c r="G182" s="586">
        <v>86.681326042535005</v>
      </c>
      <c r="H182" s="588">
        <v>35.771810000000002</v>
      </c>
      <c r="I182" s="585">
        <v>121.99936</v>
      </c>
      <c r="J182" s="586">
        <v>35.318033957464003</v>
      </c>
      <c r="K182" s="589">
        <v>0.58643619090099997</v>
      </c>
    </row>
    <row r="183" spans="1:11" ht="14.4" customHeight="1" thickBot="1" x14ac:dyDescent="0.35">
      <c r="A183" s="605" t="s">
        <v>497</v>
      </c>
      <c r="B183" s="585">
        <v>848.32090453964997</v>
      </c>
      <c r="C183" s="585">
        <v>982.35361999999998</v>
      </c>
      <c r="D183" s="586">
        <v>134.03271546035</v>
      </c>
      <c r="E183" s="587">
        <v>1.1579976571870001</v>
      </c>
      <c r="F183" s="585">
        <v>0</v>
      </c>
      <c r="G183" s="586">
        <v>0</v>
      </c>
      <c r="H183" s="588">
        <v>4.9406564584124654E-324</v>
      </c>
      <c r="I183" s="585">
        <v>2.4703282292062327E-323</v>
      </c>
      <c r="J183" s="586">
        <v>2.4703282292062327E-323</v>
      </c>
      <c r="K183" s="596" t="s">
        <v>322</v>
      </c>
    </row>
    <row r="184" spans="1:11" ht="14.4" customHeight="1" thickBot="1" x14ac:dyDescent="0.35">
      <c r="A184" s="606" t="s">
        <v>498</v>
      </c>
      <c r="B184" s="590">
        <v>848.32090453964997</v>
      </c>
      <c r="C184" s="590">
        <v>982.35361999999998</v>
      </c>
      <c r="D184" s="591">
        <v>134.03271546035</v>
      </c>
      <c r="E184" s="597">
        <v>1.1579976571870001</v>
      </c>
      <c r="F184" s="590">
        <v>0</v>
      </c>
      <c r="G184" s="591">
        <v>0</v>
      </c>
      <c r="H184" s="593">
        <v>4.9406564584124654E-324</v>
      </c>
      <c r="I184" s="590">
        <v>2.4703282292062327E-323</v>
      </c>
      <c r="J184" s="591">
        <v>2.4703282292062327E-323</v>
      </c>
      <c r="K184" s="594" t="s">
        <v>322</v>
      </c>
    </row>
    <row r="185" spans="1:11" ht="14.4" customHeight="1" thickBot="1" x14ac:dyDescent="0.35">
      <c r="A185" s="607" t="s">
        <v>499</v>
      </c>
      <c r="B185" s="585">
        <v>0</v>
      </c>
      <c r="C185" s="585">
        <v>848.28430000000003</v>
      </c>
      <c r="D185" s="586">
        <v>848.28430000000003</v>
      </c>
      <c r="E185" s="595" t="s">
        <v>322</v>
      </c>
      <c r="F185" s="585">
        <v>0</v>
      </c>
      <c r="G185" s="586">
        <v>0</v>
      </c>
      <c r="H185" s="588">
        <v>4.9406564584124654E-324</v>
      </c>
      <c r="I185" s="585">
        <v>2.4703282292062327E-323</v>
      </c>
      <c r="J185" s="586">
        <v>2.4703282292062327E-323</v>
      </c>
      <c r="K185" s="596" t="s">
        <v>322</v>
      </c>
    </row>
    <row r="186" spans="1:11" ht="14.4" customHeight="1" thickBot="1" x14ac:dyDescent="0.35">
      <c r="A186" s="607" t="s">
        <v>500</v>
      </c>
      <c r="B186" s="585">
        <v>0</v>
      </c>
      <c r="C186" s="585">
        <v>8.3339999999999996</v>
      </c>
      <c r="D186" s="586">
        <v>8.3339999999999996</v>
      </c>
      <c r="E186" s="595" t="s">
        <v>322</v>
      </c>
      <c r="F186" s="585">
        <v>0</v>
      </c>
      <c r="G186" s="586">
        <v>0</v>
      </c>
      <c r="H186" s="588">
        <v>4.9406564584124654E-324</v>
      </c>
      <c r="I186" s="585">
        <v>2.4703282292062327E-323</v>
      </c>
      <c r="J186" s="586">
        <v>2.4703282292062327E-323</v>
      </c>
      <c r="K186" s="596" t="s">
        <v>322</v>
      </c>
    </row>
    <row r="187" spans="1:11" ht="14.4" customHeight="1" thickBot="1" x14ac:dyDescent="0.35">
      <c r="A187" s="607" t="s">
        <v>501</v>
      </c>
      <c r="B187" s="585">
        <v>0</v>
      </c>
      <c r="C187" s="585">
        <v>16.388529999999999</v>
      </c>
      <c r="D187" s="586">
        <v>16.388529999999999</v>
      </c>
      <c r="E187" s="595" t="s">
        <v>322</v>
      </c>
      <c r="F187" s="585">
        <v>0</v>
      </c>
      <c r="G187" s="586">
        <v>0</v>
      </c>
      <c r="H187" s="588">
        <v>4.9406564584124654E-324</v>
      </c>
      <c r="I187" s="585">
        <v>2.4703282292062327E-323</v>
      </c>
      <c r="J187" s="586">
        <v>2.4703282292062327E-323</v>
      </c>
      <c r="K187" s="596" t="s">
        <v>322</v>
      </c>
    </row>
    <row r="188" spans="1:11" ht="14.4" customHeight="1" thickBot="1" x14ac:dyDescent="0.35">
      <c r="A188" s="607" t="s">
        <v>502</v>
      </c>
      <c r="B188" s="585">
        <v>0</v>
      </c>
      <c r="C188" s="585">
        <v>87.44726</v>
      </c>
      <c r="D188" s="586">
        <v>87.44726</v>
      </c>
      <c r="E188" s="595" t="s">
        <v>322</v>
      </c>
      <c r="F188" s="585">
        <v>0</v>
      </c>
      <c r="G188" s="586">
        <v>0</v>
      </c>
      <c r="H188" s="588">
        <v>4.9406564584124654E-324</v>
      </c>
      <c r="I188" s="585">
        <v>2.4703282292062327E-323</v>
      </c>
      <c r="J188" s="586">
        <v>2.4703282292062327E-323</v>
      </c>
      <c r="K188" s="596" t="s">
        <v>322</v>
      </c>
    </row>
    <row r="189" spans="1:11" ht="14.4" customHeight="1" thickBot="1" x14ac:dyDescent="0.35">
      <c r="A189" s="607" t="s">
        <v>503</v>
      </c>
      <c r="B189" s="585">
        <v>0</v>
      </c>
      <c r="C189" s="585">
        <v>21.899529999999999</v>
      </c>
      <c r="D189" s="586">
        <v>21.899529999999999</v>
      </c>
      <c r="E189" s="595" t="s">
        <v>322</v>
      </c>
      <c r="F189" s="585">
        <v>0</v>
      </c>
      <c r="G189" s="586">
        <v>0</v>
      </c>
      <c r="H189" s="588">
        <v>4.9406564584124654E-324</v>
      </c>
      <c r="I189" s="585">
        <v>2.4703282292062327E-323</v>
      </c>
      <c r="J189" s="586">
        <v>2.4703282292062327E-323</v>
      </c>
      <c r="K189" s="596" t="s">
        <v>322</v>
      </c>
    </row>
    <row r="190" spans="1:11" ht="14.4" customHeight="1" thickBot="1" x14ac:dyDescent="0.35">
      <c r="A190" s="610" t="s">
        <v>504</v>
      </c>
      <c r="B190" s="590">
        <v>208.03518250208501</v>
      </c>
      <c r="C190" s="590">
        <v>232.04355000000001</v>
      </c>
      <c r="D190" s="591">
        <v>24.008367497914001</v>
      </c>
      <c r="E190" s="597">
        <v>1.115405323316</v>
      </c>
      <c r="F190" s="590">
        <v>208.03518250208501</v>
      </c>
      <c r="G190" s="591">
        <v>86.681326042535005</v>
      </c>
      <c r="H190" s="593">
        <v>35.771810000000002</v>
      </c>
      <c r="I190" s="590">
        <v>121.99936</v>
      </c>
      <c r="J190" s="591">
        <v>35.318033957464003</v>
      </c>
      <c r="K190" s="598">
        <v>0.58643619090099997</v>
      </c>
    </row>
    <row r="191" spans="1:11" ht="14.4" customHeight="1" thickBot="1" x14ac:dyDescent="0.35">
      <c r="A191" s="606" t="s">
        <v>505</v>
      </c>
      <c r="B191" s="590">
        <v>0</v>
      </c>
      <c r="C191" s="590">
        <v>3.24</v>
      </c>
      <c r="D191" s="591">
        <v>3.24</v>
      </c>
      <c r="E191" s="592" t="s">
        <v>322</v>
      </c>
      <c r="F191" s="590">
        <v>0</v>
      </c>
      <c r="G191" s="591">
        <v>0</v>
      </c>
      <c r="H191" s="593">
        <v>4.9406564584124654E-324</v>
      </c>
      <c r="I191" s="590">
        <v>2.4703282292062327E-323</v>
      </c>
      <c r="J191" s="591">
        <v>2.4703282292062327E-323</v>
      </c>
      <c r="K191" s="594" t="s">
        <v>322</v>
      </c>
    </row>
    <row r="192" spans="1:11" ht="14.4" customHeight="1" thickBot="1" x14ac:dyDescent="0.35">
      <c r="A192" s="607" t="s">
        <v>506</v>
      </c>
      <c r="B192" s="585">
        <v>0</v>
      </c>
      <c r="C192" s="585">
        <v>3.24</v>
      </c>
      <c r="D192" s="586">
        <v>3.24</v>
      </c>
      <c r="E192" s="595" t="s">
        <v>322</v>
      </c>
      <c r="F192" s="585">
        <v>0</v>
      </c>
      <c r="G192" s="586">
        <v>0</v>
      </c>
      <c r="H192" s="588">
        <v>4.9406564584124654E-324</v>
      </c>
      <c r="I192" s="585">
        <v>2.4703282292062327E-323</v>
      </c>
      <c r="J192" s="586">
        <v>2.4703282292062327E-323</v>
      </c>
      <c r="K192" s="596" t="s">
        <v>322</v>
      </c>
    </row>
    <row r="193" spans="1:11" ht="14.4" customHeight="1" thickBot="1" x14ac:dyDescent="0.35">
      <c r="A193" s="606" t="s">
        <v>507</v>
      </c>
      <c r="B193" s="590">
        <v>0</v>
      </c>
      <c r="C193" s="590">
        <v>4.0612899999999996</v>
      </c>
      <c r="D193" s="591">
        <v>4.0612899999999996</v>
      </c>
      <c r="E193" s="592" t="s">
        <v>322</v>
      </c>
      <c r="F193" s="590">
        <v>0</v>
      </c>
      <c r="G193" s="591">
        <v>0</v>
      </c>
      <c r="H193" s="593">
        <v>15.02802</v>
      </c>
      <c r="I193" s="590">
        <v>40.482869999999998</v>
      </c>
      <c r="J193" s="591">
        <v>40.482869999999998</v>
      </c>
      <c r="K193" s="594" t="s">
        <v>322</v>
      </c>
    </row>
    <row r="194" spans="1:11" ht="14.4" customHeight="1" thickBot="1" x14ac:dyDescent="0.35">
      <c r="A194" s="607" t="s">
        <v>508</v>
      </c>
      <c r="B194" s="585">
        <v>0</v>
      </c>
      <c r="C194" s="585">
        <v>1.2899999999999999E-3</v>
      </c>
      <c r="D194" s="586">
        <v>1.2899999999999999E-3</v>
      </c>
      <c r="E194" s="595" t="s">
        <v>322</v>
      </c>
      <c r="F194" s="585">
        <v>0</v>
      </c>
      <c r="G194" s="586">
        <v>0</v>
      </c>
      <c r="H194" s="588">
        <v>2.0000000000000002E-5</v>
      </c>
      <c r="I194" s="585">
        <v>-1.2999999999999999E-4</v>
      </c>
      <c r="J194" s="586">
        <v>-1.2999999999999999E-4</v>
      </c>
      <c r="K194" s="596" t="s">
        <v>322</v>
      </c>
    </row>
    <row r="195" spans="1:11" ht="14.4" customHeight="1" thickBot="1" x14ac:dyDescent="0.35">
      <c r="A195" s="607" t="s">
        <v>509</v>
      </c>
      <c r="B195" s="585">
        <v>4.9406564584124654E-324</v>
      </c>
      <c r="C195" s="585">
        <v>4.0599999999999996</v>
      </c>
      <c r="D195" s="586">
        <v>4.0599999999999996</v>
      </c>
      <c r="E195" s="595" t="s">
        <v>328</v>
      </c>
      <c r="F195" s="585">
        <v>0</v>
      </c>
      <c r="G195" s="586">
        <v>0</v>
      </c>
      <c r="H195" s="588">
        <v>15.028</v>
      </c>
      <c r="I195" s="585">
        <v>40.482999999999997</v>
      </c>
      <c r="J195" s="586">
        <v>40.482999999999997</v>
      </c>
      <c r="K195" s="596" t="s">
        <v>322</v>
      </c>
    </row>
    <row r="196" spans="1:11" ht="14.4" customHeight="1" thickBot="1" x14ac:dyDescent="0.35">
      <c r="A196" s="606" t="s">
        <v>510</v>
      </c>
      <c r="B196" s="590">
        <v>208.03518250208501</v>
      </c>
      <c r="C196" s="590">
        <v>217.47226000000001</v>
      </c>
      <c r="D196" s="591">
        <v>9.4370774979140002</v>
      </c>
      <c r="E196" s="597">
        <v>1.0453628919119999</v>
      </c>
      <c r="F196" s="590">
        <v>208.03518250208501</v>
      </c>
      <c r="G196" s="591">
        <v>86.681326042535005</v>
      </c>
      <c r="H196" s="593">
        <v>20.743790000000001</v>
      </c>
      <c r="I196" s="590">
        <v>81.516490000000005</v>
      </c>
      <c r="J196" s="591">
        <v>-5.1648360425349997</v>
      </c>
      <c r="K196" s="598">
        <v>0.39183992351399999</v>
      </c>
    </row>
    <row r="197" spans="1:11" ht="14.4" customHeight="1" thickBot="1" x14ac:dyDescent="0.35">
      <c r="A197" s="607" t="s">
        <v>511</v>
      </c>
      <c r="B197" s="585">
        <v>4.9406564584124654E-324</v>
      </c>
      <c r="C197" s="585">
        <v>6.0999999999999999E-2</v>
      </c>
      <c r="D197" s="586">
        <v>6.0999999999999999E-2</v>
      </c>
      <c r="E197" s="595" t="s">
        <v>328</v>
      </c>
      <c r="F197" s="585">
        <v>0</v>
      </c>
      <c r="G197" s="586">
        <v>0</v>
      </c>
      <c r="H197" s="588">
        <v>4.9406564584124654E-324</v>
      </c>
      <c r="I197" s="585">
        <v>2.4703282292062327E-323</v>
      </c>
      <c r="J197" s="586">
        <v>2.4703282292062327E-323</v>
      </c>
      <c r="K197" s="596" t="s">
        <v>322</v>
      </c>
    </row>
    <row r="198" spans="1:11" ht="14.4" customHeight="1" thickBot="1" x14ac:dyDescent="0.35">
      <c r="A198" s="607" t="s">
        <v>512</v>
      </c>
      <c r="B198" s="585">
        <v>4.9406564584124654E-324</v>
      </c>
      <c r="C198" s="585">
        <v>26.774999999999999</v>
      </c>
      <c r="D198" s="586">
        <v>26.774999999999999</v>
      </c>
      <c r="E198" s="595" t="s">
        <v>328</v>
      </c>
      <c r="F198" s="585">
        <v>0</v>
      </c>
      <c r="G198" s="586">
        <v>0</v>
      </c>
      <c r="H198" s="588">
        <v>4.9406564584124654E-324</v>
      </c>
      <c r="I198" s="585">
        <v>3.5</v>
      </c>
      <c r="J198" s="586">
        <v>3.5</v>
      </c>
      <c r="K198" s="596" t="s">
        <v>322</v>
      </c>
    </row>
    <row r="199" spans="1:11" ht="14.4" customHeight="1" thickBot="1" x14ac:dyDescent="0.35">
      <c r="A199" s="607" t="s">
        <v>513</v>
      </c>
      <c r="B199" s="585">
        <v>208.03518250208501</v>
      </c>
      <c r="C199" s="585">
        <v>190.63625999999999</v>
      </c>
      <c r="D199" s="586">
        <v>-17.398922502085</v>
      </c>
      <c r="E199" s="587">
        <v>0.91636548062199996</v>
      </c>
      <c r="F199" s="585">
        <v>208.03518250208501</v>
      </c>
      <c r="G199" s="586">
        <v>86.681326042535005</v>
      </c>
      <c r="H199" s="588">
        <v>20.743790000000001</v>
      </c>
      <c r="I199" s="585">
        <v>78.016490000000005</v>
      </c>
      <c r="J199" s="586">
        <v>-8.6648360425350006</v>
      </c>
      <c r="K199" s="589">
        <v>0.37501584617400002</v>
      </c>
    </row>
    <row r="200" spans="1:11" ht="14.4" customHeight="1" thickBot="1" x14ac:dyDescent="0.35">
      <c r="A200" s="606" t="s">
        <v>514</v>
      </c>
      <c r="B200" s="590">
        <v>4.9406564584124654E-324</v>
      </c>
      <c r="C200" s="590">
        <v>7.27</v>
      </c>
      <c r="D200" s="591">
        <v>7.27</v>
      </c>
      <c r="E200" s="592" t="s">
        <v>328</v>
      </c>
      <c r="F200" s="590">
        <v>0</v>
      </c>
      <c r="G200" s="591">
        <v>0</v>
      </c>
      <c r="H200" s="593">
        <v>4.9406564584124654E-324</v>
      </c>
      <c r="I200" s="590">
        <v>2.4703282292062327E-323</v>
      </c>
      <c r="J200" s="591">
        <v>2.4703282292062327E-323</v>
      </c>
      <c r="K200" s="594" t="s">
        <v>322</v>
      </c>
    </row>
    <row r="201" spans="1:11" ht="14.4" customHeight="1" thickBot="1" x14ac:dyDescent="0.35">
      <c r="A201" s="607" t="s">
        <v>515</v>
      </c>
      <c r="B201" s="585">
        <v>4.9406564584124654E-324</v>
      </c>
      <c r="C201" s="585">
        <v>7.27</v>
      </c>
      <c r="D201" s="586">
        <v>7.27</v>
      </c>
      <c r="E201" s="595" t="s">
        <v>328</v>
      </c>
      <c r="F201" s="585">
        <v>0</v>
      </c>
      <c r="G201" s="586">
        <v>0</v>
      </c>
      <c r="H201" s="588">
        <v>4.9406564584124654E-324</v>
      </c>
      <c r="I201" s="585">
        <v>2.4703282292062327E-323</v>
      </c>
      <c r="J201" s="586">
        <v>2.4703282292062327E-323</v>
      </c>
      <c r="K201" s="596" t="s">
        <v>322</v>
      </c>
    </row>
    <row r="202" spans="1:11" ht="14.4" customHeight="1" thickBot="1" x14ac:dyDescent="0.35">
      <c r="A202" s="604" t="s">
        <v>516</v>
      </c>
      <c r="B202" s="585">
        <v>147.99999999999901</v>
      </c>
      <c r="C202" s="585">
        <v>39.264000000000003</v>
      </c>
      <c r="D202" s="586">
        <v>-108.735999999999</v>
      </c>
      <c r="E202" s="587">
        <v>0.26529729729700002</v>
      </c>
      <c r="F202" s="585">
        <v>88</v>
      </c>
      <c r="G202" s="586">
        <v>36.666666666666003</v>
      </c>
      <c r="H202" s="588">
        <v>45.468000000000004</v>
      </c>
      <c r="I202" s="585">
        <v>51.244</v>
      </c>
      <c r="J202" s="586">
        <v>14.577333333333</v>
      </c>
      <c r="K202" s="589">
        <v>0.58231818181799999</v>
      </c>
    </row>
    <row r="203" spans="1:11" ht="14.4" customHeight="1" thickBot="1" x14ac:dyDescent="0.35">
      <c r="A203" s="610" t="s">
        <v>517</v>
      </c>
      <c r="B203" s="590">
        <v>147.99999999999901</v>
      </c>
      <c r="C203" s="590">
        <v>39.264000000000003</v>
      </c>
      <c r="D203" s="591">
        <v>-108.735999999999</v>
      </c>
      <c r="E203" s="597">
        <v>0.26529729729700002</v>
      </c>
      <c r="F203" s="590">
        <v>88</v>
      </c>
      <c r="G203" s="591">
        <v>36.666666666666003</v>
      </c>
      <c r="H203" s="593">
        <v>45.468000000000004</v>
      </c>
      <c r="I203" s="590">
        <v>51.244</v>
      </c>
      <c r="J203" s="591">
        <v>14.577333333333</v>
      </c>
      <c r="K203" s="598">
        <v>0.58231818181799999</v>
      </c>
    </row>
    <row r="204" spans="1:11" ht="14.4" customHeight="1" thickBot="1" x14ac:dyDescent="0.35">
      <c r="A204" s="606" t="s">
        <v>518</v>
      </c>
      <c r="B204" s="590">
        <v>147.99999999999901</v>
      </c>
      <c r="C204" s="590">
        <v>30.6</v>
      </c>
      <c r="D204" s="591">
        <v>-117.399999999999</v>
      </c>
      <c r="E204" s="597">
        <v>0.206756756756</v>
      </c>
      <c r="F204" s="590">
        <v>88</v>
      </c>
      <c r="G204" s="591">
        <v>36.666666666666003</v>
      </c>
      <c r="H204" s="593">
        <v>44.024000000000001</v>
      </c>
      <c r="I204" s="590">
        <v>44.024000000000001</v>
      </c>
      <c r="J204" s="591">
        <v>7.357333333333</v>
      </c>
      <c r="K204" s="598">
        <v>0.50027272727200001</v>
      </c>
    </row>
    <row r="205" spans="1:11" ht="14.4" customHeight="1" thickBot="1" x14ac:dyDescent="0.35">
      <c r="A205" s="607" t="s">
        <v>519</v>
      </c>
      <c r="B205" s="585">
        <v>147.99999999999901</v>
      </c>
      <c r="C205" s="585">
        <v>30.6</v>
      </c>
      <c r="D205" s="586">
        <v>-117.399999999999</v>
      </c>
      <c r="E205" s="587">
        <v>0.206756756756</v>
      </c>
      <c r="F205" s="585">
        <v>88</v>
      </c>
      <c r="G205" s="586">
        <v>36.666666666666003</v>
      </c>
      <c r="H205" s="588">
        <v>44.024000000000001</v>
      </c>
      <c r="I205" s="585">
        <v>44.024000000000001</v>
      </c>
      <c r="J205" s="586">
        <v>7.357333333333</v>
      </c>
      <c r="K205" s="589">
        <v>0.50027272727200001</v>
      </c>
    </row>
    <row r="206" spans="1:11" ht="14.4" customHeight="1" thickBot="1" x14ac:dyDescent="0.35">
      <c r="A206" s="609" t="s">
        <v>520</v>
      </c>
      <c r="B206" s="585">
        <v>4.9406564584124654E-324</v>
      </c>
      <c r="C206" s="585">
        <v>8.6639999999999997</v>
      </c>
      <c r="D206" s="586">
        <v>8.6639999999999997</v>
      </c>
      <c r="E206" s="595" t="s">
        <v>328</v>
      </c>
      <c r="F206" s="585">
        <v>0</v>
      </c>
      <c r="G206" s="586">
        <v>0</v>
      </c>
      <c r="H206" s="588">
        <v>1.444</v>
      </c>
      <c r="I206" s="585">
        <v>7.22</v>
      </c>
      <c r="J206" s="586">
        <v>7.22</v>
      </c>
      <c r="K206" s="596" t="s">
        <v>322</v>
      </c>
    </row>
    <row r="207" spans="1:11" ht="14.4" customHeight="1" thickBot="1" x14ac:dyDescent="0.35">
      <c r="A207" s="607" t="s">
        <v>521</v>
      </c>
      <c r="B207" s="585">
        <v>4.9406564584124654E-324</v>
      </c>
      <c r="C207" s="585">
        <v>8.6639999999999997</v>
      </c>
      <c r="D207" s="586">
        <v>8.6639999999999997</v>
      </c>
      <c r="E207" s="595" t="s">
        <v>328</v>
      </c>
      <c r="F207" s="585">
        <v>0</v>
      </c>
      <c r="G207" s="586">
        <v>0</v>
      </c>
      <c r="H207" s="588">
        <v>1.444</v>
      </c>
      <c r="I207" s="585">
        <v>7.22</v>
      </c>
      <c r="J207" s="586">
        <v>7.22</v>
      </c>
      <c r="K207" s="596" t="s">
        <v>322</v>
      </c>
    </row>
    <row r="208" spans="1:11" ht="14.4" customHeight="1" thickBot="1" x14ac:dyDescent="0.35">
      <c r="A208" s="603" t="s">
        <v>522</v>
      </c>
      <c r="B208" s="585">
        <v>12833.571113247701</v>
      </c>
      <c r="C208" s="585">
        <v>13386.77715</v>
      </c>
      <c r="D208" s="586">
        <v>553.20603675232496</v>
      </c>
      <c r="E208" s="587">
        <v>1.043106165218</v>
      </c>
      <c r="F208" s="585">
        <v>12483.006095832199</v>
      </c>
      <c r="G208" s="586">
        <v>5201.2525399300603</v>
      </c>
      <c r="H208" s="588">
        <v>1264.27955</v>
      </c>
      <c r="I208" s="585">
        <v>6107.6612699999996</v>
      </c>
      <c r="J208" s="586">
        <v>906.40873006993604</v>
      </c>
      <c r="K208" s="589">
        <v>0.48927808118499999</v>
      </c>
    </row>
    <row r="209" spans="1:11" ht="14.4" customHeight="1" thickBot="1" x14ac:dyDescent="0.35">
      <c r="A209" s="608" t="s">
        <v>523</v>
      </c>
      <c r="B209" s="590">
        <v>12833.571113247701</v>
      </c>
      <c r="C209" s="590">
        <v>13386.77715</v>
      </c>
      <c r="D209" s="591">
        <v>553.20603675232496</v>
      </c>
      <c r="E209" s="597">
        <v>1.043106165218</v>
      </c>
      <c r="F209" s="590">
        <v>12483.006095832199</v>
      </c>
      <c r="G209" s="591">
        <v>5201.2525399300603</v>
      </c>
      <c r="H209" s="593">
        <v>1264.27955</v>
      </c>
      <c r="I209" s="590">
        <v>6107.6612699999996</v>
      </c>
      <c r="J209" s="591">
        <v>906.40873006993604</v>
      </c>
      <c r="K209" s="598">
        <v>0.48927808118499999</v>
      </c>
    </row>
    <row r="210" spans="1:11" ht="14.4" customHeight="1" thickBot="1" x14ac:dyDescent="0.35">
      <c r="A210" s="610" t="s">
        <v>54</v>
      </c>
      <c r="B210" s="590">
        <v>12833.571113247701</v>
      </c>
      <c r="C210" s="590">
        <v>13386.77715</v>
      </c>
      <c r="D210" s="591">
        <v>553.20603675232496</v>
      </c>
      <c r="E210" s="597">
        <v>1.043106165218</v>
      </c>
      <c r="F210" s="590">
        <v>12483.006095832199</v>
      </c>
      <c r="G210" s="591">
        <v>5201.2525399300603</v>
      </c>
      <c r="H210" s="593">
        <v>1264.27955</v>
      </c>
      <c r="I210" s="590">
        <v>6107.6612699999996</v>
      </c>
      <c r="J210" s="591">
        <v>906.40873006993604</v>
      </c>
      <c r="K210" s="598">
        <v>0.48927808118499999</v>
      </c>
    </row>
    <row r="211" spans="1:11" ht="14.4" customHeight="1" thickBot="1" x14ac:dyDescent="0.35">
      <c r="A211" s="606" t="s">
        <v>524</v>
      </c>
      <c r="B211" s="590">
        <v>62.999999999998998</v>
      </c>
      <c r="C211" s="590">
        <v>97.196399999999997</v>
      </c>
      <c r="D211" s="591">
        <v>34.196399999999997</v>
      </c>
      <c r="E211" s="597">
        <v>1.5427999999999999</v>
      </c>
      <c r="F211" s="590">
        <v>23</v>
      </c>
      <c r="G211" s="591">
        <v>9.583333333333</v>
      </c>
      <c r="H211" s="593">
        <v>8.4481000000000002</v>
      </c>
      <c r="I211" s="590">
        <v>40.99</v>
      </c>
      <c r="J211" s="591">
        <v>31.406666666665998</v>
      </c>
      <c r="K211" s="598">
        <v>1.7821739130430001</v>
      </c>
    </row>
    <row r="212" spans="1:11" ht="14.4" customHeight="1" thickBot="1" x14ac:dyDescent="0.35">
      <c r="A212" s="607" t="s">
        <v>525</v>
      </c>
      <c r="B212" s="585">
        <v>62.999999999998998</v>
      </c>
      <c r="C212" s="585">
        <v>97.196399999999997</v>
      </c>
      <c r="D212" s="586">
        <v>34.196399999999997</v>
      </c>
      <c r="E212" s="587">
        <v>1.5427999999999999</v>
      </c>
      <c r="F212" s="585">
        <v>23</v>
      </c>
      <c r="G212" s="586">
        <v>9.583333333333</v>
      </c>
      <c r="H212" s="588">
        <v>8.4481000000000002</v>
      </c>
      <c r="I212" s="585">
        <v>40.99</v>
      </c>
      <c r="J212" s="586">
        <v>31.406666666665998</v>
      </c>
      <c r="K212" s="589">
        <v>1.7821739130430001</v>
      </c>
    </row>
    <row r="213" spans="1:11" ht="14.4" customHeight="1" thickBot="1" x14ac:dyDescent="0.35">
      <c r="A213" s="606" t="s">
        <v>526</v>
      </c>
      <c r="B213" s="590">
        <v>114.34714887715199</v>
      </c>
      <c r="C213" s="590">
        <v>35.659999999999997</v>
      </c>
      <c r="D213" s="591">
        <v>-78.687148877151998</v>
      </c>
      <c r="E213" s="597">
        <v>0.31185736024100003</v>
      </c>
      <c r="F213" s="590">
        <v>43.006095832151999</v>
      </c>
      <c r="G213" s="591">
        <v>17.91920659673</v>
      </c>
      <c r="H213" s="593">
        <v>3.1480000000000001</v>
      </c>
      <c r="I213" s="590">
        <v>18.603999999999999</v>
      </c>
      <c r="J213" s="591">
        <v>0.68479340327000005</v>
      </c>
      <c r="K213" s="598">
        <v>0.43258983732400003</v>
      </c>
    </row>
    <row r="214" spans="1:11" ht="14.4" customHeight="1" thickBot="1" x14ac:dyDescent="0.35">
      <c r="A214" s="607" t="s">
        <v>527</v>
      </c>
      <c r="B214" s="585">
        <v>114.34714887715199</v>
      </c>
      <c r="C214" s="585">
        <v>35.659999999999997</v>
      </c>
      <c r="D214" s="586">
        <v>-78.687148877151998</v>
      </c>
      <c r="E214" s="587">
        <v>0.31185736024100003</v>
      </c>
      <c r="F214" s="585">
        <v>43.006095832151999</v>
      </c>
      <c r="G214" s="586">
        <v>17.91920659673</v>
      </c>
      <c r="H214" s="588">
        <v>3.1480000000000001</v>
      </c>
      <c r="I214" s="585">
        <v>18.603999999999999</v>
      </c>
      <c r="J214" s="586">
        <v>0.68479340327000005</v>
      </c>
      <c r="K214" s="589">
        <v>0.43258983732400003</v>
      </c>
    </row>
    <row r="215" spans="1:11" ht="14.4" customHeight="1" thickBot="1" x14ac:dyDescent="0.35">
      <c r="A215" s="606" t="s">
        <v>528</v>
      </c>
      <c r="B215" s="590">
        <v>932.223964370678</v>
      </c>
      <c r="C215" s="590">
        <v>1066.8210999999999</v>
      </c>
      <c r="D215" s="591">
        <v>134.597135629322</v>
      </c>
      <c r="E215" s="597">
        <v>1.144382831565</v>
      </c>
      <c r="F215" s="590">
        <v>1160</v>
      </c>
      <c r="G215" s="591">
        <v>483.33333333333297</v>
      </c>
      <c r="H215" s="593">
        <v>80.795000000000002</v>
      </c>
      <c r="I215" s="590">
        <v>414.94119999999998</v>
      </c>
      <c r="J215" s="591">
        <v>-68.392133333333007</v>
      </c>
      <c r="K215" s="598">
        <v>0.357707931034</v>
      </c>
    </row>
    <row r="216" spans="1:11" ht="14.4" customHeight="1" thickBot="1" x14ac:dyDescent="0.35">
      <c r="A216" s="607" t="s">
        <v>529</v>
      </c>
      <c r="B216" s="585">
        <v>932.223964370678</v>
      </c>
      <c r="C216" s="585">
        <v>1066.8210999999999</v>
      </c>
      <c r="D216" s="586">
        <v>134.597135629322</v>
      </c>
      <c r="E216" s="587">
        <v>1.144382831565</v>
      </c>
      <c r="F216" s="585">
        <v>1160</v>
      </c>
      <c r="G216" s="586">
        <v>483.33333333333297</v>
      </c>
      <c r="H216" s="588">
        <v>80.795000000000002</v>
      </c>
      <c r="I216" s="585">
        <v>414.94119999999998</v>
      </c>
      <c r="J216" s="586">
        <v>-68.392133333333007</v>
      </c>
      <c r="K216" s="589">
        <v>0.357707931034</v>
      </c>
    </row>
    <row r="217" spans="1:11" ht="14.4" customHeight="1" thickBot="1" x14ac:dyDescent="0.35">
      <c r="A217" s="606" t="s">
        <v>530</v>
      </c>
      <c r="B217" s="590">
        <v>0</v>
      </c>
      <c r="C217" s="590">
        <v>10.252000000000001</v>
      </c>
      <c r="D217" s="591">
        <v>10.252000000000001</v>
      </c>
      <c r="E217" s="592" t="s">
        <v>322</v>
      </c>
      <c r="F217" s="590">
        <v>4.9406564584124654E-324</v>
      </c>
      <c r="G217" s="591">
        <v>0</v>
      </c>
      <c r="H217" s="593">
        <v>0.49199999999999999</v>
      </c>
      <c r="I217" s="590">
        <v>3.5179999999999998</v>
      </c>
      <c r="J217" s="591">
        <v>3.5179999999999998</v>
      </c>
      <c r="K217" s="594" t="s">
        <v>328</v>
      </c>
    </row>
    <row r="218" spans="1:11" ht="14.4" customHeight="1" thickBot="1" x14ac:dyDescent="0.35">
      <c r="A218" s="607" t="s">
        <v>531</v>
      </c>
      <c r="B218" s="585">
        <v>0</v>
      </c>
      <c r="C218" s="585">
        <v>10.252000000000001</v>
      </c>
      <c r="D218" s="586">
        <v>10.252000000000001</v>
      </c>
      <c r="E218" s="595" t="s">
        <v>322</v>
      </c>
      <c r="F218" s="585">
        <v>4.9406564584124654E-324</v>
      </c>
      <c r="G218" s="586">
        <v>0</v>
      </c>
      <c r="H218" s="588">
        <v>0.49199999999999999</v>
      </c>
      <c r="I218" s="585">
        <v>3.5179999999999998</v>
      </c>
      <c r="J218" s="586">
        <v>3.5179999999999998</v>
      </c>
      <c r="K218" s="596" t="s">
        <v>328</v>
      </c>
    </row>
    <row r="219" spans="1:11" ht="14.4" customHeight="1" thickBot="1" x14ac:dyDescent="0.35">
      <c r="A219" s="606" t="s">
        <v>532</v>
      </c>
      <c r="B219" s="590">
        <v>502.99999999999397</v>
      </c>
      <c r="C219" s="590">
        <v>445.53507000000002</v>
      </c>
      <c r="D219" s="591">
        <v>-57.464929999992997</v>
      </c>
      <c r="E219" s="597">
        <v>0.88575560636100004</v>
      </c>
      <c r="F219" s="590">
        <v>650</v>
      </c>
      <c r="G219" s="591">
        <v>270.83333333333297</v>
      </c>
      <c r="H219" s="593">
        <v>43.620519999999999</v>
      </c>
      <c r="I219" s="590">
        <v>195.85739000000001</v>
      </c>
      <c r="J219" s="591">
        <v>-74.975943333333007</v>
      </c>
      <c r="K219" s="598">
        <v>0.30131906153799998</v>
      </c>
    </row>
    <row r="220" spans="1:11" ht="14.4" customHeight="1" thickBot="1" x14ac:dyDescent="0.35">
      <c r="A220" s="607" t="s">
        <v>533</v>
      </c>
      <c r="B220" s="585">
        <v>501.99999999999397</v>
      </c>
      <c r="C220" s="585">
        <v>444.95943</v>
      </c>
      <c r="D220" s="586">
        <v>-57.040569999992996</v>
      </c>
      <c r="E220" s="587">
        <v>0.88637336653300003</v>
      </c>
      <c r="F220" s="585">
        <v>619</v>
      </c>
      <c r="G220" s="586">
        <v>257.91666666666703</v>
      </c>
      <c r="H220" s="588">
        <v>40.994689999999999</v>
      </c>
      <c r="I220" s="585">
        <v>182.72806</v>
      </c>
      <c r="J220" s="586">
        <v>-75.188606666666004</v>
      </c>
      <c r="K220" s="589">
        <v>0.29519880452300001</v>
      </c>
    </row>
    <row r="221" spans="1:11" ht="14.4" customHeight="1" thickBot="1" x14ac:dyDescent="0.35">
      <c r="A221" s="607" t="s">
        <v>534</v>
      </c>
      <c r="B221" s="585">
        <v>0.99999999999900002</v>
      </c>
      <c r="C221" s="585">
        <v>0.57564000000000004</v>
      </c>
      <c r="D221" s="586">
        <v>-0.42435999999899998</v>
      </c>
      <c r="E221" s="587">
        <v>0.57564000000000004</v>
      </c>
      <c r="F221" s="585">
        <v>31</v>
      </c>
      <c r="G221" s="586">
        <v>12.916666666666</v>
      </c>
      <c r="H221" s="588">
        <v>2.6258300000000001</v>
      </c>
      <c r="I221" s="585">
        <v>13.12933</v>
      </c>
      <c r="J221" s="586">
        <v>0.212663333333</v>
      </c>
      <c r="K221" s="589">
        <v>0.423526774193</v>
      </c>
    </row>
    <row r="222" spans="1:11" ht="14.4" customHeight="1" thickBot="1" x14ac:dyDescent="0.35">
      <c r="A222" s="606" t="s">
        <v>535</v>
      </c>
      <c r="B222" s="590">
        <v>0</v>
      </c>
      <c r="C222" s="590">
        <v>1619.4038599999999</v>
      </c>
      <c r="D222" s="591">
        <v>1619.4038599999999</v>
      </c>
      <c r="E222" s="592" t="s">
        <v>322</v>
      </c>
      <c r="F222" s="590">
        <v>4.9406564584124654E-324</v>
      </c>
      <c r="G222" s="591">
        <v>0</v>
      </c>
      <c r="H222" s="593">
        <v>171.0164</v>
      </c>
      <c r="I222" s="590">
        <v>736.91107</v>
      </c>
      <c r="J222" s="591">
        <v>736.91107</v>
      </c>
      <c r="K222" s="594" t="s">
        <v>328</v>
      </c>
    </row>
    <row r="223" spans="1:11" ht="14.4" customHeight="1" thickBot="1" x14ac:dyDescent="0.35">
      <c r="A223" s="607" t="s">
        <v>536</v>
      </c>
      <c r="B223" s="585">
        <v>0</v>
      </c>
      <c r="C223" s="585">
        <v>1619.4038599999999</v>
      </c>
      <c r="D223" s="586">
        <v>1619.4038599999999</v>
      </c>
      <c r="E223" s="595" t="s">
        <v>322</v>
      </c>
      <c r="F223" s="585">
        <v>4.9406564584124654E-324</v>
      </c>
      <c r="G223" s="586">
        <v>0</v>
      </c>
      <c r="H223" s="588">
        <v>171.0164</v>
      </c>
      <c r="I223" s="585">
        <v>736.91107</v>
      </c>
      <c r="J223" s="586">
        <v>736.91107</v>
      </c>
      <c r="K223" s="596" t="s">
        <v>328</v>
      </c>
    </row>
    <row r="224" spans="1:11" ht="14.4" customHeight="1" thickBot="1" x14ac:dyDescent="0.35">
      <c r="A224" s="606" t="s">
        <v>537</v>
      </c>
      <c r="B224" s="590">
        <v>11220.9999999999</v>
      </c>
      <c r="C224" s="590">
        <v>10111.908719999999</v>
      </c>
      <c r="D224" s="591">
        <v>-1109.09127999985</v>
      </c>
      <c r="E224" s="597">
        <v>0.90115931913299996</v>
      </c>
      <c r="F224" s="590">
        <v>10607</v>
      </c>
      <c r="G224" s="591">
        <v>4419.5833333333303</v>
      </c>
      <c r="H224" s="593">
        <v>956.75953000000004</v>
      </c>
      <c r="I224" s="590">
        <v>4696.83961</v>
      </c>
      <c r="J224" s="591">
        <v>277.25627666666497</v>
      </c>
      <c r="K224" s="598">
        <v>0.44280565758399998</v>
      </c>
    </row>
    <row r="225" spans="1:11" ht="14.4" customHeight="1" thickBot="1" x14ac:dyDescent="0.35">
      <c r="A225" s="607" t="s">
        <v>538</v>
      </c>
      <c r="B225" s="585">
        <v>11220.9999999999</v>
      </c>
      <c r="C225" s="585">
        <v>10111.908719999999</v>
      </c>
      <c r="D225" s="586">
        <v>-1109.09127999985</v>
      </c>
      <c r="E225" s="587">
        <v>0.90115931913299996</v>
      </c>
      <c r="F225" s="585">
        <v>10607</v>
      </c>
      <c r="G225" s="586">
        <v>4419.5833333333303</v>
      </c>
      <c r="H225" s="588">
        <v>956.75953000000004</v>
      </c>
      <c r="I225" s="585">
        <v>4696.83961</v>
      </c>
      <c r="J225" s="586">
        <v>277.25627666666497</v>
      </c>
      <c r="K225" s="589">
        <v>0.44280565758399998</v>
      </c>
    </row>
    <row r="226" spans="1:11" ht="14.4" customHeight="1" thickBot="1" x14ac:dyDescent="0.35">
      <c r="A226" s="611" t="s">
        <v>539</v>
      </c>
      <c r="B226" s="590">
        <v>0</v>
      </c>
      <c r="C226" s="590">
        <v>4.63</v>
      </c>
      <c r="D226" s="591">
        <v>4.63</v>
      </c>
      <c r="E226" s="592" t="s">
        <v>322</v>
      </c>
      <c r="F226" s="590">
        <v>4.9406564584124654E-324</v>
      </c>
      <c r="G226" s="591">
        <v>0</v>
      </c>
      <c r="H226" s="593">
        <v>4.9406564584124654E-324</v>
      </c>
      <c r="I226" s="590">
        <v>6.4619999999999997E-2</v>
      </c>
      <c r="J226" s="591">
        <v>6.4619999999999997E-2</v>
      </c>
      <c r="K226" s="594" t="s">
        <v>328</v>
      </c>
    </row>
    <row r="227" spans="1:11" ht="14.4" customHeight="1" thickBot="1" x14ac:dyDescent="0.35">
      <c r="A227" s="608" t="s">
        <v>540</v>
      </c>
      <c r="B227" s="590">
        <v>0</v>
      </c>
      <c r="C227" s="590">
        <v>4.63</v>
      </c>
      <c r="D227" s="591">
        <v>4.63</v>
      </c>
      <c r="E227" s="592" t="s">
        <v>322</v>
      </c>
      <c r="F227" s="590">
        <v>4.9406564584124654E-324</v>
      </c>
      <c r="G227" s="591">
        <v>0</v>
      </c>
      <c r="H227" s="593">
        <v>4.9406564584124654E-324</v>
      </c>
      <c r="I227" s="590">
        <v>6.4619999999999997E-2</v>
      </c>
      <c r="J227" s="591">
        <v>6.4619999999999997E-2</v>
      </c>
      <c r="K227" s="594" t="s">
        <v>328</v>
      </c>
    </row>
    <row r="228" spans="1:11" ht="14.4" customHeight="1" thickBot="1" x14ac:dyDescent="0.35">
      <c r="A228" s="610" t="s">
        <v>541</v>
      </c>
      <c r="B228" s="590">
        <v>0</v>
      </c>
      <c r="C228" s="590">
        <v>4.63</v>
      </c>
      <c r="D228" s="591">
        <v>4.63</v>
      </c>
      <c r="E228" s="592" t="s">
        <v>322</v>
      </c>
      <c r="F228" s="590">
        <v>4.9406564584124654E-324</v>
      </c>
      <c r="G228" s="591">
        <v>0</v>
      </c>
      <c r="H228" s="593">
        <v>4.9406564584124654E-324</v>
      </c>
      <c r="I228" s="590">
        <v>6.4619999999999997E-2</v>
      </c>
      <c r="J228" s="591">
        <v>6.4619999999999997E-2</v>
      </c>
      <c r="K228" s="594" t="s">
        <v>328</v>
      </c>
    </row>
    <row r="229" spans="1:11" ht="14.4" customHeight="1" thickBot="1" x14ac:dyDescent="0.35">
      <c r="A229" s="606" t="s">
        <v>542</v>
      </c>
      <c r="B229" s="590">
        <v>0</v>
      </c>
      <c r="C229" s="590">
        <v>4.63</v>
      </c>
      <c r="D229" s="591">
        <v>4.63</v>
      </c>
      <c r="E229" s="592" t="s">
        <v>322</v>
      </c>
      <c r="F229" s="590">
        <v>4.9406564584124654E-324</v>
      </c>
      <c r="G229" s="591">
        <v>0</v>
      </c>
      <c r="H229" s="593">
        <v>4.9406564584124654E-324</v>
      </c>
      <c r="I229" s="590">
        <v>6.4619999999999997E-2</v>
      </c>
      <c r="J229" s="591">
        <v>6.4619999999999997E-2</v>
      </c>
      <c r="K229" s="594" t="s">
        <v>328</v>
      </c>
    </row>
    <row r="230" spans="1:11" ht="14.4" customHeight="1" thickBot="1" x14ac:dyDescent="0.35">
      <c r="A230" s="607" t="s">
        <v>543</v>
      </c>
      <c r="B230" s="585">
        <v>4.9406564584124654E-324</v>
      </c>
      <c r="C230" s="585">
        <v>4.9406564584124654E-324</v>
      </c>
      <c r="D230" s="586">
        <v>0</v>
      </c>
      <c r="E230" s="587">
        <v>1</v>
      </c>
      <c r="F230" s="585">
        <v>4.9406564584124654E-324</v>
      </c>
      <c r="G230" s="586">
        <v>0</v>
      </c>
      <c r="H230" s="588">
        <v>4.9406564584124654E-324</v>
      </c>
      <c r="I230" s="585">
        <v>6.4619999999999997E-2</v>
      </c>
      <c r="J230" s="586">
        <v>6.4619999999999997E-2</v>
      </c>
      <c r="K230" s="596" t="s">
        <v>328</v>
      </c>
    </row>
    <row r="231" spans="1:11" ht="14.4" customHeight="1" thickBot="1" x14ac:dyDescent="0.35">
      <c r="A231" s="607" t="s">
        <v>544</v>
      </c>
      <c r="B231" s="585">
        <v>0</v>
      </c>
      <c r="C231" s="585">
        <v>4.63</v>
      </c>
      <c r="D231" s="586">
        <v>4.63</v>
      </c>
      <c r="E231" s="595" t="s">
        <v>322</v>
      </c>
      <c r="F231" s="585">
        <v>4.9406564584124654E-324</v>
      </c>
      <c r="G231" s="586">
        <v>0</v>
      </c>
      <c r="H231" s="588">
        <v>4.9406564584124654E-324</v>
      </c>
      <c r="I231" s="585">
        <v>2.4703282292062327E-323</v>
      </c>
      <c r="J231" s="586">
        <v>2.4703282292062327E-323</v>
      </c>
      <c r="K231" s="589">
        <v>0</v>
      </c>
    </row>
    <row r="232" spans="1:11" ht="14.4" customHeight="1" thickBot="1" x14ac:dyDescent="0.35">
      <c r="A232" s="612"/>
      <c r="B232" s="585">
        <v>-7538.2311784294698</v>
      </c>
      <c r="C232" s="585">
        <v>-16531.14459</v>
      </c>
      <c r="D232" s="586">
        <v>-8992.9134115705401</v>
      </c>
      <c r="E232" s="587">
        <v>2.1929739482250001</v>
      </c>
      <c r="F232" s="585">
        <v>-2695.4166713883201</v>
      </c>
      <c r="G232" s="586">
        <v>-1123.0902797451299</v>
      </c>
      <c r="H232" s="588">
        <v>2882.5421899999901</v>
      </c>
      <c r="I232" s="585">
        <v>1842.5510999999401</v>
      </c>
      <c r="J232" s="586">
        <v>2965.64137974507</v>
      </c>
      <c r="K232" s="589">
        <v>-0.68358674173</v>
      </c>
    </row>
    <row r="233" spans="1:11" ht="14.4" customHeight="1" thickBot="1" x14ac:dyDescent="0.35">
      <c r="A233" s="613" t="s">
        <v>66</v>
      </c>
      <c r="B233" s="599">
        <v>-7538.2311784292997</v>
      </c>
      <c r="C233" s="599">
        <v>-16531.14459</v>
      </c>
      <c r="D233" s="600">
        <v>-8992.9134115707202</v>
      </c>
      <c r="E233" s="601" t="s">
        <v>322</v>
      </c>
      <c r="F233" s="599">
        <v>-2695.4166713883201</v>
      </c>
      <c r="G233" s="600">
        <v>-1123.0902797451299</v>
      </c>
      <c r="H233" s="599">
        <v>2882.5421899999901</v>
      </c>
      <c r="I233" s="599">
        <v>1842.5510999999501</v>
      </c>
      <c r="J233" s="600">
        <v>2965.64137974508</v>
      </c>
      <c r="K233" s="602">
        <v>-0.68358674173</v>
      </c>
    </row>
  </sheetData>
  <autoFilter ref="A5"/>
  <mergeCells count="8">
    <mergeCell ref="A1:K1"/>
    <mergeCell ref="B3:E4"/>
    <mergeCell ref="F3:K3"/>
    <mergeCell ref="F4:F5"/>
    <mergeCell ref="G4:G5"/>
    <mergeCell ref="I4:I5"/>
    <mergeCell ref="J4:J5"/>
    <mergeCell ref="K4:K5"/>
  </mergeCells>
  <hyperlinks>
    <hyperlink ref="A2" location="Obsah!A1" display="Zpět na Obsah  KL 01  1.-4.měsíc"/>
  </hyperlinks>
  <pageMargins left="0.25" right="0.25" top="0.75" bottom="0.75" header="0.3" footer="0.3"/>
  <pageSetup paperSize="9" scale="79" fitToHeight="0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9">
    <tabColor theme="3" tint="0.39997558519241921"/>
    <pageSetUpPr fitToPage="1"/>
  </sheetPr>
  <dimension ref="A1:J57"/>
  <sheetViews>
    <sheetView showGridLines="0" showRowColHeaders="0" workbookViewId="0">
      <pane ySplit="4" topLeftCell="A5" activePane="bottomLeft" state="frozen"/>
      <selection activeCell="A2" sqref="A2:I2"/>
      <selection pane="bottomLeft" sqref="A1:I1"/>
    </sheetView>
  </sheetViews>
  <sheetFormatPr defaultRowHeight="14.4" customHeight="1" x14ac:dyDescent="0.3"/>
  <cols>
    <col min="1" max="1" width="5.5546875" style="341" customWidth="1"/>
    <col min="2" max="2" width="61.109375" style="341" customWidth="1"/>
    <col min="3" max="3" width="9.5546875" style="257" customWidth="1"/>
    <col min="4" max="4" width="9.5546875" style="342" customWidth="1"/>
    <col min="5" max="5" width="2.21875" style="342" customWidth="1"/>
    <col min="6" max="6" width="9.5546875" style="343" customWidth="1"/>
    <col min="7" max="7" width="9.5546875" style="340" customWidth="1"/>
    <col min="8" max="9" width="9.5546875" style="257" customWidth="1"/>
    <col min="10" max="10" width="0" style="257" hidden="1" customWidth="1"/>
    <col min="11" max="16384" width="8.88671875" style="257"/>
  </cols>
  <sheetData>
    <row r="1" spans="1:10" ht="18.600000000000001" customHeight="1" thickBot="1" x14ac:dyDescent="0.4">
      <c r="A1" s="487" t="s">
        <v>177</v>
      </c>
      <c r="B1" s="488"/>
      <c r="C1" s="488"/>
      <c r="D1" s="488"/>
      <c r="E1" s="488"/>
      <c r="F1" s="488"/>
      <c r="G1" s="459"/>
      <c r="H1" s="489"/>
      <c r="I1" s="489"/>
    </row>
    <row r="2" spans="1:10" ht="14.4" customHeight="1" thickBot="1" x14ac:dyDescent="0.35">
      <c r="A2" s="386" t="s">
        <v>321</v>
      </c>
      <c r="B2" s="339"/>
      <c r="C2" s="339"/>
      <c r="D2" s="339"/>
      <c r="E2" s="339"/>
      <c r="F2" s="339"/>
    </row>
    <row r="3" spans="1:10" ht="14.4" customHeight="1" thickBot="1" x14ac:dyDescent="0.35">
      <c r="A3" s="386"/>
      <c r="B3" s="339"/>
      <c r="C3" s="444">
        <v>2012</v>
      </c>
      <c r="D3" s="445">
        <v>2013</v>
      </c>
      <c r="E3" s="11"/>
      <c r="F3" s="482">
        <v>2014</v>
      </c>
      <c r="G3" s="483"/>
      <c r="H3" s="483"/>
      <c r="I3" s="484"/>
    </row>
    <row r="4" spans="1:10" ht="14.4" customHeight="1" thickBot="1" x14ac:dyDescent="0.35">
      <c r="A4" s="449" t="s">
        <v>0</v>
      </c>
      <c r="B4" s="450" t="s">
        <v>313</v>
      </c>
      <c r="C4" s="485" t="s">
        <v>94</v>
      </c>
      <c r="D4" s="486"/>
      <c r="E4" s="451"/>
      <c r="F4" s="446" t="s">
        <v>94</v>
      </c>
      <c r="G4" s="447" t="s">
        <v>95</v>
      </c>
      <c r="H4" s="447" t="s">
        <v>69</v>
      </c>
      <c r="I4" s="448" t="s">
        <v>96</v>
      </c>
    </row>
    <row r="5" spans="1:10" ht="14.4" customHeight="1" x14ac:dyDescent="0.3">
      <c r="A5" s="614" t="s">
        <v>545</v>
      </c>
      <c r="B5" s="615" t="s">
        <v>546</v>
      </c>
      <c r="C5" s="616" t="s">
        <v>547</v>
      </c>
      <c r="D5" s="616" t="s">
        <v>547</v>
      </c>
      <c r="E5" s="616"/>
      <c r="F5" s="616" t="s">
        <v>547</v>
      </c>
      <c r="G5" s="616" t="s">
        <v>547</v>
      </c>
      <c r="H5" s="616" t="s">
        <v>547</v>
      </c>
      <c r="I5" s="617" t="s">
        <v>547</v>
      </c>
      <c r="J5" s="618" t="s">
        <v>74</v>
      </c>
    </row>
    <row r="6" spans="1:10" ht="14.4" customHeight="1" x14ac:dyDescent="0.3">
      <c r="A6" s="614" t="s">
        <v>545</v>
      </c>
      <c r="B6" s="615" t="s">
        <v>331</v>
      </c>
      <c r="C6" s="616">
        <v>7313.8900899999999</v>
      </c>
      <c r="D6" s="616">
        <v>5794.0813399999988</v>
      </c>
      <c r="E6" s="616"/>
      <c r="F6" s="616">
        <v>5246.2329300000038</v>
      </c>
      <c r="G6" s="616">
        <v>6082.5172950376</v>
      </c>
      <c r="H6" s="616">
        <v>-836.28436503759622</v>
      </c>
      <c r="I6" s="617">
        <v>0.8625101541889777</v>
      </c>
      <c r="J6" s="618" t="s">
        <v>1</v>
      </c>
    </row>
    <row r="7" spans="1:10" ht="14.4" customHeight="1" x14ac:dyDescent="0.3">
      <c r="A7" s="614" t="s">
        <v>545</v>
      </c>
      <c r="B7" s="615" t="s">
        <v>332</v>
      </c>
      <c r="C7" s="616">
        <v>762.45828999999992</v>
      </c>
      <c r="D7" s="616">
        <v>755.46421999999995</v>
      </c>
      <c r="E7" s="616"/>
      <c r="F7" s="616">
        <v>439.02879999999999</v>
      </c>
      <c r="G7" s="616">
        <v>739.9724202211072</v>
      </c>
      <c r="H7" s="616">
        <v>-300.94362022110721</v>
      </c>
      <c r="I7" s="617">
        <v>0.59330427459555335</v>
      </c>
      <c r="J7" s="618" t="s">
        <v>1</v>
      </c>
    </row>
    <row r="8" spans="1:10" ht="14.4" customHeight="1" x14ac:dyDescent="0.3">
      <c r="A8" s="614" t="s">
        <v>545</v>
      </c>
      <c r="B8" s="615" t="s">
        <v>333</v>
      </c>
      <c r="C8" s="616">
        <v>39.599999999999994</v>
      </c>
      <c r="D8" s="616">
        <v>20.297070000000001</v>
      </c>
      <c r="E8" s="616"/>
      <c r="F8" s="616">
        <v>0</v>
      </c>
      <c r="G8" s="616">
        <v>8.2390162378516667</v>
      </c>
      <c r="H8" s="616">
        <v>-8.2390162378516667</v>
      </c>
      <c r="I8" s="617">
        <v>0</v>
      </c>
      <c r="J8" s="618" t="s">
        <v>1</v>
      </c>
    </row>
    <row r="9" spans="1:10" ht="14.4" customHeight="1" x14ac:dyDescent="0.3">
      <c r="A9" s="614" t="s">
        <v>545</v>
      </c>
      <c r="B9" s="615" t="s">
        <v>334</v>
      </c>
      <c r="C9" s="616">
        <v>343.71179000000006</v>
      </c>
      <c r="D9" s="616">
        <v>319.66049999999899</v>
      </c>
      <c r="E9" s="616"/>
      <c r="F9" s="616">
        <v>341.54471999999998</v>
      </c>
      <c r="G9" s="616">
        <v>366.66988624507957</v>
      </c>
      <c r="H9" s="616">
        <v>-25.125166245079583</v>
      </c>
      <c r="I9" s="617">
        <v>0.93147742100564512</v>
      </c>
      <c r="J9" s="618" t="s">
        <v>1</v>
      </c>
    </row>
    <row r="10" spans="1:10" ht="14.4" customHeight="1" x14ac:dyDescent="0.3">
      <c r="A10" s="614" t="s">
        <v>545</v>
      </c>
      <c r="B10" s="615" t="s">
        <v>335</v>
      </c>
      <c r="C10" s="616">
        <v>58.454439999999998</v>
      </c>
      <c r="D10" s="616">
        <v>0</v>
      </c>
      <c r="E10" s="616"/>
      <c r="F10" s="616">
        <v>21.73836</v>
      </c>
      <c r="G10" s="616">
        <v>23.750829870013334</v>
      </c>
      <c r="H10" s="616">
        <v>-2.0124698700133337</v>
      </c>
      <c r="I10" s="617">
        <v>0.9152673872438376</v>
      </c>
      <c r="J10" s="618" t="s">
        <v>1</v>
      </c>
    </row>
    <row r="11" spans="1:10" ht="14.4" customHeight="1" x14ac:dyDescent="0.3">
      <c r="A11" s="614" t="s">
        <v>545</v>
      </c>
      <c r="B11" s="615" t="s">
        <v>336</v>
      </c>
      <c r="C11" s="616">
        <v>792.23769000000016</v>
      </c>
      <c r="D11" s="616">
        <v>766.90502000000004</v>
      </c>
      <c r="E11" s="616"/>
      <c r="F11" s="616">
        <v>665.50566000000106</v>
      </c>
      <c r="G11" s="616">
        <v>555.36327505207498</v>
      </c>
      <c r="H11" s="616">
        <v>110.14238494792608</v>
      </c>
      <c r="I11" s="617">
        <v>1.1983249341390072</v>
      </c>
      <c r="J11" s="618" t="s">
        <v>1</v>
      </c>
    </row>
    <row r="12" spans="1:10" ht="14.4" customHeight="1" x14ac:dyDescent="0.3">
      <c r="A12" s="614" t="s">
        <v>545</v>
      </c>
      <c r="B12" s="615" t="s">
        <v>337</v>
      </c>
      <c r="C12" s="616">
        <v>675.46301000000005</v>
      </c>
      <c r="D12" s="616">
        <v>606.59803999999895</v>
      </c>
      <c r="E12" s="616"/>
      <c r="F12" s="616">
        <v>786.59701000000109</v>
      </c>
      <c r="G12" s="616">
        <v>348.98199378295419</v>
      </c>
      <c r="H12" s="616">
        <v>437.6150162170469</v>
      </c>
      <c r="I12" s="617">
        <v>2.2539759185662085</v>
      </c>
      <c r="J12" s="618" t="s">
        <v>1</v>
      </c>
    </row>
    <row r="13" spans="1:10" ht="14.4" customHeight="1" x14ac:dyDescent="0.3">
      <c r="A13" s="614" t="s">
        <v>545</v>
      </c>
      <c r="B13" s="615" t="s">
        <v>338</v>
      </c>
      <c r="C13" s="616">
        <v>333.04951</v>
      </c>
      <c r="D13" s="616">
        <v>286.71036999999899</v>
      </c>
      <c r="E13" s="616"/>
      <c r="F13" s="616">
        <v>288.86716000000001</v>
      </c>
      <c r="G13" s="616">
        <v>264.13573461314667</v>
      </c>
      <c r="H13" s="616">
        <v>24.731425386853346</v>
      </c>
      <c r="I13" s="617">
        <v>1.0936315013304618</v>
      </c>
      <c r="J13" s="618" t="s">
        <v>1</v>
      </c>
    </row>
    <row r="14" spans="1:10" ht="14.4" customHeight="1" x14ac:dyDescent="0.3">
      <c r="A14" s="614" t="s">
        <v>545</v>
      </c>
      <c r="B14" s="615" t="s">
        <v>548</v>
      </c>
      <c r="C14" s="616">
        <v>10318.864819999999</v>
      </c>
      <c r="D14" s="616">
        <v>8549.7165599999953</v>
      </c>
      <c r="E14" s="616"/>
      <c r="F14" s="616">
        <v>7789.5146400000058</v>
      </c>
      <c r="G14" s="616">
        <v>8389.6304510598275</v>
      </c>
      <c r="H14" s="616">
        <v>-600.11581105982168</v>
      </c>
      <c r="I14" s="617">
        <v>0.92846933907750229</v>
      </c>
      <c r="J14" s="618" t="s">
        <v>549</v>
      </c>
    </row>
    <row r="16" spans="1:10" ht="14.4" customHeight="1" x14ac:dyDescent="0.3">
      <c r="A16" s="614" t="s">
        <v>545</v>
      </c>
      <c r="B16" s="615" t="s">
        <v>546</v>
      </c>
      <c r="C16" s="616" t="s">
        <v>547</v>
      </c>
      <c r="D16" s="616" t="s">
        <v>547</v>
      </c>
      <c r="E16" s="616"/>
      <c r="F16" s="616" t="s">
        <v>547</v>
      </c>
      <c r="G16" s="616" t="s">
        <v>547</v>
      </c>
      <c r="H16" s="616" t="s">
        <v>547</v>
      </c>
      <c r="I16" s="617" t="s">
        <v>547</v>
      </c>
      <c r="J16" s="618" t="s">
        <v>74</v>
      </c>
    </row>
    <row r="17" spans="1:10" ht="14.4" customHeight="1" x14ac:dyDescent="0.3">
      <c r="A17" s="614" t="s">
        <v>550</v>
      </c>
      <c r="B17" s="615" t="s">
        <v>551</v>
      </c>
      <c r="C17" s="616" t="s">
        <v>547</v>
      </c>
      <c r="D17" s="616" t="s">
        <v>547</v>
      </c>
      <c r="E17" s="616"/>
      <c r="F17" s="616" t="s">
        <v>547</v>
      </c>
      <c r="G17" s="616" t="s">
        <v>547</v>
      </c>
      <c r="H17" s="616" t="s">
        <v>547</v>
      </c>
      <c r="I17" s="617" t="s">
        <v>547</v>
      </c>
      <c r="J17" s="618" t="s">
        <v>0</v>
      </c>
    </row>
    <row r="18" spans="1:10" ht="14.4" customHeight="1" x14ac:dyDescent="0.3">
      <c r="A18" s="614" t="s">
        <v>550</v>
      </c>
      <c r="B18" s="615" t="s">
        <v>331</v>
      </c>
      <c r="C18" s="616">
        <v>7.6293500000000005</v>
      </c>
      <c r="D18" s="616">
        <v>13.715150000000003</v>
      </c>
      <c r="E18" s="616"/>
      <c r="F18" s="616">
        <v>3.8207300000000002</v>
      </c>
      <c r="G18" s="616">
        <v>12.357321376192083</v>
      </c>
      <c r="H18" s="616">
        <v>-8.5365913761920815</v>
      </c>
      <c r="I18" s="617">
        <v>0.30918755640369699</v>
      </c>
      <c r="J18" s="618" t="s">
        <v>1</v>
      </c>
    </row>
    <row r="19" spans="1:10" ht="14.4" customHeight="1" x14ac:dyDescent="0.3">
      <c r="A19" s="614" t="s">
        <v>550</v>
      </c>
      <c r="B19" s="615" t="s">
        <v>552</v>
      </c>
      <c r="C19" s="616">
        <v>7.6293500000000005</v>
      </c>
      <c r="D19" s="616">
        <v>13.715150000000003</v>
      </c>
      <c r="E19" s="616"/>
      <c r="F19" s="616">
        <v>3.8207300000000002</v>
      </c>
      <c r="G19" s="616">
        <v>12.357321376192083</v>
      </c>
      <c r="H19" s="616">
        <v>-8.5365913761920815</v>
      </c>
      <c r="I19" s="617">
        <v>0.30918755640369699</v>
      </c>
      <c r="J19" s="618" t="s">
        <v>553</v>
      </c>
    </row>
    <row r="20" spans="1:10" ht="14.4" customHeight="1" x14ac:dyDescent="0.3">
      <c r="A20" s="614" t="s">
        <v>547</v>
      </c>
      <c r="B20" s="615" t="s">
        <v>547</v>
      </c>
      <c r="C20" s="616" t="s">
        <v>547</v>
      </c>
      <c r="D20" s="616" t="s">
        <v>547</v>
      </c>
      <c r="E20" s="616"/>
      <c r="F20" s="616" t="s">
        <v>547</v>
      </c>
      <c r="G20" s="616" t="s">
        <v>547</v>
      </c>
      <c r="H20" s="616" t="s">
        <v>547</v>
      </c>
      <c r="I20" s="617" t="s">
        <v>547</v>
      </c>
      <c r="J20" s="618" t="s">
        <v>554</v>
      </c>
    </row>
    <row r="21" spans="1:10" ht="14.4" customHeight="1" x14ac:dyDescent="0.3">
      <c r="A21" s="614" t="s">
        <v>555</v>
      </c>
      <c r="B21" s="615" t="s">
        <v>556</v>
      </c>
      <c r="C21" s="616" t="s">
        <v>547</v>
      </c>
      <c r="D21" s="616" t="s">
        <v>547</v>
      </c>
      <c r="E21" s="616"/>
      <c r="F21" s="616" t="s">
        <v>547</v>
      </c>
      <c r="G21" s="616" t="s">
        <v>547</v>
      </c>
      <c r="H21" s="616" t="s">
        <v>547</v>
      </c>
      <c r="I21" s="617" t="s">
        <v>547</v>
      </c>
      <c r="J21" s="618" t="s">
        <v>0</v>
      </c>
    </row>
    <row r="22" spans="1:10" ht="14.4" customHeight="1" x14ac:dyDescent="0.3">
      <c r="A22" s="614" t="s">
        <v>555</v>
      </c>
      <c r="B22" s="615" t="s">
        <v>331</v>
      </c>
      <c r="C22" s="616">
        <v>3211.5709199999997</v>
      </c>
      <c r="D22" s="616">
        <v>2733.5384699999991</v>
      </c>
      <c r="E22" s="616"/>
      <c r="F22" s="616">
        <v>2758.3247600000022</v>
      </c>
      <c r="G22" s="616">
        <v>2920.0803879533373</v>
      </c>
      <c r="H22" s="616">
        <v>-161.75562795333508</v>
      </c>
      <c r="I22" s="617">
        <v>0.94460576201235735</v>
      </c>
      <c r="J22" s="618" t="s">
        <v>1</v>
      </c>
    </row>
    <row r="23" spans="1:10" ht="14.4" customHeight="1" x14ac:dyDescent="0.3">
      <c r="A23" s="614" t="s">
        <v>555</v>
      </c>
      <c r="B23" s="615" t="s">
        <v>332</v>
      </c>
      <c r="C23" s="616">
        <v>667.05768999999998</v>
      </c>
      <c r="D23" s="616">
        <v>684.79952000000003</v>
      </c>
      <c r="E23" s="616"/>
      <c r="F23" s="616">
        <v>439.02879999999999</v>
      </c>
      <c r="G23" s="616">
        <v>692.89903711738339</v>
      </c>
      <c r="H23" s="616">
        <v>-253.8702371173834</v>
      </c>
      <c r="I23" s="617">
        <v>0.63361150251623821</v>
      </c>
      <c r="J23" s="618" t="s">
        <v>1</v>
      </c>
    </row>
    <row r="24" spans="1:10" ht="14.4" customHeight="1" x14ac:dyDescent="0.3">
      <c r="A24" s="614" t="s">
        <v>555</v>
      </c>
      <c r="B24" s="615" t="s">
        <v>333</v>
      </c>
      <c r="C24" s="616">
        <v>39.599999999999994</v>
      </c>
      <c r="D24" s="616">
        <v>20.297070000000001</v>
      </c>
      <c r="E24" s="616"/>
      <c r="F24" s="616">
        <v>0</v>
      </c>
      <c r="G24" s="616">
        <v>8.2390162378516667</v>
      </c>
      <c r="H24" s="616">
        <v>-8.2390162378516667</v>
      </c>
      <c r="I24" s="617">
        <v>0</v>
      </c>
      <c r="J24" s="618" t="s">
        <v>1</v>
      </c>
    </row>
    <row r="25" spans="1:10" ht="14.4" customHeight="1" x14ac:dyDescent="0.3">
      <c r="A25" s="614" t="s">
        <v>555</v>
      </c>
      <c r="B25" s="615" t="s">
        <v>334</v>
      </c>
      <c r="C25" s="616">
        <v>343.71179000000006</v>
      </c>
      <c r="D25" s="616">
        <v>319.66049999999899</v>
      </c>
      <c r="E25" s="616"/>
      <c r="F25" s="616">
        <v>341.54471999999998</v>
      </c>
      <c r="G25" s="616">
        <v>366.66988624507957</v>
      </c>
      <c r="H25" s="616">
        <v>-25.125166245079583</v>
      </c>
      <c r="I25" s="617">
        <v>0.93147742100564512</v>
      </c>
      <c r="J25" s="618" t="s">
        <v>1</v>
      </c>
    </row>
    <row r="26" spans="1:10" ht="14.4" customHeight="1" x14ac:dyDescent="0.3">
      <c r="A26" s="614" t="s">
        <v>555</v>
      </c>
      <c r="B26" s="615" t="s">
        <v>335</v>
      </c>
      <c r="C26" s="616">
        <v>58.454439999999998</v>
      </c>
      <c r="D26" s="616">
        <v>0</v>
      </c>
      <c r="E26" s="616"/>
      <c r="F26" s="616">
        <v>21.73836</v>
      </c>
      <c r="G26" s="616">
        <v>23.750829870013334</v>
      </c>
      <c r="H26" s="616">
        <v>-2.0124698700133337</v>
      </c>
      <c r="I26" s="617">
        <v>0.9152673872438376</v>
      </c>
      <c r="J26" s="618" t="s">
        <v>1</v>
      </c>
    </row>
    <row r="27" spans="1:10" ht="14.4" customHeight="1" x14ac:dyDescent="0.3">
      <c r="A27" s="614" t="s">
        <v>555</v>
      </c>
      <c r="B27" s="615" t="s">
        <v>336</v>
      </c>
      <c r="C27" s="616">
        <v>792.23769000000016</v>
      </c>
      <c r="D27" s="616">
        <v>766.90502000000004</v>
      </c>
      <c r="E27" s="616"/>
      <c r="F27" s="616">
        <v>665.50566000000106</v>
      </c>
      <c r="G27" s="616">
        <v>555.36327505207498</v>
      </c>
      <c r="H27" s="616">
        <v>110.14238494792608</v>
      </c>
      <c r="I27" s="617">
        <v>1.1983249341390072</v>
      </c>
      <c r="J27" s="618" t="s">
        <v>1</v>
      </c>
    </row>
    <row r="28" spans="1:10" ht="14.4" customHeight="1" x14ac:dyDescent="0.3">
      <c r="A28" s="614" t="s">
        <v>555</v>
      </c>
      <c r="B28" s="615" t="s">
        <v>337</v>
      </c>
      <c r="C28" s="616">
        <v>675.46301000000005</v>
      </c>
      <c r="D28" s="616">
        <v>606.59803999999895</v>
      </c>
      <c r="E28" s="616"/>
      <c r="F28" s="616">
        <v>786.59701000000109</v>
      </c>
      <c r="G28" s="616">
        <v>348.98199378295419</v>
      </c>
      <c r="H28" s="616">
        <v>437.6150162170469</v>
      </c>
      <c r="I28" s="617">
        <v>2.2539759185662085</v>
      </c>
      <c r="J28" s="618" t="s">
        <v>1</v>
      </c>
    </row>
    <row r="29" spans="1:10" ht="14.4" customHeight="1" x14ac:dyDescent="0.3">
      <c r="A29" s="614" t="s">
        <v>555</v>
      </c>
      <c r="B29" s="615" t="s">
        <v>338</v>
      </c>
      <c r="C29" s="616">
        <v>75.434599999999989</v>
      </c>
      <c r="D29" s="616">
        <v>77.110839999999996</v>
      </c>
      <c r="E29" s="616"/>
      <c r="F29" s="616">
        <v>74.568120000000008</v>
      </c>
      <c r="G29" s="616">
        <v>75.830618072237499</v>
      </c>
      <c r="H29" s="616">
        <v>-1.2624980722374914</v>
      </c>
      <c r="I29" s="617">
        <v>0.98335107764735852</v>
      </c>
      <c r="J29" s="618" t="s">
        <v>1</v>
      </c>
    </row>
    <row r="30" spans="1:10" ht="14.4" customHeight="1" x14ac:dyDescent="0.3">
      <c r="A30" s="614" t="s">
        <v>555</v>
      </c>
      <c r="B30" s="615" t="s">
        <v>557</v>
      </c>
      <c r="C30" s="616">
        <v>5863.5301399999998</v>
      </c>
      <c r="D30" s="616">
        <v>5208.9094599999971</v>
      </c>
      <c r="E30" s="616"/>
      <c r="F30" s="616">
        <v>5087.3074300000044</v>
      </c>
      <c r="G30" s="616">
        <v>4991.8150443309314</v>
      </c>
      <c r="H30" s="616">
        <v>95.492385669072974</v>
      </c>
      <c r="I30" s="617">
        <v>1.0191297924344214</v>
      </c>
      <c r="J30" s="618" t="s">
        <v>553</v>
      </c>
    </row>
    <row r="31" spans="1:10" ht="14.4" customHeight="1" x14ac:dyDescent="0.3">
      <c r="A31" s="614" t="s">
        <v>547</v>
      </c>
      <c r="B31" s="615" t="s">
        <v>547</v>
      </c>
      <c r="C31" s="616" t="s">
        <v>547</v>
      </c>
      <c r="D31" s="616" t="s">
        <v>547</v>
      </c>
      <c r="E31" s="616"/>
      <c r="F31" s="616" t="s">
        <v>547</v>
      </c>
      <c r="G31" s="616" t="s">
        <v>547</v>
      </c>
      <c r="H31" s="616" t="s">
        <v>547</v>
      </c>
      <c r="I31" s="617" t="s">
        <v>547</v>
      </c>
      <c r="J31" s="618" t="s">
        <v>554</v>
      </c>
    </row>
    <row r="32" spans="1:10" ht="14.4" customHeight="1" x14ac:dyDescent="0.3">
      <c r="A32" s="614" t="s">
        <v>558</v>
      </c>
      <c r="B32" s="615" t="s">
        <v>559</v>
      </c>
      <c r="C32" s="616" t="s">
        <v>547</v>
      </c>
      <c r="D32" s="616" t="s">
        <v>547</v>
      </c>
      <c r="E32" s="616"/>
      <c r="F32" s="616" t="s">
        <v>547</v>
      </c>
      <c r="G32" s="616" t="s">
        <v>547</v>
      </c>
      <c r="H32" s="616" t="s">
        <v>547</v>
      </c>
      <c r="I32" s="617" t="s">
        <v>547</v>
      </c>
      <c r="J32" s="618" t="s">
        <v>0</v>
      </c>
    </row>
    <row r="33" spans="1:10" ht="14.4" customHeight="1" x14ac:dyDescent="0.3">
      <c r="A33" s="614" t="s">
        <v>558</v>
      </c>
      <c r="B33" s="615" t="s">
        <v>331</v>
      </c>
      <c r="C33" s="616">
        <v>2140.1097100000002</v>
      </c>
      <c r="D33" s="616">
        <v>1582.2438299999999</v>
      </c>
      <c r="E33" s="616"/>
      <c r="F33" s="616">
        <v>1172.631550000001</v>
      </c>
      <c r="G33" s="616">
        <v>1582.0510694323166</v>
      </c>
      <c r="H33" s="616">
        <v>-409.41951943231561</v>
      </c>
      <c r="I33" s="617">
        <v>0.74120966930654986</v>
      </c>
      <c r="J33" s="618" t="s">
        <v>1</v>
      </c>
    </row>
    <row r="34" spans="1:10" ht="14.4" customHeight="1" x14ac:dyDescent="0.3">
      <c r="A34" s="614" t="s">
        <v>558</v>
      </c>
      <c r="B34" s="615" t="s">
        <v>332</v>
      </c>
      <c r="C34" s="616">
        <v>25.720279999999999</v>
      </c>
      <c r="D34" s="616">
        <v>34.922699999999999</v>
      </c>
      <c r="E34" s="616"/>
      <c r="F34" s="616">
        <v>0</v>
      </c>
      <c r="G34" s="616">
        <v>14.529385402932082</v>
      </c>
      <c r="H34" s="616">
        <v>-14.529385402932082</v>
      </c>
      <c r="I34" s="617">
        <v>0</v>
      </c>
      <c r="J34" s="618" t="s">
        <v>1</v>
      </c>
    </row>
    <row r="35" spans="1:10" ht="14.4" customHeight="1" x14ac:dyDescent="0.3">
      <c r="A35" s="614" t="s">
        <v>558</v>
      </c>
      <c r="B35" s="615" t="s">
        <v>338</v>
      </c>
      <c r="C35" s="616">
        <v>256.14659</v>
      </c>
      <c r="D35" s="616">
        <v>208.85892999999899</v>
      </c>
      <c r="E35" s="616"/>
      <c r="F35" s="616">
        <v>214.29903999999999</v>
      </c>
      <c r="G35" s="616">
        <v>188.00988832848165</v>
      </c>
      <c r="H35" s="616">
        <v>26.28915167151834</v>
      </c>
      <c r="I35" s="617">
        <v>1.1398285585148971</v>
      </c>
      <c r="J35" s="618" t="s">
        <v>1</v>
      </c>
    </row>
    <row r="36" spans="1:10" ht="14.4" customHeight="1" x14ac:dyDescent="0.3">
      <c r="A36" s="614" t="s">
        <v>558</v>
      </c>
      <c r="B36" s="615" t="s">
        <v>560</v>
      </c>
      <c r="C36" s="616">
        <v>2421.97658</v>
      </c>
      <c r="D36" s="616">
        <v>1826.0254599999989</v>
      </c>
      <c r="E36" s="616"/>
      <c r="F36" s="616">
        <v>1386.9305900000008</v>
      </c>
      <c r="G36" s="616">
        <v>1784.5903431637303</v>
      </c>
      <c r="H36" s="616">
        <v>-397.65975316372942</v>
      </c>
      <c r="I36" s="617">
        <v>0.77717028746286032</v>
      </c>
      <c r="J36" s="618" t="s">
        <v>553</v>
      </c>
    </row>
    <row r="37" spans="1:10" ht="14.4" customHeight="1" x14ac:dyDescent="0.3">
      <c r="A37" s="614" t="s">
        <v>547</v>
      </c>
      <c r="B37" s="615" t="s">
        <v>547</v>
      </c>
      <c r="C37" s="616" t="s">
        <v>547</v>
      </c>
      <c r="D37" s="616" t="s">
        <v>547</v>
      </c>
      <c r="E37" s="616"/>
      <c r="F37" s="616" t="s">
        <v>547</v>
      </c>
      <c r="G37" s="616" t="s">
        <v>547</v>
      </c>
      <c r="H37" s="616" t="s">
        <v>547</v>
      </c>
      <c r="I37" s="617" t="s">
        <v>547</v>
      </c>
      <c r="J37" s="618" t="s">
        <v>554</v>
      </c>
    </row>
    <row r="38" spans="1:10" ht="14.4" customHeight="1" x14ac:dyDescent="0.3">
      <c r="A38" s="614" t="s">
        <v>561</v>
      </c>
      <c r="B38" s="615" t="s">
        <v>562</v>
      </c>
      <c r="C38" s="616" t="s">
        <v>547</v>
      </c>
      <c r="D38" s="616" t="s">
        <v>547</v>
      </c>
      <c r="E38" s="616"/>
      <c r="F38" s="616" t="s">
        <v>547</v>
      </c>
      <c r="G38" s="616" t="s">
        <v>547</v>
      </c>
      <c r="H38" s="616" t="s">
        <v>547</v>
      </c>
      <c r="I38" s="617" t="s">
        <v>547</v>
      </c>
      <c r="J38" s="618" t="s">
        <v>0</v>
      </c>
    </row>
    <row r="39" spans="1:10" ht="14.4" customHeight="1" x14ac:dyDescent="0.3">
      <c r="A39" s="614" t="s">
        <v>561</v>
      </c>
      <c r="B39" s="615" t="s">
        <v>331</v>
      </c>
      <c r="C39" s="616">
        <v>1674.8468</v>
      </c>
      <c r="D39" s="616">
        <v>1249.1072300000001</v>
      </c>
      <c r="E39" s="616"/>
      <c r="F39" s="616">
        <v>1145.0982900000008</v>
      </c>
      <c r="G39" s="616">
        <v>1369.6124336527791</v>
      </c>
      <c r="H39" s="616">
        <v>-224.51414365277833</v>
      </c>
      <c r="I39" s="617">
        <v>0.83607468935281537</v>
      </c>
      <c r="J39" s="618" t="s">
        <v>1</v>
      </c>
    </row>
    <row r="40" spans="1:10" ht="14.4" customHeight="1" x14ac:dyDescent="0.3">
      <c r="A40" s="614" t="s">
        <v>561</v>
      </c>
      <c r="B40" s="615" t="s">
        <v>332</v>
      </c>
      <c r="C40" s="616">
        <v>65.609649999999988</v>
      </c>
      <c r="D40" s="616">
        <v>35.742000000000004</v>
      </c>
      <c r="E40" s="616"/>
      <c r="F40" s="616">
        <v>0</v>
      </c>
      <c r="G40" s="616">
        <v>32.543997700791664</v>
      </c>
      <c r="H40" s="616">
        <v>-32.543997700791664</v>
      </c>
      <c r="I40" s="617">
        <v>0</v>
      </c>
      <c r="J40" s="618" t="s">
        <v>1</v>
      </c>
    </row>
    <row r="41" spans="1:10" ht="14.4" customHeight="1" x14ac:dyDescent="0.3">
      <c r="A41" s="614" t="s">
        <v>561</v>
      </c>
      <c r="B41" s="615" t="s">
        <v>563</v>
      </c>
      <c r="C41" s="616">
        <v>1740.4564500000001</v>
      </c>
      <c r="D41" s="616">
        <v>1284.84923</v>
      </c>
      <c r="E41" s="616"/>
      <c r="F41" s="616">
        <v>1145.0982900000008</v>
      </c>
      <c r="G41" s="616">
        <v>1402.1564313535707</v>
      </c>
      <c r="H41" s="616">
        <v>-257.05814135356991</v>
      </c>
      <c r="I41" s="617">
        <v>0.81666942745794846</v>
      </c>
      <c r="J41" s="618" t="s">
        <v>553</v>
      </c>
    </row>
    <row r="42" spans="1:10" ht="14.4" customHeight="1" x14ac:dyDescent="0.3">
      <c r="A42" s="614" t="s">
        <v>547</v>
      </c>
      <c r="B42" s="615" t="s">
        <v>547</v>
      </c>
      <c r="C42" s="616" t="s">
        <v>547</v>
      </c>
      <c r="D42" s="616" t="s">
        <v>547</v>
      </c>
      <c r="E42" s="616"/>
      <c r="F42" s="616" t="s">
        <v>547</v>
      </c>
      <c r="G42" s="616" t="s">
        <v>547</v>
      </c>
      <c r="H42" s="616" t="s">
        <v>547</v>
      </c>
      <c r="I42" s="617" t="s">
        <v>547</v>
      </c>
      <c r="J42" s="618" t="s">
        <v>554</v>
      </c>
    </row>
    <row r="43" spans="1:10" ht="14.4" customHeight="1" x14ac:dyDescent="0.3">
      <c r="A43" s="614" t="s">
        <v>564</v>
      </c>
      <c r="B43" s="615" t="s">
        <v>565</v>
      </c>
      <c r="C43" s="616" t="s">
        <v>547</v>
      </c>
      <c r="D43" s="616" t="s">
        <v>547</v>
      </c>
      <c r="E43" s="616"/>
      <c r="F43" s="616" t="s">
        <v>547</v>
      </c>
      <c r="G43" s="616" t="s">
        <v>547</v>
      </c>
      <c r="H43" s="616" t="s">
        <v>547</v>
      </c>
      <c r="I43" s="617" t="s">
        <v>547</v>
      </c>
      <c r="J43" s="618" t="s">
        <v>0</v>
      </c>
    </row>
    <row r="44" spans="1:10" ht="14.4" customHeight="1" x14ac:dyDescent="0.3">
      <c r="A44" s="614" t="s">
        <v>564</v>
      </c>
      <c r="B44" s="615" t="s">
        <v>331</v>
      </c>
      <c r="C44" s="616">
        <v>81.925920000000005</v>
      </c>
      <c r="D44" s="616">
        <v>68.193359999999004</v>
      </c>
      <c r="E44" s="616"/>
      <c r="F44" s="616">
        <v>60.247639999999997</v>
      </c>
      <c r="G44" s="616">
        <v>64.734242254865421</v>
      </c>
      <c r="H44" s="616">
        <v>-4.4866022548654243</v>
      </c>
      <c r="I44" s="617">
        <v>0.93069197848642138</v>
      </c>
      <c r="J44" s="618" t="s">
        <v>1</v>
      </c>
    </row>
    <row r="45" spans="1:10" ht="14.4" customHeight="1" x14ac:dyDescent="0.3">
      <c r="A45" s="614" t="s">
        <v>564</v>
      </c>
      <c r="B45" s="615" t="s">
        <v>332</v>
      </c>
      <c r="C45" s="616">
        <v>4.0706699999999998</v>
      </c>
      <c r="D45" s="616">
        <v>0</v>
      </c>
      <c r="E45" s="616"/>
      <c r="F45" s="616" t="s">
        <v>547</v>
      </c>
      <c r="G45" s="616" t="s">
        <v>547</v>
      </c>
      <c r="H45" s="616" t="s">
        <v>547</v>
      </c>
      <c r="I45" s="617" t="s">
        <v>547</v>
      </c>
      <c r="J45" s="618" t="s">
        <v>1</v>
      </c>
    </row>
    <row r="46" spans="1:10" ht="14.4" customHeight="1" x14ac:dyDescent="0.3">
      <c r="A46" s="614" t="s">
        <v>564</v>
      </c>
      <c r="B46" s="615" t="s">
        <v>338</v>
      </c>
      <c r="C46" s="616">
        <v>1.4683200000000001</v>
      </c>
      <c r="D46" s="616">
        <v>0.74060000000000004</v>
      </c>
      <c r="E46" s="616"/>
      <c r="F46" s="616">
        <v>0</v>
      </c>
      <c r="G46" s="616">
        <v>0.29522821242750003</v>
      </c>
      <c r="H46" s="616">
        <v>-0.29522821242750003</v>
      </c>
      <c r="I46" s="617">
        <v>0</v>
      </c>
      <c r="J46" s="618" t="s">
        <v>1</v>
      </c>
    </row>
    <row r="47" spans="1:10" ht="14.4" customHeight="1" x14ac:dyDescent="0.3">
      <c r="A47" s="614" t="s">
        <v>564</v>
      </c>
      <c r="B47" s="615" t="s">
        <v>566</v>
      </c>
      <c r="C47" s="616">
        <v>87.464910000000003</v>
      </c>
      <c r="D47" s="616">
        <v>68.933959999999004</v>
      </c>
      <c r="E47" s="616"/>
      <c r="F47" s="616">
        <v>60.247639999999997</v>
      </c>
      <c r="G47" s="616">
        <v>65.029470467292924</v>
      </c>
      <c r="H47" s="616">
        <v>-4.7818304672929273</v>
      </c>
      <c r="I47" s="617">
        <v>0.92646671681421755</v>
      </c>
      <c r="J47" s="618" t="s">
        <v>553</v>
      </c>
    </row>
    <row r="48" spans="1:10" ht="14.4" customHeight="1" x14ac:dyDescent="0.3">
      <c r="A48" s="614" t="s">
        <v>547</v>
      </c>
      <c r="B48" s="615" t="s">
        <v>547</v>
      </c>
      <c r="C48" s="616" t="s">
        <v>547</v>
      </c>
      <c r="D48" s="616" t="s">
        <v>547</v>
      </c>
      <c r="E48" s="616"/>
      <c r="F48" s="616" t="s">
        <v>547</v>
      </c>
      <c r="G48" s="616" t="s">
        <v>547</v>
      </c>
      <c r="H48" s="616" t="s">
        <v>547</v>
      </c>
      <c r="I48" s="617" t="s">
        <v>547</v>
      </c>
      <c r="J48" s="618" t="s">
        <v>554</v>
      </c>
    </row>
    <row r="49" spans="1:10" ht="14.4" customHeight="1" x14ac:dyDescent="0.3">
      <c r="A49" s="614" t="s">
        <v>567</v>
      </c>
      <c r="B49" s="615" t="s">
        <v>568</v>
      </c>
      <c r="C49" s="616" t="s">
        <v>547</v>
      </c>
      <c r="D49" s="616" t="s">
        <v>547</v>
      </c>
      <c r="E49" s="616"/>
      <c r="F49" s="616" t="s">
        <v>547</v>
      </c>
      <c r="G49" s="616" t="s">
        <v>547</v>
      </c>
      <c r="H49" s="616" t="s">
        <v>547</v>
      </c>
      <c r="I49" s="617" t="s">
        <v>547</v>
      </c>
      <c r="J49" s="618" t="s">
        <v>0</v>
      </c>
    </row>
    <row r="50" spans="1:10" ht="14.4" customHeight="1" x14ac:dyDescent="0.3">
      <c r="A50" s="614" t="s">
        <v>567</v>
      </c>
      <c r="B50" s="615" t="s">
        <v>331</v>
      </c>
      <c r="C50" s="616">
        <v>197.80739000000003</v>
      </c>
      <c r="D50" s="616">
        <v>146.85670000000002</v>
      </c>
      <c r="E50" s="616"/>
      <c r="F50" s="616">
        <v>106.10996</v>
      </c>
      <c r="G50" s="616">
        <v>133.50409275763332</v>
      </c>
      <c r="H50" s="616">
        <v>-27.394132757633315</v>
      </c>
      <c r="I50" s="617">
        <v>0.79480679437022717</v>
      </c>
      <c r="J50" s="618" t="s">
        <v>1</v>
      </c>
    </row>
    <row r="51" spans="1:10" ht="14.4" customHeight="1" x14ac:dyDescent="0.3">
      <c r="A51" s="614" t="s">
        <v>567</v>
      </c>
      <c r="B51" s="615" t="s">
        <v>569</v>
      </c>
      <c r="C51" s="616">
        <v>197.80739000000003</v>
      </c>
      <c r="D51" s="616">
        <v>146.85670000000002</v>
      </c>
      <c r="E51" s="616"/>
      <c r="F51" s="616">
        <v>106.10996</v>
      </c>
      <c r="G51" s="616">
        <v>133.50409275763332</v>
      </c>
      <c r="H51" s="616">
        <v>-27.394132757633315</v>
      </c>
      <c r="I51" s="617">
        <v>0.79480679437022717</v>
      </c>
      <c r="J51" s="618" t="s">
        <v>553</v>
      </c>
    </row>
    <row r="52" spans="1:10" ht="14.4" customHeight="1" x14ac:dyDescent="0.3">
      <c r="A52" s="614" t="s">
        <v>547</v>
      </c>
      <c r="B52" s="615" t="s">
        <v>547</v>
      </c>
      <c r="C52" s="616" t="s">
        <v>547</v>
      </c>
      <c r="D52" s="616" t="s">
        <v>547</v>
      </c>
      <c r="E52" s="616"/>
      <c r="F52" s="616" t="s">
        <v>547</v>
      </c>
      <c r="G52" s="616" t="s">
        <v>547</v>
      </c>
      <c r="H52" s="616" t="s">
        <v>547</v>
      </c>
      <c r="I52" s="617" t="s">
        <v>547</v>
      </c>
      <c r="J52" s="618" t="s">
        <v>554</v>
      </c>
    </row>
    <row r="53" spans="1:10" ht="14.4" customHeight="1" x14ac:dyDescent="0.3">
      <c r="A53" s="614" t="s">
        <v>570</v>
      </c>
      <c r="B53" s="615" t="s">
        <v>571</v>
      </c>
      <c r="C53" s="616" t="s">
        <v>547</v>
      </c>
      <c r="D53" s="616" t="s">
        <v>547</v>
      </c>
      <c r="E53" s="616"/>
      <c r="F53" s="616" t="s">
        <v>547</v>
      </c>
      <c r="G53" s="616" t="s">
        <v>547</v>
      </c>
      <c r="H53" s="616" t="s">
        <v>547</v>
      </c>
      <c r="I53" s="617" t="s">
        <v>547</v>
      </c>
      <c r="J53" s="618" t="s">
        <v>0</v>
      </c>
    </row>
    <row r="54" spans="1:10" ht="14.4" customHeight="1" x14ac:dyDescent="0.3">
      <c r="A54" s="614" t="s">
        <v>570</v>
      </c>
      <c r="B54" s="615" t="s">
        <v>331</v>
      </c>
      <c r="C54" s="616">
        <v>0</v>
      </c>
      <c r="D54" s="616">
        <v>0.42659999999999998</v>
      </c>
      <c r="E54" s="616"/>
      <c r="F54" s="616">
        <v>0</v>
      </c>
      <c r="G54" s="616">
        <v>0.17774761047624998</v>
      </c>
      <c r="H54" s="616">
        <v>-0.17774761047624998</v>
      </c>
      <c r="I54" s="617">
        <v>0</v>
      </c>
      <c r="J54" s="618" t="s">
        <v>1</v>
      </c>
    </row>
    <row r="55" spans="1:10" ht="14.4" customHeight="1" x14ac:dyDescent="0.3">
      <c r="A55" s="614" t="s">
        <v>570</v>
      </c>
      <c r="B55" s="615" t="s">
        <v>572</v>
      </c>
      <c r="C55" s="616">
        <v>0</v>
      </c>
      <c r="D55" s="616">
        <v>0.42659999999999998</v>
      </c>
      <c r="E55" s="616"/>
      <c r="F55" s="616">
        <v>0</v>
      </c>
      <c r="G55" s="616">
        <v>0.17774761047624998</v>
      </c>
      <c r="H55" s="616">
        <v>-0.17774761047624998</v>
      </c>
      <c r="I55" s="617">
        <v>0</v>
      </c>
      <c r="J55" s="618" t="s">
        <v>553</v>
      </c>
    </row>
    <row r="56" spans="1:10" ht="14.4" customHeight="1" x14ac:dyDescent="0.3">
      <c r="A56" s="614" t="s">
        <v>547</v>
      </c>
      <c r="B56" s="615" t="s">
        <v>547</v>
      </c>
      <c r="C56" s="616" t="s">
        <v>547</v>
      </c>
      <c r="D56" s="616" t="s">
        <v>547</v>
      </c>
      <c r="E56" s="616"/>
      <c r="F56" s="616" t="s">
        <v>547</v>
      </c>
      <c r="G56" s="616" t="s">
        <v>547</v>
      </c>
      <c r="H56" s="616" t="s">
        <v>547</v>
      </c>
      <c r="I56" s="617" t="s">
        <v>547</v>
      </c>
      <c r="J56" s="618" t="s">
        <v>554</v>
      </c>
    </row>
    <row r="57" spans="1:10" ht="14.4" customHeight="1" x14ac:dyDescent="0.3">
      <c r="A57" s="614" t="s">
        <v>545</v>
      </c>
      <c r="B57" s="615" t="s">
        <v>548</v>
      </c>
      <c r="C57" s="616">
        <v>10318.864819999999</v>
      </c>
      <c r="D57" s="616">
        <v>8549.7165599999953</v>
      </c>
      <c r="E57" s="616"/>
      <c r="F57" s="616">
        <v>7789.5146400000049</v>
      </c>
      <c r="G57" s="616">
        <v>8389.6304510598275</v>
      </c>
      <c r="H57" s="616">
        <v>-600.11581105982259</v>
      </c>
      <c r="I57" s="617">
        <v>0.92846933907750218</v>
      </c>
      <c r="J57" s="618" t="s">
        <v>549</v>
      </c>
    </row>
  </sheetData>
  <mergeCells count="3">
    <mergeCell ref="F3:I3"/>
    <mergeCell ref="C4:D4"/>
    <mergeCell ref="A1:I1"/>
  </mergeCells>
  <conditionalFormatting sqref="F15 F58:F65537">
    <cfRule type="cellIs" dxfId="69" priority="18" stopIfTrue="1" operator="greaterThan">
      <formula>1</formula>
    </cfRule>
  </conditionalFormatting>
  <conditionalFormatting sqref="H5:H14">
    <cfRule type="expression" dxfId="68" priority="14">
      <formula>$H5&gt;0</formula>
    </cfRule>
  </conditionalFormatting>
  <conditionalFormatting sqref="I5:I14">
    <cfRule type="expression" dxfId="67" priority="15">
      <formula>$I5&gt;1</formula>
    </cfRule>
  </conditionalFormatting>
  <conditionalFormatting sqref="B5:B14">
    <cfRule type="expression" dxfId="66" priority="11">
      <formula>OR($J5="NS",$J5="SumaNS",$J5="Účet")</formula>
    </cfRule>
  </conditionalFormatting>
  <conditionalFormatting sqref="B5:D14 F5:I14">
    <cfRule type="expression" dxfId="65" priority="17">
      <formula>AND($J5&lt;&gt;"",$J5&lt;&gt;"mezeraKL")</formula>
    </cfRule>
  </conditionalFormatting>
  <conditionalFormatting sqref="B5:D14 F5:I14">
    <cfRule type="expression" dxfId="64" priority="12">
      <formula>OR($J5="KL",$J5="SumaKL")</formula>
    </cfRule>
    <cfRule type="expression" priority="16" stopIfTrue="1">
      <formula>OR($J5="mezeraNS",$J5="mezeraKL")</formula>
    </cfRule>
  </conditionalFormatting>
  <conditionalFormatting sqref="F5:I14 B5:D14">
    <cfRule type="expression" dxfId="63" priority="13">
      <formula>OR($J5="SumaNS",$J5="NS")</formula>
    </cfRule>
  </conditionalFormatting>
  <conditionalFormatting sqref="A5:A14">
    <cfRule type="expression" dxfId="62" priority="9">
      <formula>AND($J5&lt;&gt;"mezeraKL",$J5&lt;&gt;"")</formula>
    </cfRule>
  </conditionalFormatting>
  <conditionalFormatting sqref="A5:A14">
    <cfRule type="expression" dxfId="61" priority="10">
      <formula>AND($J5&lt;&gt;"",$J5&lt;&gt;"mezeraKL")</formula>
    </cfRule>
  </conditionalFormatting>
  <conditionalFormatting sqref="H16:H57">
    <cfRule type="expression" dxfId="60" priority="5">
      <formula>$H16&gt;0</formula>
    </cfRule>
  </conditionalFormatting>
  <conditionalFormatting sqref="A16:A57">
    <cfRule type="expression" dxfId="59" priority="2">
      <formula>AND($J16&lt;&gt;"mezeraKL",$J16&lt;&gt;"")</formula>
    </cfRule>
  </conditionalFormatting>
  <conditionalFormatting sqref="I16:I57">
    <cfRule type="expression" dxfId="58" priority="6">
      <formula>$I16&gt;1</formula>
    </cfRule>
  </conditionalFormatting>
  <conditionalFormatting sqref="B16:B57">
    <cfRule type="expression" dxfId="57" priority="1">
      <formula>OR($J16="NS",$J16="SumaNS",$J16="Účet")</formula>
    </cfRule>
  </conditionalFormatting>
  <conditionalFormatting sqref="A16:D57 F16:I57">
    <cfRule type="expression" dxfId="56" priority="8">
      <formula>AND($J16&lt;&gt;"",$J16&lt;&gt;"mezeraKL")</formula>
    </cfRule>
  </conditionalFormatting>
  <conditionalFormatting sqref="B16:D57 F16:I57">
    <cfRule type="expression" dxfId="55" priority="3">
      <formula>OR($J16="KL",$J16="SumaKL")</formula>
    </cfRule>
    <cfRule type="expression" priority="7" stopIfTrue="1">
      <formula>OR($J16="mezeraNS",$J16="mezeraKL")</formula>
    </cfRule>
  </conditionalFormatting>
  <conditionalFormatting sqref="B16:D57 F16:I57">
    <cfRule type="expression" dxfId="54" priority="4">
      <formula>OR($J16="SumaNS",$J16="NS")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0">
    <tabColor theme="0" tint="-0.249977111117893"/>
    <pageSetUpPr fitToPage="1"/>
  </sheetPr>
  <dimension ref="A1:N620"/>
  <sheetViews>
    <sheetView showGridLines="0" showRowColHeaders="0" workbookViewId="0">
      <pane ySplit="4" topLeftCell="A5" activePane="bottomLeft" state="frozen"/>
      <selection activeCell="A2" sqref="A2:I2"/>
      <selection pane="bottomLeft" sqref="A1:N1"/>
    </sheetView>
  </sheetViews>
  <sheetFormatPr defaultRowHeight="14.4" customHeight="1" outlineLevelCol="1" x14ac:dyDescent="0.3"/>
  <cols>
    <col min="1" max="1" width="6.6640625" style="257" hidden="1" customWidth="1" outlineLevel="1"/>
    <col min="2" max="2" width="28.33203125" style="257" hidden="1" customWidth="1" outlineLevel="1"/>
    <col min="3" max="3" width="5.33203125" style="342" bestFit="1" customWidth="1" collapsed="1"/>
    <col min="4" max="4" width="18.77734375" style="346" customWidth="1"/>
    <col min="5" max="5" width="9" style="342" bestFit="1" customWidth="1"/>
    <col min="6" max="6" width="18.77734375" style="346" customWidth="1"/>
    <col min="7" max="7" width="5" style="342" customWidth="1"/>
    <col min="8" max="8" width="12.44140625" style="342" hidden="1" customWidth="1" outlineLevel="1"/>
    <col min="9" max="9" width="8.5546875" style="342" hidden="1" customWidth="1" outlineLevel="1"/>
    <col min="10" max="10" width="25.77734375" style="342" customWidth="1" collapsed="1"/>
    <col min="11" max="11" width="8.77734375" style="342" customWidth="1"/>
    <col min="12" max="13" width="7.77734375" style="340" customWidth="1"/>
    <col min="14" max="14" width="11.109375" style="340" customWidth="1"/>
    <col min="15" max="16384" width="8.88671875" style="257"/>
  </cols>
  <sheetData>
    <row r="1" spans="1:14" ht="18.600000000000001" customHeight="1" thickBot="1" x14ac:dyDescent="0.4">
      <c r="A1" s="494" t="s">
        <v>208</v>
      </c>
      <c r="B1" s="459"/>
      <c r="C1" s="459"/>
      <c r="D1" s="459"/>
      <c r="E1" s="459"/>
      <c r="F1" s="459"/>
      <c r="G1" s="459"/>
      <c r="H1" s="459"/>
      <c r="I1" s="459"/>
      <c r="J1" s="459"/>
      <c r="K1" s="459"/>
      <c r="L1" s="459"/>
      <c r="M1" s="459"/>
      <c r="N1" s="459"/>
    </row>
    <row r="2" spans="1:14" ht="14.4" customHeight="1" thickBot="1" x14ac:dyDescent="0.35">
      <c r="A2" s="386" t="s">
        <v>321</v>
      </c>
      <c r="B2" s="66"/>
      <c r="C2" s="344"/>
      <c r="D2" s="344"/>
      <c r="E2" s="344"/>
      <c r="F2" s="344"/>
      <c r="G2" s="344"/>
      <c r="H2" s="344"/>
      <c r="I2" s="344"/>
      <c r="J2" s="344"/>
      <c r="K2" s="344"/>
      <c r="L2" s="345"/>
      <c r="M2" s="345"/>
      <c r="N2" s="345"/>
    </row>
    <row r="3" spans="1:14" ht="14.4" customHeight="1" thickBot="1" x14ac:dyDescent="0.35">
      <c r="A3" s="66"/>
      <c r="B3" s="66"/>
      <c r="C3" s="490"/>
      <c r="D3" s="491"/>
      <c r="E3" s="491"/>
      <c r="F3" s="491"/>
      <c r="G3" s="491"/>
      <c r="H3" s="491"/>
      <c r="I3" s="491"/>
      <c r="J3" s="492" t="s">
        <v>160</v>
      </c>
      <c r="K3" s="493"/>
      <c r="L3" s="210">
        <f>IF(M3&lt;&gt;0,N3/M3,0)</f>
        <v>321.72055505935418</v>
      </c>
      <c r="M3" s="210">
        <f>SUBTOTAL(9,M5:M1048576)</f>
        <v>23318.815499999997</v>
      </c>
      <c r="N3" s="211">
        <f>SUBTOTAL(9,N5:N1048576)</f>
        <v>7502142.2659866707</v>
      </c>
    </row>
    <row r="4" spans="1:14" s="341" customFormat="1" ht="14.4" customHeight="1" thickBot="1" x14ac:dyDescent="0.35">
      <c r="A4" s="619" t="s">
        <v>4</v>
      </c>
      <c r="B4" s="620" t="s">
        <v>5</v>
      </c>
      <c r="C4" s="620" t="s">
        <v>0</v>
      </c>
      <c r="D4" s="620" t="s">
        <v>6</v>
      </c>
      <c r="E4" s="620" t="s">
        <v>7</v>
      </c>
      <c r="F4" s="620" t="s">
        <v>1</v>
      </c>
      <c r="G4" s="620" t="s">
        <v>8</v>
      </c>
      <c r="H4" s="620" t="s">
        <v>9</v>
      </c>
      <c r="I4" s="620" t="s">
        <v>10</v>
      </c>
      <c r="J4" s="621" t="s">
        <v>11</v>
      </c>
      <c r="K4" s="621" t="s">
        <v>12</v>
      </c>
      <c r="L4" s="622" t="s">
        <v>185</v>
      </c>
      <c r="M4" s="622" t="s">
        <v>13</v>
      </c>
      <c r="N4" s="623" t="s">
        <v>202</v>
      </c>
    </row>
    <row r="5" spans="1:14" ht="14.4" customHeight="1" x14ac:dyDescent="0.3">
      <c r="A5" s="624" t="s">
        <v>545</v>
      </c>
      <c r="B5" s="625" t="s">
        <v>1978</v>
      </c>
      <c r="C5" s="626" t="s">
        <v>550</v>
      </c>
      <c r="D5" s="627" t="s">
        <v>1979</v>
      </c>
      <c r="E5" s="626" t="s">
        <v>573</v>
      </c>
      <c r="F5" s="627" t="s">
        <v>1985</v>
      </c>
      <c r="G5" s="626" t="s">
        <v>574</v>
      </c>
      <c r="H5" s="626" t="s">
        <v>575</v>
      </c>
      <c r="I5" s="626" t="s">
        <v>575</v>
      </c>
      <c r="J5" s="626" t="s">
        <v>576</v>
      </c>
      <c r="K5" s="626" t="s">
        <v>577</v>
      </c>
      <c r="L5" s="628">
        <v>97.18</v>
      </c>
      <c r="M5" s="628">
        <v>1</v>
      </c>
      <c r="N5" s="629">
        <v>97.18</v>
      </c>
    </row>
    <row r="6" spans="1:14" ht="14.4" customHeight="1" x14ac:dyDescent="0.3">
      <c r="A6" s="630" t="s">
        <v>545</v>
      </c>
      <c r="B6" s="631" t="s">
        <v>1978</v>
      </c>
      <c r="C6" s="632" t="s">
        <v>550</v>
      </c>
      <c r="D6" s="633" t="s">
        <v>1979</v>
      </c>
      <c r="E6" s="632" t="s">
        <v>573</v>
      </c>
      <c r="F6" s="633" t="s">
        <v>1985</v>
      </c>
      <c r="G6" s="632" t="s">
        <v>574</v>
      </c>
      <c r="H6" s="632" t="s">
        <v>578</v>
      </c>
      <c r="I6" s="632" t="s">
        <v>578</v>
      </c>
      <c r="J6" s="632" t="s">
        <v>576</v>
      </c>
      <c r="K6" s="632" t="s">
        <v>579</v>
      </c>
      <c r="L6" s="634">
        <v>97.756545569179934</v>
      </c>
      <c r="M6" s="634">
        <v>1</v>
      </c>
      <c r="N6" s="635">
        <v>97.756545569179934</v>
      </c>
    </row>
    <row r="7" spans="1:14" ht="14.4" customHeight="1" x14ac:dyDescent="0.3">
      <c r="A7" s="630" t="s">
        <v>545</v>
      </c>
      <c r="B7" s="631" t="s">
        <v>1978</v>
      </c>
      <c r="C7" s="632" t="s">
        <v>550</v>
      </c>
      <c r="D7" s="633" t="s">
        <v>1979</v>
      </c>
      <c r="E7" s="632" t="s">
        <v>573</v>
      </c>
      <c r="F7" s="633" t="s">
        <v>1985</v>
      </c>
      <c r="G7" s="632" t="s">
        <v>574</v>
      </c>
      <c r="H7" s="632" t="s">
        <v>580</v>
      </c>
      <c r="I7" s="632" t="s">
        <v>581</v>
      </c>
      <c r="J7" s="632" t="s">
        <v>582</v>
      </c>
      <c r="K7" s="632" t="s">
        <v>583</v>
      </c>
      <c r="L7" s="634">
        <v>101.90000000000003</v>
      </c>
      <c r="M7" s="634">
        <v>1</v>
      </c>
      <c r="N7" s="635">
        <v>101.90000000000003</v>
      </c>
    </row>
    <row r="8" spans="1:14" ht="14.4" customHeight="1" x14ac:dyDescent="0.3">
      <c r="A8" s="630" t="s">
        <v>545</v>
      </c>
      <c r="B8" s="631" t="s">
        <v>1978</v>
      </c>
      <c r="C8" s="632" t="s">
        <v>550</v>
      </c>
      <c r="D8" s="633" t="s">
        <v>1979</v>
      </c>
      <c r="E8" s="632" t="s">
        <v>573</v>
      </c>
      <c r="F8" s="633" t="s">
        <v>1985</v>
      </c>
      <c r="G8" s="632" t="s">
        <v>574</v>
      </c>
      <c r="H8" s="632" t="s">
        <v>584</v>
      </c>
      <c r="I8" s="632" t="s">
        <v>238</v>
      </c>
      <c r="J8" s="632" t="s">
        <v>585</v>
      </c>
      <c r="K8" s="632"/>
      <c r="L8" s="634">
        <v>37.700000000000003</v>
      </c>
      <c r="M8" s="634">
        <v>2</v>
      </c>
      <c r="N8" s="635">
        <v>75.400000000000006</v>
      </c>
    </row>
    <row r="9" spans="1:14" ht="14.4" customHeight="1" x14ac:dyDescent="0.3">
      <c r="A9" s="630" t="s">
        <v>545</v>
      </c>
      <c r="B9" s="631" t="s">
        <v>1978</v>
      </c>
      <c r="C9" s="632" t="s">
        <v>550</v>
      </c>
      <c r="D9" s="633" t="s">
        <v>1979</v>
      </c>
      <c r="E9" s="632" t="s">
        <v>573</v>
      </c>
      <c r="F9" s="633" t="s">
        <v>1985</v>
      </c>
      <c r="G9" s="632" t="s">
        <v>574</v>
      </c>
      <c r="H9" s="632" t="s">
        <v>586</v>
      </c>
      <c r="I9" s="632" t="s">
        <v>587</v>
      </c>
      <c r="J9" s="632" t="s">
        <v>588</v>
      </c>
      <c r="K9" s="632" t="s">
        <v>589</v>
      </c>
      <c r="L9" s="634">
        <v>327.06</v>
      </c>
      <c r="M9" s="634">
        <v>2</v>
      </c>
      <c r="N9" s="635">
        <v>654.12</v>
      </c>
    </row>
    <row r="10" spans="1:14" ht="14.4" customHeight="1" x14ac:dyDescent="0.3">
      <c r="A10" s="630" t="s">
        <v>545</v>
      </c>
      <c r="B10" s="631" t="s">
        <v>1978</v>
      </c>
      <c r="C10" s="632" t="s">
        <v>550</v>
      </c>
      <c r="D10" s="633" t="s">
        <v>1979</v>
      </c>
      <c r="E10" s="632" t="s">
        <v>573</v>
      </c>
      <c r="F10" s="633" t="s">
        <v>1985</v>
      </c>
      <c r="G10" s="632" t="s">
        <v>574</v>
      </c>
      <c r="H10" s="632" t="s">
        <v>590</v>
      </c>
      <c r="I10" s="632" t="s">
        <v>591</v>
      </c>
      <c r="J10" s="632" t="s">
        <v>592</v>
      </c>
      <c r="K10" s="632" t="s">
        <v>593</v>
      </c>
      <c r="L10" s="634">
        <v>291.49885396343615</v>
      </c>
      <c r="M10" s="634">
        <v>2</v>
      </c>
      <c r="N10" s="635">
        <v>582.99770792687229</v>
      </c>
    </row>
    <row r="11" spans="1:14" ht="14.4" customHeight="1" x14ac:dyDescent="0.3">
      <c r="A11" s="630" t="s">
        <v>545</v>
      </c>
      <c r="B11" s="631" t="s">
        <v>1978</v>
      </c>
      <c r="C11" s="632" t="s">
        <v>550</v>
      </c>
      <c r="D11" s="633" t="s">
        <v>1979</v>
      </c>
      <c r="E11" s="632" t="s">
        <v>573</v>
      </c>
      <c r="F11" s="633" t="s">
        <v>1985</v>
      </c>
      <c r="G11" s="632" t="s">
        <v>574</v>
      </c>
      <c r="H11" s="632" t="s">
        <v>594</v>
      </c>
      <c r="I11" s="632" t="s">
        <v>238</v>
      </c>
      <c r="J11" s="632" t="s">
        <v>595</v>
      </c>
      <c r="K11" s="632" t="s">
        <v>596</v>
      </c>
      <c r="L11" s="634">
        <v>94.245471024926118</v>
      </c>
      <c r="M11" s="634">
        <v>15</v>
      </c>
      <c r="N11" s="635">
        <v>1413.6820653738919</v>
      </c>
    </row>
    <row r="12" spans="1:14" ht="14.4" customHeight="1" x14ac:dyDescent="0.3">
      <c r="A12" s="630" t="s">
        <v>545</v>
      </c>
      <c r="B12" s="631" t="s">
        <v>1978</v>
      </c>
      <c r="C12" s="632" t="s">
        <v>550</v>
      </c>
      <c r="D12" s="633" t="s">
        <v>1979</v>
      </c>
      <c r="E12" s="632" t="s">
        <v>573</v>
      </c>
      <c r="F12" s="633" t="s">
        <v>1985</v>
      </c>
      <c r="G12" s="632" t="s">
        <v>574</v>
      </c>
      <c r="H12" s="632" t="s">
        <v>597</v>
      </c>
      <c r="I12" s="632" t="s">
        <v>238</v>
      </c>
      <c r="J12" s="632" t="s">
        <v>598</v>
      </c>
      <c r="K12" s="632" t="s">
        <v>599</v>
      </c>
      <c r="L12" s="634">
        <v>398.83786191569851</v>
      </c>
      <c r="M12" s="634">
        <v>2</v>
      </c>
      <c r="N12" s="635">
        <v>797.67572383139702</v>
      </c>
    </row>
    <row r="13" spans="1:14" ht="14.4" customHeight="1" x14ac:dyDescent="0.3">
      <c r="A13" s="630" t="s">
        <v>545</v>
      </c>
      <c r="B13" s="631" t="s">
        <v>1978</v>
      </c>
      <c r="C13" s="632" t="s">
        <v>555</v>
      </c>
      <c r="D13" s="633" t="s">
        <v>1980</v>
      </c>
      <c r="E13" s="632" t="s">
        <v>573</v>
      </c>
      <c r="F13" s="633" t="s">
        <v>1985</v>
      </c>
      <c r="G13" s="632"/>
      <c r="H13" s="632" t="s">
        <v>600</v>
      </c>
      <c r="I13" s="632" t="s">
        <v>601</v>
      </c>
      <c r="J13" s="632" t="s">
        <v>602</v>
      </c>
      <c r="K13" s="632" t="s">
        <v>603</v>
      </c>
      <c r="L13" s="634">
        <v>3959.4399999999996</v>
      </c>
      <c r="M13" s="634">
        <v>8</v>
      </c>
      <c r="N13" s="635">
        <v>31675.519999999997</v>
      </c>
    </row>
    <row r="14" spans="1:14" ht="14.4" customHeight="1" x14ac:dyDescent="0.3">
      <c r="A14" s="630" t="s">
        <v>545</v>
      </c>
      <c r="B14" s="631" t="s">
        <v>1978</v>
      </c>
      <c r="C14" s="632" t="s">
        <v>555</v>
      </c>
      <c r="D14" s="633" t="s">
        <v>1980</v>
      </c>
      <c r="E14" s="632" t="s">
        <v>573</v>
      </c>
      <c r="F14" s="633" t="s">
        <v>1985</v>
      </c>
      <c r="G14" s="632"/>
      <c r="H14" s="632" t="s">
        <v>604</v>
      </c>
      <c r="I14" s="632" t="s">
        <v>604</v>
      </c>
      <c r="J14" s="632" t="s">
        <v>605</v>
      </c>
      <c r="K14" s="632" t="s">
        <v>606</v>
      </c>
      <c r="L14" s="634">
        <v>221.68795808137534</v>
      </c>
      <c r="M14" s="634">
        <v>60</v>
      </c>
      <c r="N14" s="635">
        <v>13301.277484882521</v>
      </c>
    </row>
    <row r="15" spans="1:14" ht="14.4" customHeight="1" x14ac:dyDescent="0.3">
      <c r="A15" s="630" t="s">
        <v>545</v>
      </c>
      <c r="B15" s="631" t="s">
        <v>1978</v>
      </c>
      <c r="C15" s="632" t="s">
        <v>555</v>
      </c>
      <c r="D15" s="633" t="s">
        <v>1980</v>
      </c>
      <c r="E15" s="632" t="s">
        <v>573</v>
      </c>
      <c r="F15" s="633" t="s">
        <v>1985</v>
      </c>
      <c r="G15" s="632"/>
      <c r="H15" s="632" t="s">
        <v>607</v>
      </c>
      <c r="I15" s="632" t="s">
        <v>608</v>
      </c>
      <c r="J15" s="632" t="s">
        <v>609</v>
      </c>
      <c r="K15" s="632" t="s">
        <v>610</v>
      </c>
      <c r="L15" s="634">
        <v>148.72948450152501</v>
      </c>
      <c r="M15" s="634">
        <v>2</v>
      </c>
      <c r="N15" s="635">
        <v>297.45896900305002</v>
      </c>
    </row>
    <row r="16" spans="1:14" ht="14.4" customHeight="1" x14ac:dyDescent="0.3">
      <c r="A16" s="630" t="s">
        <v>545</v>
      </c>
      <c r="B16" s="631" t="s">
        <v>1978</v>
      </c>
      <c r="C16" s="632" t="s">
        <v>555</v>
      </c>
      <c r="D16" s="633" t="s">
        <v>1980</v>
      </c>
      <c r="E16" s="632" t="s">
        <v>573</v>
      </c>
      <c r="F16" s="633" t="s">
        <v>1985</v>
      </c>
      <c r="G16" s="632"/>
      <c r="H16" s="632" t="s">
        <v>611</v>
      </c>
      <c r="I16" s="632" t="s">
        <v>611</v>
      </c>
      <c r="J16" s="632" t="s">
        <v>612</v>
      </c>
      <c r="K16" s="632" t="s">
        <v>613</v>
      </c>
      <c r="L16" s="634">
        <v>49.889999999999986</v>
      </c>
      <c r="M16" s="634">
        <v>2</v>
      </c>
      <c r="N16" s="635">
        <v>99.779999999999973</v>
      </c>
    </row>
    <row r="17" spans="1:14" ht="14.4" customHeight="1" x14ac:dyDescent="0.3">
      <c r="A17" s="630" t="s">
        <v>545</v>
      </c>
      <c r="B17" s="631" t="s">
        <v>1978</v>
      </c>
      <c r="C17" s="632" t="s">
        <v>555</v>
      </c>
      <c r="D17" s="633" t="s">
        <v>1980</v>
      </c>
      <c r="E17" s="632" t="s">
        <v>573</v>
      </c>
      <c r="F17" s="633" t="s">
        <v>1985</v>
      </c>
      <c r="G17" s="632"/>
      <c r="H17" s="632" t="s">
        <v>614</v>
      </c>
      <c r="I17" s="632" t="s">
        <v>614</v>
      </c>
      <c r="J17" s="632" t="s">
        <v>615</v>
      </c>
      <c r="K17" s="632" t="s">
        <v>616</v>
      </c>
      <c r="L17" s="634">
        <v>64.729999999999976</v>
      </c>
      <c r="M17" s="634">
        <v>1</v>
      </c>
      <c r="N17" s="635">
        <v>64.729999999999976</v>
      </c>
    </row>
    <row r="18" spans="1:14" ht="14.4" customHeight="1" x14ac:dyDescent="0.3">
      <c r="A18" s="630" t="s">
        <v>545</v>
      </c>
      <c r="B18" s="631" t="s">
        <v>1978</v>
      </c>
      <c r="C18" s="632" t="s">
        <v>555</v>
      </c>
      <c r="D18" s="633" t="s">
        <v>1980</v>
      </c>
      <c r="E18" s="632" t="s">
        <v>573</v>
      </c>
      <c r="F18" s="633" t="s">
        <v>1985</v>
      </c>
      <c r="G18" s="632"/>
      <c r="H18" s="632" t="s">
        <v>617</v>
      </c>
      <c r="I18" s="632" t="s">
        <v>618</v>
      </c>
      <c r="J18" s="632" t="s">
        <v>619</v>
      </c>
      <c r="K18" s="632" t="s">
        <v>620</v>
      </c>
      <c r="L18" s="634">
        <v>997.44</v>
      </c>
      <c r="M18" s="634">
        <v>1</v>
      </c>
      <c r="N18" s="635">
        <v>997.44</v>
      </c>
    </row>
    <row r="19" spans="1:14" ht="14.4" customHeight="1" x14ac:dyDescent="0.3">
      <c r="A19" s="630" t="s">
        <v>545</v>
      </c>
      <c r="B19" s="631" t="s">
        <v>1978</v>
      </c>
      <c r="C19" s="632" t="s">
        <v>555</v>
      </c>
      <c r="D19" s="633" t="s">
        <v>1980</v>
      </c>
      <c r="E19" s="632" t="s">
        <v>573</v>
      </c>
      <c r="F19" s="633" t="s">
        <v>1985</v>
      </c>
      <c r="G19" s="632"/>
      <c r="H19" s="632" t="s">
        <v>621</v>
      </c>
      <c r="I19" s="632" t="s">
        <v>621</v>
      </c>
      <c r="J19" s="632" t="s">
        <v>622</v>
      </c>
      <c r="K19" s="632" t="s">
        <v>623</v>
      </c>
      <c r="L19" s="634">
        <v>1372.5747357211176</v>
      </c>
      <c r="M19" s="634">
        <v>3</v>
      </c>
      <c r="N19" s="635">
        <v>4117.7242071633527</v>
      </c>
    </row>
    <row r="20" spans="1:14" ht="14.4" customHeight="1" x14ac:dyDescent="0.3">
      <c r="A20" s="630" t="s">
        <v>545</v>
      </c>
      <c r="B20" s="631" t="s">
        <v>1978</v>
      </c>
      <c r="C20" s="632" t="s">
        <v>555</v>
      </c>
      <c r="D20" s="633" t="s">
        <v>1980</v>
      </c>
      <c r="E20" s="632" t="s">
        <v>573</v>
      </c>
      <c r="F20" s="633" t="s">
        <v>1985</v>
      </c>
      <c r="G20" s="632" t="s">
        <v>574</v>
      </c>
      <c r="H20" s="632" t="s">
        <v>624</v>
      </c>
      <c r="I20" s="632" t="s">
        <v>624</v>
      </c>
      <c r="J20" s="632" t="s">
        <v>576</v>
      </c>
      <c r="K20" s="632" t="s">
        <v>625</v>
      </c>
      <c r="L20" s="634">
        <v>179.4</v>
      </c>
      <c r="M20" s="634">
        <v>6</v>
      </c>
      <c r="N20" s="635">
        <v>1076.4000000000001</v>
      </c>
    </row>
    <row r="21" spans="1:14" ht="14.4" customHeight="1" x14ac:dyDescent="0.3">
      <c r="A21" s="630" t="s">
        <v>545</v>
      </c>
      <c r="B21" s="631" t="s">
        <v>1978</v>
      </c>
      <c r="C21" s="632" t="s">
        <v>555</v>
      </c>
      <c r="D21" s="633" t="s">
        <v>1980</v>
      </c>
      <c r="E21" s="632" t="s">
        <v>573</v>
      </c>
      <c r="F21" s="633" t="s">
        <v>1985</v>
      </c>
      <c r="G21" s="632" t="s">
        <v>574</v>
      </c>
      <c r="H21" s="632" t="s">
        <v>626</v>
      </c>
      <c r="I21" s="632" t="s">
        <v>626</v>
      </c>
      <c r="J21" s="632" t="s">
        <v>627</v>
      </c>
      <c r="K21" s="632" t="s">
        <v>628</v>
      </c>
      <c r="L21" s="634">
        <v>181.58977120350559</v>
      </c>
      <c r="M21" s="634">
        <v>65</v>
      </c>
      <c r="N21" s="635">
        <v>11803.335128227864</v>
      </c>
    </row>
    <row r="22" spans="1:14" ht="14.4" customHeight="1" x14ac:dyDescent="0.3">
      <c r="A22" s="630" t="s">
        <v>545</v>
      </c>
      <c r="B22" s="631" t="s">
        <v>1978</v>
      </c>
      <c r="C22" s="632" t="s">
        <v>555</v>
      </c>
      <c r="D22" s="633" t="s">
        <v>1980</v>
      </c>
      <c r="E22" s="632" t="s">
        <v>573</v>
      </c>
      <c r="F22" s="633" t="s">
        <v>1985</v>
      </c>
      <c r="G22" s="632" t="s">
        <v>574</v>
      </c>
      <c r="H22" s="632" t="s">
        <v>629</v>
      </c>
      <c r="I22" s="632" t="s">
        <v>629</v>
      </c>
      <c r="J22" s="632" t="s">
        <v>630</v>
      </c>
      <c r="K22" s="632" t="s">
        <v>631</v>
      </c>
      <c r="L22" s="634">
        <v>132.25</v>
      </c>
      <c r="M22" s="634">
        <v>14</v>
      </c>
      <c r="N22" s="635">
        <v>1851.5</v>
      </c>
    </row>
    <row r="23" spans="1:14" ht="14.4" customHeight="1" x14ac:dyDescent="0.3">
      <c r="A23" s="630" t="s">
        <v>545</v>
      </c>
      <c r="B23" s="631" t="s">
        <v>1978</v>
      </c>
      <c r="C23" s="632" t="s">
        <v>555</v>
      </c>
      <c r="D23" s="633" t="s">
        <v>1980</v>
      </c>
      <c r="E23" s="632" t="s">
        <v>573</v>
      </c>
      <c r="F23" s="633" t="s">
        <v>1985</v>
      </c>
      <c r="G23" s="632" t="s">
        <v>574</v>
      </c>
      <c r="H23" s="632" t="s">
        <v>632</v>
      </c>
      <c r="I23" s="632" t="s">
        <v>632</v>
      </c>
      <c r="J23" s="632" t="s">
        <v>630</v>
      </c>
      <c r="K23" s="632" t="s">
        <v>633</v>
      </c>
      <c r="L23" s="634">
        <v>232.3</v>
      </c>
      <c r="M23" s="634">
        <v>11</v>
      </c>
      <c r="N23" s="635">
        <v>2555.3000000000002</v>
      </c>
    </row>
    <row r="24" spans="1:14" ht="14.4" customHeight="1" x14ac:dyDescent="0.3">
      <c r="A24" s="630" t="s">
        <v>545</v>
      </c>
      <c r="B24" s="631" t="s">
        <v>1978</v>
      </c>
      <c r="C24" s="632" t="s">
        <v>555</v>
      </c>
      <c r="D24" s="633" t="s">
        <v>1980</v>
      </c>
      <c r="E24" s="632" t="s">
        <v>573</v>
      </c>
      <c r="F24" s="633" t="s">
        <v>1985</v>
      </c>
      <c r="G24" s="632" t="s">
        <v>574</v>
      </c>
      <c r="H24" s="632" t="s">
        <v>575</v>
      </c>
      <c r="I24" s="632" t="s">
        <v>575</v>
      </c>
      <c r="J24" s="632" t="s">
        <v>576</v>
      </c>
      <c r="K24" s="632" t="s">
        <v>577</v>
      </c>
      <c r="L24" s="634">
        <v>97.179343252930792</v>
      </c>
      <c r="M24" s="634">
        <v>12</v>
      </c>
      <c r="N24" s="635">
        <v>1166.1521190351696</v>
      </c>
    </row>
    <row r="25" spans="1:14" ht="14.4" customHeight="1" x14ac:dyDescent="0.3">
      <c r="A25" s="630" t="s">
        <v>545</v>
      </c>
      <c r="B25" s="631" t="s">
        <v>1978</v>
      </c>
      <c r="C25" s="632" t="s">
        <v>555</v>
      </c>
      <c r="D25" s="633" t="s">
        <v>1980</v>
      </c>
      <c r="E25" s="632" t="s">
        <v>573</v>
      </c>
      <c r="F25" s="633" t="s">
        <v>1985</v>
      </c>
      <c r="G25" s="632" t="s">
        <v>574</v>
      </c>
      <c r="H25" s="632" t="s">
        <v>578</v>
      </c>
      <c r="I25" s="632" t="s">
        <v>578</v>
      </c>
      <c r="J25" s="632" t="s">
        <v>576</v>
      </c>
      <c r="K25" s="632" t="s">
        <v>579</v>
      </c>
      <c r="L25" s="634">
        <v>97.75</v>
      </c>
      <c r="M25" s="634">
        <v>11</v>
      </c>
      <c r="N25" s="635">
        <v>1075.25</v>
      </c>
    </row>
    <row r="26" spans="1:14" ht="14.4" customHeight="1" x14ac:dyDescent="0.3">
      <c r="A26" s="630" t="s">
        <v>545</v>
      </c>
      <c r="B26" s="631" t="s">
        <v>1978</v>
      </c>
      <c r="C26" s="632" t="s">
        <v>555</v>
      </c>
      <c r="D26" s="633" t="s">
        <v>1980</v>
      </c>
      <c r="E26" s="632" t="s">
        <v>573</v>
      </c>
      <c r="F26" s="633" t="s">
        <v>1985</v>
      </c>
      <c r="G26" s="632" t="s">
        <v>574</v>
      </c>
      <c r="H26" s="632" t="s">
        <v>634</v>
      </c>
      <c r="I26" s="632" t="s">
        <v>635</v>
      </c>
      <c r="J26" s="632" t="s">
        <v>636</v>
      </c>
      <c r="K26" s="632" t="s">
        <v>637</v>
      </c>
      <c r="L26" s="634">
        <v>84.593640762171162</v>
      </c>
      <c r="M26" s="634">
        <v>43</v>
      </c>
      <c r="N26" s="635">
        <v>3637.52655277336</v>
      </c>
    </row>
    <row r="27" spans="1:14" ht="14.4" customHeight="1" x14ac:dyDescent="0.3">
      <c r="A27" s="630" t="s">
        <v>545</v>
      </c>
      <c r="B27" s="631" t="s">
        <v>1978</v>
      </c>
      <c r="C27" s="632" t="s">
        <v>555</v>
      </c>
      <c r="D27" s="633" t="s">
        <v>1980</v>
      </c>
      <c r="E27" s="632" t="s">
        <v>573</v>
      </c>
      <c r="F27" s="633" t="s">
        <v>1985</v>
      </c>
      <c r="G27" s="632" t="s">
        <v>574</v>
      </c>
      <c r="H27" s="632" t="s">
        <v>580</v>
      </c>
      <c r="I27" s="632" t="s">
        <v>581</v>
      </c>
      <c r="J27" s="632" t="s">
        <v>582</v>
      </c>
      <c r="K27" s="632" t="s">
        <v>583</v>
      </c>
      <c r="L27" s="634">
        <v>101.7130989521534</v>
      </c>
      <c r="M27" s="634">
        <v>73</v>
      </c>
      <c r="N27" s="635">
        <v>7425.0562235071984</v>
      </c>
    </row>
    <row r="28" spans="1:14" ht="14.4" customHeight="1" x14ac:dyDescent="0.3">
      <c r="A28" s="630" t="s">
        <v>545</v>
      </c>
      <c r="B28" s="631" t="s">
        <v>1978</v>
      </c>
      <c r="C28" s="632" t="s">
        <v>555</v>
      </c>
      <c r="D28" s="633" t="s">
        <v>1980</v>
      </c>
      <c r="E28" s="632" t="s">
        <v>573</v>
      </c>
      <c r="F28" s="633" t="s">
        <v>1985</v>
      </c>
      <c r="G28" s="632" t="s">
        <v>574</v>
      </c>
      <c r="H28" s="632" t="s">
        <v>638</v>
      </c>
      <c r="I28" s="632" t="s">
        <v>639</v>
      </c>
      <c r="J28" s="632" t="s">
        <v>582</v>
      </c>
      <c r="K28" s="632" t="s">
        <v>640</v>
      </c>
      <c r="L28" s="634">
        <v>106.05</v>
      </c>
      <c r="M28" s="634">
        <v>30</v>
      </c>
      <c r="N28" s="635">
        <v>3181.5</v>
      </c>
    </row>
    <row r="29" spans="1:14" ht="14.4" customHeight="1" x14ac:dyDescent="0.3">
      <c r="A29" s="630" t="s">
        <v>545</v>
      </c>
      <c r="B29" s="631" t="s">
        <v>1978</v>
      </c>
      <c r="C29" s="632" t="s">
        <v>555</v>
      </c>
      <c r="D29" s="633" t="s">
        <v>1980</v>
      </c>
      <c r="E29" s="632" t="s">
        <v>573</v>
      </c>
      <c r="F29" s="633" t="s">
        <v>1985</v>
      </c>
      <c r="G29" s="632" t="s">
        <v>574</v>
      </c>
      <c r="H29" s="632" t="s">
        <v>641</v>
      </c>
      <c r="I29" s="632" t="s">
        <v>642</v>
      </c>
      <c r="J29" s="632" t="s">
        <v>643</v>
      </c>
      <c r="K29" s="632" t="s">
        <v>644</v>
      </c>
      <c r="L29" s="634">
        <v>170.25749942300226</v>
      </c>
      <c r="M29" s="634">
        <v>12</v>
      </c>
      <c r="N29" s="635">
        <v>2043.0899930760272</v>
      </c>
    </row>
    <row r="30" spans="1:14" ht="14.4" customHeight="1" x14ac:dyDescent="0.3">
      <c r="A30" s="630" t="s">
        <v>545</v>
      </c>
      <c r="B30" s="631" t="s">
        <v>1978</v>
      </c>
      <c r="C30" s="632" t="s">
        <v>555</v>
      </c>
      <c r="D30" s="633" t="s">
        <v>1980</v>
      </c>
      <c r="E30" s="632" t="s">
        <v>573</v>
      </c>
      <c r="F30" s="633" t="s">
        <v>1985</v>
      </c>
      <c r="G30" s="632" t="s">
        <v>574</v>
      </c>
      <c r="H30" s="632" t="s">
        <v>645</v>
      </c>
      <c r="I30" s="632" t="s">
        <v>646</v>
      </c>
      <c r="J30" s="632" t="s">
        <v>647</v>
      </c>
      <c r="K30" s="632" t="s">
        <v>648</v>
      </c>
      <c r="L30" s="634">
        <v>67.397657133114649</v>
      </c>
      <c r="M30" s="634">
        <v>187</v>
      </c>
      <c r="N30" s="635">
        <v>12603.361883892439</v>
      </c>
    </row>
    <row r="31" spans="1:14" ht="14.4" customHeight="1" x14ac:dyDescent="0.3">
      <c r="A31" s="630" t="s">
        <v>545</v>
      </c>
      <c r="B31" s="631" t="s">
        <v>1978</v>
      </c>
      <c r="C31" s="632" t="s">
        <v>555</v>
      </c>
      <c r="D31" s="633" t="s">
        <v>1980</v>
      </c>
      <c r="E31" s="632" t="s">
        <v>573</v>
      </c>
      <c r="F31" s="633" t="s">
        <v>1985</v>
      </c>
      <c r="G31" s="632" t="s">
        <v>574</v>
      </c>
      <c r="H31" s="632" t="s">
        <v>649</v>
      </c>
      <c r="I31" s="632" t="s">
        <v>650</v>
      </c>
      <c r="J31" s="632" t="s">
        <v>651</v>
      </c>
      <c r="K31" s="632" t="s">
        <v>652</v>
      </c>
      <c r="L31" s="634">
        <v>42.399496960386649</v>
      </c>
      <c r="M31" s="634">
        <v>1</v>
      </c>
      <c r="N31" s="635">
        <v>42.399496960386649</v>
      </c>
    </row>
    <row r="32" spans="1:14" ht="14.4" customHeight="1" x14ac:dyDescent="0.3">
      <c r="A32" s="630" t="s">
        <v>545</v>
      </c>
      <c r="B32" s="631" t="s">
        <v>1978</v>
      </c>
      <c r="C32" s="632" t="s">
        <v>555</v>
      </c>
      <c r="D32" s="633" t="s">
        <v>1980</v>
      </c>
      <c r="E32" s="632" t="s">
        <v>573</v>
      </c>
      <c r="F32" s="633" t="s">
        <v>1985</v>
      </c>
      <c r="G32" s="632" t="s">
        <v>574</v>
      </c>
      <c r="H32" s="632" t="s">
        <v>653</v>
      </c>
      <c r="I32" s="632" t="s">
        <v>654</v>
      </c>
      <c r="J32" s="632" t="s">
        <v>655</v>
      </c>
      <c r="K32" s="632" t="s">
        <v>656</v>
      </c>
      <c r="L32" s="634">
        <v>59.593333333333341</v>
      </c>
      <c r="M32" s="634">
        <v>30</v>
      </c>
      <c r="N32" s="635">
        <v>1787.8000000000002</v>
      </c>
    </row>
    <row r="33" spans="1:14" ht="14.4" customHeight="1" x14ac:dyDescent="0.3">
      <c r="A33" s="630" t="s">
        <v>545</v>
      </c>
      <c r="B33" s="631" t="s">
        <v>1978</v>
      </c>
      <c r="C33" s="632" t="s">
        <v>555</v>
      </c>
      <c r="D33" s="633" t="s">
        <v>1980</v>
      </c>
      <c r="E33" s="632" t="s">
        <v>573</v>
      </c>
      <c r="F33" s="633" t="s">
        <v>1985</v>
      </c>
      <c r="G33" s="632" t="s">
        <v>574</v>
      </c>
      <c r="H33" s="632" t="s">
        <v>657</v>
      </c>
      <c r="I33" s="632" t="s">
        <v>658</v>
      </c>
      <c r="J33" s="632" t="s">
        <v>655</v>
      </c>
      <c r="K33" s="632" t="s">
        <v>659</v>
      </c>
      <c r="L33" s="634">
        <v>65.112303014454909</v>
      </c>
      <c r="M33" s="634">
        <v>85</v>
      </c>
      <c r="N33" s="635">
        <v>5534.5457562286674</v>
      </c>
    </row>
    <row r="34" spans="1:14" ht="14.4" customHeight="1" x14ac:dyDescent="0.3">
      <c r="A34" s="630" t="s">
        <v>545</v>
      </c>
      <c r="B34" s="631" t="s">
        <v>1978</v>
      </c>
      <c r="C34" s="632" t="s">
        <v>555</v>
      </c>
      <c r="D34" s="633" t="s">
        <v>1980</v>
      </c>
      <c r="E34" s="632" t="s">
        <v>573</v>
      </c>
      <c r="F34" s="633" t="s">
        <v>1985</v>
      </c>
      <c r="G34" s="632" t="s">
        <v>574</v>
      </c>
      <c r="H34" s="632" t="s">
        <v>660</v>
      </c>
      <c r="I34" s="632" t="s">
        <v>661</v>
      </c>
      <c r="J34" s="632" t="s">
        <v>662</v>
      </c>
      <c r="K34" s="632" t="s">
        <v>663</v>
      </c>
      <c r="L34" s="634">
        <v>30.778537471795204</v>
      </c>
      <c r="M34" s="634">
        <v>21</v>
      </c>
      <c r="N34" s="635">
        <v>646.34928690769925</v>
      </c>
    </row>
    <row r="35" spans="1:14" ht="14.4" customHeight="1" x14ac:dyDescent="0.3">
      <c r="A35" s="630" t="s">
        <v>545</v>
      </c>
      <c r="B35" s="631" t="s">
        <v>1978</v>
      </c>
      <c r="C35" s="632" t="s">
        <v>555</v>
      </c>
      <c r="D35" s="633" t="s">
        <v>1980</v>
      </c>
      <c r="E35" s="632" t="s">
        <v>573</v>
      </c>
      <c r="F35" s="633" t="s">
        <v>1985</v>
      </c>
      <c r="G35" s="632" t="s">
        <v>574</v>
      </c>
      <c r="H35" s="632" t="s">
        <v>664</v>
      </c>
      <c r="I35" s="632" t="s">
        <v>665</v>
      </c>
      <c r="J35" s="632" t="s">
        <v>666</v>
      </c>
      <c r="K35" s="632" t="s">
        <v>667</v>
      </c>
      <c r="L35" s="634">
        <v>28.591170823645665</v>
      </c>
      <c r="M35" s="634">
        <v>170</v>
      </c>
      <c r="N35" s="635">
        <v>4860.499040019763</v>
      </c>
    </row>
    <row r="36" spans="1:14" ht="14.4" customHeight="1" x14ac:dyDescent="0.3">
      <c r="A36" s="630" t="s">
        <v>545</v>
      </c>
      <c r="B36" s="631" t="s">
        <v>1978</v>
      </c>
      <c r="C36" s="632" t="s">
        <v>555</v>
      </c>
      <c r="D36" s="633" t="s">
        <v>1980</v>
      </c>
      <c r="E36" s="632" t="s">
        <v>573</v>
      </c>
      <c r="F36" s="633" t="s">
        <v>1985</v>
      </c>
      <c r="G36" s="632" t="s">
        <v>574</v>
      </c>
      <c r="H36" s="632" t="s">
        <v>668</v>
      </c>
      <c r="I36" s="632" t="s">
        <v>669</v>
      </c>
      <c r="J36" s="632" t="s">
        <v>670</v>
      </c>
      <c r="K36" s="632" t="s">
        <v>663</v>
      </c>
      <c r="L36" s="634">
        <v>67.389963483032574</v>
      </c>
      <c r="M36" s="634">
        <v>20</v>
      </c>
      <c r="N36" s="635">
        <v>1347.7992696606514</v>
      </c>
    </row>
    <row r="37" spans="1:14" ht="14.4" customHeight="1" x14ac:dyDescent="0.3">
      <c r="A37" s="630" t="s">
        <v>545</v>
      </c>
      <c r="B37" s="631" t="s">
        <v>1978</v>
      </c>
      <c r="C37" s="632" t="s">
        <v>555</v>
      </c>
      <c r="D37" s="633" t="s">
        <v>1980</v>
      </c>
      <c r="E37" s="632" t="s">
        <v>573</v>
      </c>
      <c r="F37" s="633" t="s">
        <v>1985</v>
      </c>
      <c r="G37" s="632" t="s">
        <v>574</v>
      </c>
      <c r="H37" s="632" t="s">
        <v>671</v>
      </c>
      <c r="I37" s="632" t="s">
        <v>672</v>
      </c>
      <c r="J37" s="632" t="s">
        <v>673</v>
      </c>
      <c r="K37" s="632" t="s">
        <v>674</v>
      </c>
      <c r="L37" s="634">
        <v>692.44000000000017</v>
      </c>
      <c r="M37" s="634">
        <v>2</v>
      </c>
      <c r="N37" s="635">
        <v>1384.8800000000003</v>
      </c>
    </row>
    <row r="38" spans="1:14" ht="14.4" customHeight="1" x14ac:dyDescent="0.3">
      <c r="A38" s="630" t="s">
        <v>545</v>
      </c>
      <c r="B38" s="631" t="s">
        <v>1978</v>
      </c>
      <c r="C38" s="632" t="s">
        <v>555</v>
      </c>
      <c r="D38" s="633" t="s">
        <v>1980</v>
      </c>
      <c r="E38" s="632" t="s">
        <v>573</v>
      </c>
      <c r="F38" s="633" t="s">
        <v>1985</v>
      </c>
      <c r="G38" s="632" t="s">
        <v>574</v>
      </c>
      <c r="H38" s="632" t="s">
        <v>675</v>
      </c>
      <c r="I38" s="632" t="s">
        <v>676</v>
      </c>
      <c r="J38" s="632" t="s">
        <v>677</v>
      </c>
      <c r="K38" s="632" t="s">
        <v>678</v>
      </c>
      <c r="L38" s="634">
        <v>26.36449871571493</v>
      </c>
      <c r="M38" s="634">
        <v>9</v>
      </c>
      <c r="N38" s="635">
        <v>237.28048844143439</v>
      </c>
    </row>
    <row r="39" spans="1:14" ht="14.4" customHeight="1" x14ac:dyDescent="0.3">
      <c r="A39" s="630" t="s">
        <v>545</v>
      </c>
      <c r="B39" s="631" t="s">
        <v>1978</v>
      </c>
      <c r="C39" s="632" t="s">
        <v>555</v>
      </c>
      <c r="D39" s="633" t="s">
        <v>1980</v>
      </c>
      <c r="E39" s="632" t="s">
        <v>573</v>
      </c>
      <c r="F39" s="633" t="s">
        <v>1985</v>
      </c>
      <c r="G39" s="632" t="s">
        <v>574</v>
      </c>
      <c r="H39" s="632" t="s">
        <v>679</v>
      </c>
      <c r="I39" s="632" t="s">
        <v>680</v>
      </c>
      <c r="J39" s="632" t="s">
        <v>681</v>
      </c>
      <c r="K39" s="632" t="s">
        <v>682</v>
      </c>
      <c r="L39" s="634">
        <v>370.42979182329276</v>
      </c>
      <c r="M39" s="634">
        <v>3</v>
      </c>
      <c r="N39" s="635">
        <v>1111.2893754698782</v>
      </c>
    </row>
    <row r="40" spans="1:14" ht="14.4" customHeight="1" x14ac:dyDescent="0.3">
      <c r="A40" s="630" t="s">
        <v>545</v>
      </c>
      <c r="B40" s="631" t="s">
        <v>1978</v>
      </c>
      <c r="C40" s="632" t="s">
        <v>555</v>
      </c>
      <c r="D40" s="633" t="s">
        <v>1980</v>
      </c>
      <c r="E40" s="632" t="s">
        <v>573</v>
      </c>
      <c r="F40" s="633" t="s">
        <v>1985</v>
      </c>
      <c r="G40" s="632" t="s">
        <v>574</v>
      </c>
      <c r="H40" s="632" t="s">
        <v>683</v>
      </c>
      <c r="I40" s="632" t="s">
        <v>684</v>
      </c>
      <c r="J40" s="632" t="s">
        <v>685</v>
      </c>
      <c r="K40" s="632" t="s">
        <v>686</v>
      </c>
      <c r="L40" s="634">
        <v>29.889939938623606</v>
      </c>
      <c r="M40" s="634">
        <v>5</v>
      </c>
      <c r="N40" s="635">
        <v>149.44969969311802</v>
      </c>
    </row>
    <row r="41" spans="1:14" ht="14.4" customHeight="1" x14ac:dyDescent="0.3">
      <c r="A41" s="630" t="s">
        <v>545</v>
      </c>
      <c r="B41" s="631" t="s">
        <v>1978</v>
      </c>
      <c r="C41" s="632" t="s">
        <v>555</v>
      </c>
      <c r="D41" s="633" t="s">
        <v>1980</v>
      </c>
      <c r="E41" s="632" t="s">
        <v>573</v>
      </c>
      <c r="F41" s="633" t="s">
        <v>1985</v>
      </c>
      <c r="G41" s="632" t="s">
        <v>574</v>
      </c>
      <c r="H41" s="632" t="s">
        <v>687</v>
      </c>
      <c r="I41" s="632" t="s">
        <v>688</v>
      </c>
      <c r="J41" s="632" t="s">
        <v>689</v>
      </c>
      <c r="K41" s="632" t="s">
        <v>690</v>
      </c>
      <c r="L41" s="634">
        <v>60.350265325224534</v>
      </c>
      <c r="M41" s="634">
        <v>12</v>
      </c>
      <c r="N41" s="635">
        <v>724.20318390269438</v>
      </c>
    </row>
    <row r="42" spans="1:14" ht="14.4" customHeight="1" x14ac:dyDescent="0.3">
      <c r="A42" s="630" t="s">
        <v>545</v>
      </c>
      <c r="B42" s="631" t="s">
        <v>1978</v>
      </c>
      <c r="C42" s="632" t="s">
        <v>555</v>
      </c>
      <c r="D42" s="633" t="s">
        <v>1980</v>
      </c>
      <c r="E42" s="632" t="s">
        <v>573</v>
      </c>
      <c r="F42" s="633" t="s">
        <v>1985</v>
      </c>
      <c r="G42" s="632" t="s">
        <v>574</v>
      </c>
      <c r="H42" s="632" t="s">
        <v>691</v>
      </c>
      <c r="I42" s="632" t="s">
        <v>692</v>
      </c>
      <c r="J42" s="632" t="s">
        <v>693</v>
      </c>
      <c r="K42" s="632" t="s">
        <v>694</v>
      </c>
      <c r="L42" s="634">
        <v>112.15903309856265</v>
      </c>
      <c r="M42" s="634">
        <v>20</v>
      </c>
      <c r="N42" s="635">
        <v>2243.1806619712529</v>
      </c>
    </row>
    <row r="43" spans="1:14" ht="14.4" customHeight="1" x14ac:dyDescent="0.3">
      <c r="A43" s="630" t="s">
        <v>545</v>
      </c>
      <c r="B43" s="631" t="s">
        <v>1978</v>
      </c>
      <c r="C43" s="632" t="s">
        <v>555</v>
      </c>
      <c r="D43" s="633" t="s">
        <v>1980</v>
      </c>
      <c r="E43" s="632" t="s">
        <v>573</v>
      </c>
      <c r="F43" s="633" t="s">
        <v>1985</v>
      </c>
      <c r="G43" s="632" t="s">
        <v>574</v>
      </c>
      <c r="H43" s="632" t="s">
        <v>695</v>
      </c>
      <c r="I43" s="632" t="s">
        <v>696</v>
      </c>
      <c r="J43" s="632" t="s">
        <v>697</v>
      </c>
      <c r="K43" s="632" t="s">
        <v>698</v>
      </c>
      <c r="L43" s="634">
        <v>43.250017044893283</v>
      </c>
      <c r="M43" s="634">
        <v>4</v>
      </c>
      <c r="N43" s="635">
        <v>173.00006817957313</v>
      </c>
    </row>
    <row r="44" spans="1:14" ht="14.4" customHeight="1" x14ac:dyDescent="0.3">
      <c r="A44" s="630" t="s">
        <v>545</v>
      </c>
      <c r="B44" s="631" t="s">
        <v>1978</v>
      </c>
      <c r="C44" s="632" t="s">
        <v>555</v>
      </c>
      <c r="D44" s="633" t="s">
        <v>1980</v>
      </c>
      <c r="E44" s="632" t="s">
        <v>573</v>
      </c>
      <c r="F44" s="633" t="s">
        <v>1985</v>
      </c>
      <c r="G44" s="632" t="s">
        <v>574</v>
      </c>
      <c r="H44" s="632" t="s">
        <v>699</v>
      </c>
      <c r="I44" s="632" t="s">
        <v>700</v>
      </c>
      <c r="J44" s="632" t="s">
        <v>701</v>
      </c>
      <c r="K44" s="632" t="s">
        <v>702</v>
      </c>
      <c r="L44" s="634">
        <v>258.68082549508927</v>
      </c>
      <c r="M44" s="634">
        <v>89.6</v>
      </c>
      <c r="N44" s="635">
        <v>23177.801964359998</v>
      </c>
    </row>
    <row r="45" spans="1:14" ht="14.4" customHeight="1" x14ac:dyDescent="0.3">
      <c r="A45" s="630" t="s">
        <v>545</v>
      </c>
      <c r="B45" s="631" t="s">
        <v>1978</v>
      </c>
      <c r="C45" s="632" t="s">
        <v>555</v>
      </c>
      <c r="D45" s="633" t="s">
        <v>1980</v>
      </c>
      <c r="E45" s="632" t="s">
        <v>573</v>
      </c>
      <c r="F45" s="633" t="s">
        <v>1985</v>
      </c>
      <c r="G45" s="632" t="s">
        <v>574</v>
      </c>
      <c r="H45" s="632" t="s">
        <v>703</v>
      </c>
      <c r="I45" s="632" t="s">
        <v>704</v>
      </c>
      <c r="J45" s="632" t="s">
        <v>705</v>
      </c>
      <c r="K45" s="632" t="s">
        <v>706</v>
      </c>
      <c r="L45" s="634">
        <v>151.18998803666682</v>
      </c>
      <c r="M45" s="634">
        <v>23</v>
      </c>
      <c r="N45" s="635">
        <v>3477.3697248433368</v>
      </c>
    </row>
    <row r="46" spans="1:14" ht="14.4" customHeight="1" x14ac:dyDescent="0.3">
      <c r="A46" s="630" t="s">
        <v>545</v>
      </c>
      <c r="B46" s="631" t="s">
        <v>1978</v>
      </c>
      <c r="C46" s="632" t="s">
        <v>555</v>
      </c>
      <c r="D46" s="633" t="s">
        <v>1980</v>
      </c>
      <c r="E46" s="632" t="s">
        <v>573</v>
      </c>
      <c r="F46" s="633" t="s">
        <v>1985</v>
      </c>
      <c r="G46" s="632" t="s">
        <v>574</v>
      </c>
      <c r="H46" s="632" t="s">
        <v>707</v>
      </c>
      <c r="I46" s="632" t="s">
        <v>708</v>
      </c>
      <c r="J46" s="632" t="s">
        <v>709</v>
      </c>
      <c r="K46" s="632" t="s">
        <v>710</v>
      </c>
      <c r="L46" s="634">
        <v>364.47</v>
      </c>
      <c r="M46" s="634">
        <v>2</v>
      </c>
      <c r="N46" s="635">
        <v>728.94</v>
      </c>
    </row>
    <row r="47" spans="1:14" ht="14.4" customHeight="1" x14ac:dyDescent="0.3">
      <c r="A47" s="630" t="s">
        <v>545</v>
      </c>
      <c r="B47" s="631" t="s">
        <v>1978</v>
      </c>
      <c r="C47" s="632" t="s">
        <v>555</v>
      </c>
      <c r="D47" s="633" t="s">
        <v>1980</v>
      </c>
      <c r="E47" s="632" t="s">
        <v>573</v>
      </c>
      <c r="F47" s="633" t="s">
        <v>1985</v>
      </c>
      <c r="G47" s="632" t="s">
        <v>574</v>
      </c>
      <c r="H47" s="632" t="s">
        <v>711</v>
      </c>
      <c r="I47" s="632" t="s">
        <v>712</v>
      </c>
      <c r="J47" s="632" t="s">
        <v>713</v>
      </c>
      <c r="K47" s="632" t="s">
        <v>714</v>
      </c>
      <c r="L47" s="634">
        <v>142.43067934540136</v>
      </c>
      <c r="M47" s="634">
        <v>1</v>
      </c>
      <c r="N47" s="635">
        <v>142.43067934540136</v>
      </c>
    </row>
    <row r="48" spans="1:14" ht="14.4" customHeight="1" x14ac:dyDescent="0.3">
      <c r="A48" s="630" t="s">
        <v>545</v>
      </c>
      <c r="B48" s="631" t="s">
        <v>1978</v>
      </c>
      <c r="C48" s="632" t="s">
        <v>555</v>
      </c>
      <c r="D48" s="633" t="s">
        <v>1980</v>
      </c>
      <c r="E48" s="632" t="s">
        <v>573</v>
      </c>
      <c r="F48" s="633" t="s">
        <v>1985</v>
      </c>
      <c r="G48" s="632" t="s">
        <v>574</v>
      </c>
      <c r="H48" s="632" t="s">
        <v>715</v>
      </c>
      <c r="I48" s="632" t="s">
        <v>716</v>
      </c>
      <c r="J48" s="632" t="s">
        <v>717</v>
      </c>
      <c r="K48" s="632" t="s">
        <v>718</v>
      </c>
      <c r="L48" s="634">
        <v>103.27</v>
      </c>
      <c r="M48" s="634">
        <v>3</v>
      </c>
      <c r="N48" s="635">
        <v>309.81</v>
      </c>
    </row>
    <row r="49" spans="1:14" ht="14.4" customHeight="1" x14ac:dyDescent="0.3">
      <c r="A49" s="630" t="s">
        <v>545</v>
      </c>
      <c r="B49" s="631" t="s">
        <v>1978</v>
      </c>
      <c r="C49" s="632" t="s">
        <v>555</v>
      </c>
      <c r="D49" s="633" t="s">
        <v>1980</v>
      </c>
      <c r="E49" s="632" t="s">
        <v>573</v>
      </c>
      <c r="F49" s="633" t="s">
        <v>1985</v>
      </c>
      <c r="G49" s="632" t="s">
        <v>574</v>
      </c>
      <c r="H49" s="632" t="s">
        <v>719</v>
      </c>
      <c r="I49" s="632" t="s">
        <v>719</v>
      </c>
      <c r="J49" s="632" t="s">
        <v>720</v>
      </c>
      <c r="K49" s="632" t="s">
        <v>721</v>
      </c>
      <c r="L49" s="634">
        <v>38.19612680316127</v>
      </c>
      <c r="M49" s="634">
        <v>391</v>
      </c>
      <c r="N49" s="635">
        <v>14934.685580036055</v>
      </c>
    </row>
    <row r="50" spans="1:14" ht="14.4" customHeight="1" x14ac:dyDescent="0.3">
      <c r="A50" s="630" t="s">
        <v>545</v>
      </c>
      <c r="B50" s="631" t="s">
        <v>1978</v>
      </c>
      <c r="C50" s="632" t="s">
        <v>555</v>
      </c>
      <c r="D50" s="633" t="s">
        <v>1980</v>
      </c>
      <c r="E50" s="632" t="s">
        <v>573</v>
      </c>
      <c r="F50" s="633" t="s">
        <v>1985</v>
      </c>
      <c r="G50" s="632" t="s">
        <v>574</v>
      </c>
      <c r="H50" s="632" t="s">
        <v>722</v>
      </c>
      <c r="I50" s="632" t="s">
        <v>723</v>
      </c>
      <c r="J50" s="632" t="s">
        <v>724</v>
      </c>
      <c r="K50" s="632" t="s">
        <v>725</v>
      </c>
      <c r="L50" s="634">
        <v>73.439464690035095</v>
      </c>
      <c r="M50" s="634">
        <v>2</v>
      </c>
      <c r="N50" s="635">
        <v>146.87892938007019</v>
      </c>
    </row>
    <row r="51" spans="1:14" ht="14.4" customHeight="1" x14ac:dyDescent="0.3">
      <c r="A51" s="630" t="s">
        <v>545</v>
      </c>
      <c r="B51" s="631" t="s">
        <v>1978</v>
      </c>
      <c r="C51" s="632" t="s">
        <v>555</v>
      </c>
      <c r="D51" s="633" t="s">
        <v>1980</v>
      </c>
      <c r="E51" s="632" t="s">
        <v>573</v>
      </c>
      <c r="F51" s="633" t="s">
        <v>1985</v>
      </c>
      <c r="G51" s="632" t="s">
        <v>574</v>
      </c>
      <c r="H51" s="632" t="s">
        <v>726</v>
      </c>
      <c r="I51" s="632" t="s">
        <v>727</v>
      </c>
      <c r="J51" s="632" t="s">
        <v>724</v>
      </c>
      <c r="K51" s="632" t="s">
        <v>728</v>
      </c>
      <c r="L51" s="634">
        <v>238.29087310788151</v>
      </c>
      <c r="M51" s="634">
        <v>2</v>
      </c>
      <c r="N51" s="635">
        <v>476.58174621576302</v>
      </c>
    </row>
    <row r="52" spans="1:14" ht="14.4" customHeight="1" x14ac:dyDescent="0.3">
      <c r="A52" s="630" t="s">
        <v>545</v>
      </c>
      <c r="B52" s="631" t="s">
        <v>1978</v>
      </c>
      <c r="C52" s="632" t="s">
        <v>555</v>
      </c>
      <c r="D52" s="633" t="s">
        <v>1980</v>
      </c>
      <c r="E52" s="632" t="s">
        <v>573</v>
      </c>
      <c r="F52" s="633" t="s">
        <v>1985</v>
      </c>
      <c r="G52" s="632" t="s">
        <v>574</v>
      </c>
      <c r="H52" s="632" t="s">
        <v>729</v>
      </c>
      <c r="I52" s="632" t="s">
        <v>730</v>
      </c>
      <c r="J52" s="632" t="s">
        <v>731</v>
      </c>
      <c r="K52" s="632" t="s">
        <v>732</v>
      </c>
      <c r="L52" s="634">
        <v>85.69</v>
      </c>
      <c r="M52" s="634">
        <v>2</v>
      </c>
      <c r="N52" s="635">
        <v>171.38</v>
      </c>
    </row>
    <row r="53" spans="1:14" ht="14.4" customHeight="1" x14ac:dyDescent="0.3">
      <c r="A53" s="630" t="s">
        <v>545</v>
      </c>
      <c r="B53" s="631" t="s">
        <v>1978</v>
      </c>
      <c r="C53" s="632" t="s">
        <v>555</v>
      </c>
      <c r="D53" s="633" t="s">
        <v>1980</v>
      </c>
      <c r="E53" s="632" t="s">
        <v>573</v>
      </c>
      <c r="F53" s="633" t="s">
        <v>1985</v>
      </c>
      <c r="G53" s="632" t="s">
        <v>574</v>
      </c>
      <c r="H53" s="632" t="s">
        <v>733</v>
      </c>
      <c r="I53" s="632" t="s">
        <v>734</v>
      </c>
      <c r="J53" s="632" t="s">
        <v>735</v>
      </c>
      <c r="K53" s="632" t="s">
        <v>736</v>
      </c>
      <c r="L53" s="634">
        <v>331.02737456851668</v>
      </c>
      <c r="M53" s="634">
        <v>13</v>
      </c>
      <c r="N53" s="635">
        <v>4303.3558693907171</v>
      </c>
    </row>
    <row r="54" spans="1:14" ht="14.4" customHeight="1" x14ac:dyDescent="0.3">
      <c r="A54" s="630" t="s">
        <v>545</v>
      </c>
      <c r="B54" s="631" t="s">
        <v>1978</v>
      </c>
      <c r="C54" s="632" t="s">
        <v>555</v>
      </c>
      <c r="D54" s="633" t="s">
        <v>1980</v>
      </c>
      <c r="E54" s="632" t="s">
        <v>573</v>
      </c>
      <c r="F54" s="633" t="s">
        <v>1985</v>
      </c>
      <c r="G54" s="632" t="s">
        <v>574</v>
      </c>
      <c r="H54" s="632" t="s">
        <v>737</v>
      </c>
      <c r="I54" s="632" t="s">
        <v>738</v>
      </c>
      <c r="J54" s="632" t="s">
        <v>739</v>
      </c>
      <c r="K54" s="632" t="s">
        <v>740</v>
      </c>
      <c r="L54" s="634">
        <v>46</v>
      </c>
      <c r="M54" s="634">
        <v>1</v>
      </c>
      <c r="N54" s="635">
        <v>46</v>
      </c>
    </row>
    <row r="55" spans="1:14" ht="14.4" customHeight="1" x14ac:dyDescent="0.3">
      <c r="A55" s="630" t="s">
        <v>545</v>
      </c>
      <c r="B55" s="631" t="s">
        <v>1978</v>
      </c>
      <c r="C55" s="632" t="s">
        <v>555</v>
      </c>
      <c r="D55" s="633" t="s">
        <v>1980</v>
      </c>
      <c r="E55" s="632" t="s">
        <v>573</v>
      </c>
      <c r="F55" s="633" t="s">
        <v>1985</v>
      </c>
      <c r="G55" s="632" t="s">
        <v>574</v>
      </c>
      <c r="H55" s="632" t="s">
        <v>741</v>
      </c>
      <c r="I55" s="632" t="s">
        <v>742</v>
      </c>
      <c r="J55" s="632" t="s">
        <v>689</v>
      </c>
      <c r="K55" s="632" t="s">
        <v>743</v>
      </c>
      <c r="L55" s="634">
        <v>22.532754226908402</v>
      </c>
      <c r="M55" s="634">
        <v>11</v>
      </c>
      <c r="N55" s="635">
        <v>247.86029649599243</v>
      </c>
    </row>
    <row r="56" spans="1:14" ht="14.4" customHeight="1" x14ac:dyDescent="0.3">
      <c r="A56" s="630" t="s">
        <v>545</v>
      </c>
      <c r="B56" s="631" t="s">
        <v>1978</v>
      </c>
      <c r="C56" s="632" t="s">
        <v>555</v>
      </c>
      <c r="D56" s="633" t="s">
        <v>1980</v>
      </c>
      <c r="E56" s="632" t="s">
        <v>573</v>
      </c>
      <c r="F56" s="633" t="s">
        <v>1985</v>
      </c>
      <c r="G56" s="632" t="s">
        <v>574</v>
      </c>
      <c r="H56" s="632" t="s">
        <v>744</v>
      </c>
      <c r="I56" s="632" t="s">
        <v>745</v>
      </c>
      <c r="J56" s="632" t="s">
        <v>746</v>
      </c>
      <c r="K56" s="632" t="s">
        <v>747</v>
      </c>
      <c r="L56" s="634">
        <v>1123.7499823836758</v>
      </c>
      <c r="M56" s="634">
        <v>4</v>
      </c>
      <c r="N56" s="635">
        <v>4494.9999295347034</v>
      </c>
    </row>
    <row r="57" spans="1:14" ht="14.4" customHeight="1" x14ac:dyDescent="0.3">
      <c r="A57" s="630" t="s">
        <v>545</v>
      </c>
      <c r="B57" s="631" t="s">
        <v>1978</v>
      </c>
      <c r="C57" s="632" t="s">
        <v>555</v>
      </c>
      <c r="D57" s="633" t="s">
        <v>1980</v>
      </c>
      <c r="E57" s="632" t="s">
        <v>573</v>
      </c>
      <c r="F57" s="633" t="s">
        <v>1985</v>
      </c>
      <c r="G57" s="632" t="s">
        <v>574</v>
      </c>
      <c r="H57" s="632" t="s">
        <v>748</v>
      </c>
      <c r="I57" s="632" t="s">
        <v>749</v>
      </c>
      <c r="J57" s="632" t="s">
        <v>750</v>
      </c>
      <c r="K57" s="632" t="s">
        <v>751</v>
      </c>
      <c r="L57" s="634">
        <v>103.4694896908526</v>
      </c>
      <c r="M57" s="634">
        <v>1</v>
      </c>
      <c r="N57" s="635">
        <v>103.4694896908526</v>
      </c>
    </row>
    <row r="58" spans="1:14" ht="14.4" customHeight="1" x14ac:dyDescent="0.3">
      <c r="A58" s="630" t="s">
        <v>545</v>
      </c>
      <c r="B58" s="631" t="s">
        <v>1978</v>
      </c>
      <c r="C58" s="632" t="s">
        <v>555</v>
      </c>
      <c r="D58" s="633" t="s">
        <v>1980</v>
      </c>
      <c r="E58" s="632" t="s">
        <v>573</v>
      </c>
      <c r="F58" s="633" t="s">
        <v>1985</v>
      </c>
      <c r="G58" s="632" t="s">
        <v>574</v>
      </c>
      <c r="H58" s="632" t="s">
        <v>752</v>
      </c>
      <c r="I58" s="632" t="s">
        <v>753</v>
      </c>
      <c r="J58" s="632" t="s">
        <v>754</v>
      </c>
      <c r="K58" s="632" t="s">
        <v>755</v>
      </c>
      <c r="L58" s="634">
        <v>223.55764589975814</v>
      </c>
      <c r="M58" s="634">
        <v>10</v>
      </c>
      <c r="N58" s="635">
        <v>2235.5764589975815</v>
      </c>
    </row>
    <row r="59" spans="1:14" ht="14.4" customHeight="1" x14ac:dyDescent="0.3">
      <c r="A59" s="630" t="s">
        <v>545</v>
      </c>
      <c r="B59" s="631" t="s">
        <v>1978</v>
      </c>
      <c r="C59" s="632" t="s">
        <v>555</v>
      </c>
      <c r="D59" s="633" t="s">
        <v>1980</v>
      </c>
      <c r="E59" s="632" t="s">
        <v>573</v>
      </c>
      <c r="F59" s="633" t="s">
        <v>1985</v>
      </c>
      <c r="G59" s="632" t="s">
        <v>574</v>
      </c>
      <c r="H59" s="632" t="s">
        <v>756</v>
      </c>
      <c r="I59" s="632" t="s">
        <v>757</v>
      </c>
      <c r="J59" s="632" t="s">
        <v>758</v>
      </c>
      <c r="K59" s="632" t="s">
        <v>759</v>
      </c>
      <c r="L59" s="634">
        <v>75.153289883093237</v>
      </c>
      <c r="M59" s="634">
        <v>30</v>
      </c>
      <c r="N59" s="635">
        <v>2254.598696492797</v>
      </c>
    </row>
    <row r="60" spans="1:14" ht="14.4" customHeight="1" x14ac:dyDescent="0.3">
      <c r="A60" s="630" t="s">
        <v>545</v>
      </c>
      <c r="B60" s="631" t="s">
        <v>1978</v>
      </c>
      <c r="C60" s="632" t="s">
        <v>555</v>
      </c>
      <c r="D60" s="633" t="s">
        <v>1980</v>
      </c>
      <c r="E60" s="632" t="s">
        <v>573</v>
      </c>
      <c r="F60" s="633" t="s">
        <v>1985</v>
      </c>
      <c r="G60" s="632" t="s">
        <v>574</v>
      </c>
      <c r="H60" s="632" t="s">
        <v>760</v>
      </c>
      <c r="I60" s="632" t="s">
        <v>761</v>
      </c>
      <c r="J60" s="632" t="s">
        <v>762</v>
      </c>
      <c r="K60" s="632" t="s">
        <v>763</v>
      </c>
      <c r="L60" s="634">
        <v>121.86666666666663</v>
      </c>
      <c r="M60" s="634">
        <v>3</v>
      </c>
      <c r="N60" s="635">
        <v>365.59999999999991</v>
      </c>
    </row>
    <row r="61" spans="1:14" ht="14.4" customHeight="1" x14ac:dyDescent="0.3">
      <c r="A61" s="630" t="s">
        <v>545</v>
      </c>
      <c r="B61" s="631" t="s">
        <v>1978</v>
      </c>
      <c r="C61" s="632" t="s">
        <v>555</v>
      </c>
      <c r="D61" s="633" t="s">
        <v>1980</v>
      </c>
      <c r="E61" s="632" t="s">
        <v>573</v>
      </c>
      <c r="F61" s="633" t="s">
        <v>1985</v>
      </c>
      <c r="G61" s="632" t="s">
        <v>574</v>
      </c>
      <c r="H61" s="632" t="s">
        <v>764</v>
      </c>
      <c r="I61" s="632" t="s">
        <v>765</v>
      </c>
      <c r="J61" s="632" t="s">
        <v>766</v>
      </c>
      <c r="K61" s="632" t="s">
        <v>767</v>
      </c>
      <c r="L61" s="634">
        <v>100.54248767291183</v>
      </c>
      <c r="M61" s="634">
        <v>166</v>
      </c>
      <c r="N61" s="635">
        <v>16690.052953703365</v>
      </c>
    </row>
    <row r="62" spans="1:14" ht="14.4" customHeight="1" x14ac:dyDescent="0.3">
      <c r="A62" s="630" t="s">
        <v>545</v>
      </c>
      <c r="B62" s="631" t="s">
        <v>1978</v>
      </c>
      <c r="C62" s="632" t="s">
        <v>555</v>
      </c>
      <c r="D62" s="633" t="s">
        <v>1980</v>
      </c>
      <c r="E62" s="632" t="s">
        <v>573</v>
      </c>
      <c r="F62" s="633" t="s">
        <v>1985</v>
      </c>
      <c r="G62" s="632" t="s">
        <v>574</v>
      </c>
      <c r="H62" s="632" t="s">
        <v>768</v>
      </c>
      <c r="I62" s="632" t="s">
        <v>769</v>
      </c>
      <c r="J62" s="632" t="s">
        <v>770</v>
      </c>
      <c r="K62" s="632" t="s">
        <v>771</v>
      </c>
      <c r="L62" s="634">
        <v>167.93799265063092</v>
      </c>
      <c r="M62" s="634">
        <v>10</v>
      </c>
      <c r="N62" s="635">
        <v>1679.3799265063092</v>
      </c>
    </row>
    <row r="63" spans="1:14" ht="14.4" customHeight="1" x14ac:dyDescent="0.3">
      <c r="A63" s="630" t="s">
        <v>545</v>
      </c>
      <c r="B63" s="631" t="s">
        <v>1978</v>
      </c>
      <c r="C63" s="632" t="s">
        <v>555</v>
      </c>
      <c r="D63" s="633" t="s">
        <v>1980</v>
      </c>
      <c r="E63" s="632" t="s">
        <v>573</v>
      </c>
      <c r="F63" s="633" t="s">
        <v>1985</v>
      </c>
      <c r="G63" s="632" t="s">
        <v>574</v>
      </c>
      <c r="H63" s="632" t="s">
        <v>772</v>
      </c>
      <c r="I63" s="632" t="s">
        <v>773</v>
      </c>
      <c r="J63" s="632" t="s">
        <v>774</v>
      </c>
      <c r="K63" s="632" t="s">
        <v>775</v>
      </c>
      <c r="L63" s="634">
        <v>376.02961095591843</v>
      </c>
      <c r="M63" s="634">
        <v>19</v>
      </c>
      <c r="N63" s="635">
        <v>7144.5626081624505</v>
      </c>
    </row>
    <row r="64" spans="1:14" ht="14.4" customHeight="1" x14ac:dyDescent="0.3">
      <c r="A64" s="630" t="s">
        <v>545</v>
      </c>
      <c r="B64" s="631" t="s">
        <v>1978</v>
      </c>
      <c r="C64" s="632" t="s">
        <v>555</v>
      </c>
      <c r="D64" s="633" t="s">
        <v>1980</v>
      </c>
      <c r="E64" s="632" t="s">
        <v>573</v>
      </c>
      <c r="F64" s="633" t="s">
        <v>1985</v>
      </c>
      <c r="G64" s="632" t="s">
        <v>574</v>
      </c>
      <c r="H64" s="632" t="s">
        <v>776</v>
      </c>
      <c r="I64" s="632" t="s">
        <v>777</v>
      </c>
      <c r="J64" s="632" t="s">
        <v>778</v>
      </c>
      <c r="K64" s="632" t="s">
        <v>779</v>
      </c>
      <c r="L64" s="634">
        <v>67.442647212413007</v>
      </c>
      <c r="M64" s="634">
        <v>15</v>
      </c>
      <c r="N64" s="635">
        <v>1011.6397081861951</v>
      </c>
    </row>
    <row r="65" spans="1:14" ht="14.4" customHeight="1" x14ac:dyDescent="0.3">
      <c r="A65" s="630" t="s">
        <v>545</v>
      </c>
      <c r="B65" s="631" t="s">
        <v>1978</v>
      </c>
      <c r="C65" s="632" t="s">
        <v>555</v>
      </c>
      <c r="D65" s="633" t="s">
        <v>1980</v>
      </c>
      <c r="E65" s="632" t="s">
        <v>573</v>
      </c>
      <c r="F65" s="633" t="s">
        <v>1985</v>
      </c>
      <c r="G65" s="632" t="s">
        <v>574</v>
      </c>
      <c r="H65" s="632" t="s">
        <v>780</v>
      </c>
      <c r="I65" s="632" t="s">
        <v>781</v>
      </c>
      <c r="J65" s="632" t="s">
        <v>782</v>
      </c>
      <c r="K65" s="632" t="s">
        <v>783</v>
      </c>
      <c r="L65" s="634">
        <v>134.63</v>
      </c>
      <c r="M65" s="634">
        <v>1</v>
      </c>
      <c r="N65" s="635">
        <v>134.63</v>
      </c>
    </row>
    <row r="66" spans="1:14" ht="14.4" customHeight="1" x14ac:dyDescent="0.3">
      <c r="A66" s="630" t="s">
        <v>545</v>
      </c>
      <c r="B66" s="631" t="s">
        <v>1978</v>
      </c>
      <c r="C66" s="632" t="s">
        <v>555</v>
      </c>
      <c r="D66" s="633" t="s">
        <v>1980</v>
      </c>
      <c r="E66" s="632" t="s">
        <v>573</v>
      </c>
      <c r="F66" s="633" t="s">
        <v>1985</v>
      </c>
      <c r="G66" s="632" t="s">
        <v>574</v>
      </c>
      <c r="H66" s="632" t="s">
        <v>784</v>
      </c>
      <c r="I66" s="632" t="s">
        <v>785</v>
      </c>
      <c r="J66" s="632" t="s">
        <v>786</v>
      </c>
      <c r="K66" s="632" t="s">
        <v>787</v>
      </c>
      <c r="L66" s="634">
        <v>121.06</v>
      </c>
      <c r="M66" s="634">
        <v>3</v>
      </c>
      <c r="N66" s="635">
        <v>363.18</v>
      </c>
    </row>
    <row r="67" spans="1:14" ht="14.4" customHeight="1" x14ac:dyDescent="0.3">
      <c r="A67" s="630" t="s">
        <v>545</v>
      </c>
      <c r="B67" s="631" t="s">
        <v>1978</v>
      </c>
      <c r="C67" s="632" t="s">
        <v>555</v>
      </c>
      <c r="D67" s="633" t="s">
        <v>1980</v>
      </c>
      <c r="E67" s="632" t="s">
        <v>573</v>
      </c>
      <c r="F67" s="633" t="s">
        <v>1985</v>
      </c>
      <c r="G67" s="632" t="s">
        <v>574</v>
      </c>
      <c r="H67" s="632" t="s">
        <v>788</v>
      </c>
      <c r="I67" s="632" t="s">
        <v>789</v>
      </c>
      <c r="J67" s="632" t="s">
        <v>786</v>
      </c>
      <c r="K67" s="632" t="s">
        <v>790</v>
      </c>
      <c r="L67" s="634">
        <v>144.46375000000003</v>
      </c>
      <c r="M67" s="634">
        <v>8</v>
      </c>
      <c r="N67" s="635">
        <v>1155.7100000000003</v>
      </c>
    </row>
    <row r="68" spans="1:14" ht="14.4" customHeight="1" x14ac:dyDescent="0.3">
      <c r="A68" s="630" t="s">
        <v>545</v>
      </c>
      <c r="B68" s="631" t="s">
        <v>1978</v>
      </c>
      <c r="C68" s="632" t="s">
        <v>555</v>
      </c>
      <c r="D68" s="633" t="s">
        <v>1980</v>
      </c>
      <c r="E68" s="632" t="s">
        <v>573</v>
      </c>
      <c r="F68" s="633" t="s">
        <v>1985</v>
      </c>
      <c r="G68" s="632" t="s">
        <v>574</v>
      </c>
      <c r="H68" s="632" t="s">
        <v>791</v>
      </c>
      <c r="I68" s="632" t="s">
        <v>792</v>
      </c>
      <c r="J68" s="632" t="s">
        <v>697</v>
      </c>
      <c r="K68" s="632" t="s">
        <v>793</v>
      </c>
      <c r="L68" s="634">
        <v>47.099999999999994</v>
      </c>
      <c r="M68" s="634">
        <v>1</v>
      </c>
      <c r="N68" s="635">
        <v>47.099999999999994</v>
      </c>
    </row>
    <row r="69" spans="1:14" ht="14.4" customHeight="1" x14ac:dyDescent="0.3">
      <c r="A69" s="630" t="s">
        <v>545</v>
      </c>
      <c r="B69" s="631" t="s">
        <v>1978</v>
      </c>
      <c r="C69" s="632" t="s">
        <v>555</v>
      </c>
      <c r="D69" s="633" t="s">
        <v>1980</v>
      </c>
      <c r="E69" s="632" t="s">
        <v>573</v>
      </c>
      <c r="F69" s="633" t="s">
        <v>1985</v>
      </c>
      <c r="G69" s="632" t="s">
        <v>574</v>
      </c>
      <c r="H69" s="632" t="s">
        <v>794</v>
      </c>
      <c r="I69" s="632" t="s">
        <v>795</v>
      </c>
      <c r="J69" s="632" t="s">
        <v>796</v>
      </c>
      <c r="K69" s="632" t="s">
        <v>797</v>
      </c>
      <c r="L69" s="634">
        <v>92.490857142857124</v>
      </c>
      <c r="M69" s="634">
        <v>35</v>
      </c>
      <c r="N69" s="635">
        <v>3237.1799999999994</v>
      </c>
    </row>
    <row r="70" spans="1:14" ht="14.4" customHeight="1" x14ac:dyDescent="0.3">
      <c r="A70" s="630" t="s">
        <v>545</v>
      </c>
      <c r="B70" s="631" t="s">
        <v>1978</v>
      </c>
      <c r="C70" s="632" t="s">
        <v>555</v>
      </c>
      <c r="D70" s="633" t="s">
        <v>1980</v>
      </c>
      <c r="E70" s="632" t="s">
        <v>573</v>
      </c>
      <c r="F70" s="633" t="s">
        <v>1985</v>
      </c>
      <c r="G70" s="632" t="s">
        <v>574</v>
      </c>
      <c r="H70" s="632" t="s">
        <v>798</v>
      </c>
      <c r="I70" s="632" t="s">
        <v>799</v>
      </c>
      <c r="J70" s="632" t="s">
        <v>800</v>
      </c>
      <c r="K70" s="632" t="s">
        <v>801</v>
      </c>
      <c r="L70" s="634">
        <v>49.18992514902768</v>
      </c>
      <c r="M70" s="634">
        <v>20</v>
      </c>
      <c r="N70" s="635">
        <v>983.79850298055362</v>
      </c>
    </row>
    <row r="71" spans="1:14" ht="14.4" customHeight="1" x14ac:dyDescent="0.3">
      <c r="A71" s="630" t="s">
        <v>545</v>
      </c>
      <c r="B71" s="631" t="s">
        <v>1978</v>
      </c>
      <c r="C71" s="632" t="s">
        <v>555</v>
      </c>
      <c r="D71" s="633" t="s">
        <v>1980</v>
      </c>
      <c r="E71" s="632" t="s">
        <v>573</v>
      </c>
      <c r="F71" s="633" t="s">
        <v>1985</v>
      </c>
      <c r="G71" s="632" t="s">
        <v>574</v>
      </c>
      <c r="H71" s="632" t="s">
        <v>802</v>
      </c>
      <c r="I71" s="632" t="s">
        <v>803</v>
      </c>
      <c r="J71" s="632" t="s">
        <v>804</v>
      </c>
      <c r="K71" s="632" t="s">
        <v>805</v>
      </c>
      <c r="L71" s="634">
        <v>41.6196966285302</v>
      </c>
      <c r="M71" s="634">
        <v>2</v>
      </c>
      <c r="N71" s="635">
        <v>83.239393257060399</v>
      </c>
    </row>
    <row r="72" spans="1:14" ht="14.4" customHeight="1" x14ac:dyDescent="0.3">
      <c r="A72" s="630" t="s">
        <v>545</v>
      </c>
      <c r="B72" s="631" t="s">
        <v>1978</v>
      </c>
      <c r="C72" s="632" t="s">
        <v>555</v>
      </c>
      <c r="D72" s="633" t="s">
        <v>1980</v>
      </c>
      <c r="E72" s="632" t="s">
        <v>573</v>
      </c>
      <c r="F72" s="633" t="s">
        <v>1985</v>
      </c>
      <c r="G72" s="632" t="s">
        <v>574</v>
      </c>
      <c r="H72" s="632" t="s">
        <v>806</v>
      </c>
      <c r="I72" s="632" t="s">
        <v>807</v>
      </c>
      <c r="J72" s="632" t="s">
        <v>804</v>
      </c>
      <c r="K72" s="632" t="s">
        <v>808</v>
      </c>
      <c r="L72" s="634">
        <v>292.51723703511419</v>
      </c>
      <c r="M72" s="634">
        <v>59</v>
      </c>
      <c r="N72" s="635">
        <v>17258.516985071736</v>
      </c>
    </row>
    <row r="73" spans="1:14" ht="14.4" customHeight="1" x14ac:dyDescent="0.3">
      <c r="A73" s="630" t="s">
        <v>545</v>
      </c>
      <c r="B73" s="631" t="s">
        <v>1978</v>
      </c>
      <c r="C73" s="632" t="s">
        <v>555</v>
      </c>
      <c r="D73" s="633" t="s">
        <v>1980</v>
      </c>
      <c r="E73" s="632" t="s">
        <v>573</v>
      </c>
      <c r="F73" s="633" t="s">
        <v>1985</v>
      </c>
      <c r="G73" s="632" t="s">
        <v>574</v>
      </c>
      <c r="H73" s="632" t="s">
        <v>809</v>
      </c>
      <c r="I73" s="632" t="s">
        <v>810</v>
      </c>
      <c r="J73" s="632" t="s">
        <v>811</v>
      </c>
      <c r="K73" s="632" t="s">
        <v>812</v>
      </c>
      <c r="L73" s="634">
        <v>392.88977742140685</v>
      </c>
      <c r="M73" s="634">
        <v>35</v>
      </c>
      <c r="N73" s="635">
        <v>13751.14220974924</v>
      </c>
    </row>
    <row r="74" spans="1:14" ht="14.4" customHeight="1" x14ac:dyDescent="0.3">
      <c r="A74" s="630" t="s">
        <v>545</v>
      </c>
      <c r="B74" s="631" t="s">
        <v>1978</v>
      </c>
      <c r="C74" s="632" t="s">
        <v>555</v>
      </c>
      <c r="D74" s="633" t="s">
        <v>1980</v>
      </c>
      <c r="E74" s="632" t="s">
        <v>573</v>
      </c>
      <c r="F74" s="633" t="s">
        <v>1985</v>
      </c>
      <c r="G74" s="632" t="s">
        <v>574</v>
      </c>
      <c r="H74" s="632" t="s">
        <v>813</v>
      </c>
      <c r="I74" s="632" t="s">
        <v>814</v>
      </c>
      <c r="J74" s="632" t="s">
        <v>815</v>
      </c>
      <c r="K74" s="632" t="s">
        <v>816</v>
      </c>
      <c r="L74" s="634">
        <v>27.4698023336849</v>
      </c>
      <c r="M74" s="634">
        <v>4</v>
      </c>
      <c r="N74" s="635">
        <v>109.8792093347396</v>
      </c>
    </row>
    <row r="75" spans="1:14" ht="14.4" customHeight="1" x14ac:dyDescent="0.3">
      <c r="A75" s="630" t="s">
        <v>545</v>
      </c>
      <c r="B75" s="631" t="s">
        <v>1978</v>
      </c>
      <c r="C75" s="632" t="s">
        <v>555</v>
      </c>
      <c r="D75" s="633" t="s">
        <v>1980</v>
      </c>
      <c r="E75" s="632" t="s">
        <v>573</v>
      </c>
      <c r="F75" s="633" t="s">
        <v>1985</v>
      </c>
      <c r="G75" s="632" t="s">
        <v>574</v>
      </c>
      <c r="H75" s="632" t="s">
        <v>817</v>
      </c>
      <c r="I75" s="632" t="s">
        <v>818</v>
      </c>
      <c r="J75" s="632" t="s">
        <v>819</v>
      </c>
      <c r="K75" s="632" t="s">
        <v>820</v>
      </c>
      <c r="L75" s="634">
        <v>227.33204540138044</v>
      </c>
      <c r="M75" s="634">
        <v>252</v>
      </c>
      <c r="N75" s="635">
        <v>57287.675441147869</v>
      </c>
    </row>
    <row r="76" spans="1:14" ht="14.4" customHeight="1" x14ac:dyDescent="0.3">
      <c r="A76" s="630" t="s">
        <v>545</v>
      </c>
      <c r="B76" s="631" t="s">
        <v>1978</v>
      </c>
      <c r="C76" s="632" t="s">
        <v>555</v>
      </c>
      <c r="D76" s="633" t="s">
        <v>1980</v>
      </c>
      <c r="E76" s="632" t="s">
        <v>573</v>
      </c>
      <c r="F76" s="633" t="s">
        <v>1985</v>
      </c>
      <c r="G76" s="632" t="s">
        <v>574</v>
      </c>
      <c r="H76" s="632" t="s">
        <v>821</v>
      </c>
      <c r="I76" s="632" t="s">
        <v>238</v>
      </c>
      <c r="J76" s="632" t="s">
        <v>822</v>
      </c>
      <c r="K76" s="632"/>
      <c r="L76" s="634">
        <v>144.26277083682297</v>
      </c>
      <c r="M76" s="634">
        <v>10</v>
      </c>
      <c r="N76" s="635">
        <v>1442.6277083682296</v>
      </c>
    </row>
    <row r="77" spans="1:14" ht="14.4" customHeight="1" x14ac:dyDescent="0.3">
      <c r="A77" s="630" t="s">
        <v>545</v>
      </c>
      <c r="B77" s="631" t="s">
        <v>1978</v>
      </c>
      <c r="C77" s="632" t="s">
        <v>555</v>
      </c>
      <c r="D77" s="633" t="s">
        <v>1980</v>
      </c>
      <c r="E77" s="632" t="s">
        <v>573</v>
      </c>
      <c r="F77" s="633" t="s">
        <v>1985</v>
      </c>
      <c r="G77" s="632" t="s">
        <v>574</v>
      </c>
      <c r="H77" s="632" t="s">
        <v>823</v>
      </c>
      <c r="I77" s="632" t="s">
        <v>238</v>
      </c>
      <c r="J77" s="632" t="s">
        <v>824</v>
      </c>
      <c r="K77" s="632"/>
      <c r="L77" s="634">
        <v>98.068571428571431</v>
      </c>
      <c r="M77" s="634">
        <v>14</v>
      </c>
      <c r="N77" s="635">
        <v>1372.96</v>
      </c>
    </row>
    <row r="78" spans="1:14" ht="14.4" customHeight="1" x14ac:dyDescent="0.3">
      <c r="A78" s="630" t="s">
        <v>545</v>
      </c>
      <c r="B78" s="631" t="s">
        <v>1978</v>
      </c>
      <c r="C78" s="632" t="s">
        <v>555</v>
      </c>
      <c r="D78" s="633" t="s">
        <v>1980</v>
      </c>
      <c r="E78" s="632" t="s">
        <v>573</v>
      </c>
      <c r="F78" s="633" t="s">
        <v>1985</v>
      </c>
      <c r="G78" s="632" t="s">
        <v>574</v>
      </c>
      <c r="H78" s="632" t="s">
        <v>825</v>
      </c>
      <c r="I78" s="632" t="s">
        <v>238</v>
      </c>
      <c r="J78" s="632" t="s">
        <v>826</v>
      </c>
      <c r="K78" s="632" t="s">
        <v>827</v>
      </c>
      <c r="L78" s="634">
        <v>1440.1208333333345</v>
      </c>
      <c r="M78" s="634">
        <v>3</v>
      </c>
      <c r="N78" s="635">
        <v>4320.3625000000038</v>
      </c>
    </row>
    <row r="79" spans="1:14" ht="14.4" customHeight="1" x14ac:dyDescent="0.3">
      <c r="A79" s="630" t="s">
        <v>545</v>
      </c>
      <c r="B79" s="631" t="s">
        <v>1978</v>
      </c>
      <c r="C79" s="632" t="s">
        <v>555</v>
      </c>
      <c r="D79" s="633" t="s">
        <v>1980</v>
      </c>
      <c r="E79" s="632" t="s">
        <v>573</v>
      </c>
      <c r="F79" s="633" t="s">
        <v>1985</v>
      </c>
      <c r="G79" s="632" t="s">
        <v>574</v>
      </c>
      <c r="H79" s="632" t="s">
        <v>828</v>
      </c>
      <c r="I79" s="632" t="s">
        <v>829</v>
      </c>
      <c r="J79" s="632" t="s">
        <v>815</v>
      </c>
      <c r="K79" s="632" t="s">
        <v>830</v>
      </c>
      <c r="L79" s="634">
        <v>59.400092527551081</v>
      </c>
      <c r="M79" s="634">
        <v>4</v>
      </c>
      <c r="N79" s="635">
        <v>237.60037011020432</v>
      </c>
    </row>
    <row r="80" spans="1:14" ht="14.4" customHeight="1" x14ac:dyDescent="0.3">
      <c r="A80" s="630" t="s">
        <v>545</v>
      </c>
      <c r="B80" s="631" t="s">
        <v>1978</v>
      </c>
      <c r="C80" s="632" t="s">
        <v>555</v>
      </c>
      <c r="D80" s="633" t="s">
        <v>1980</v>
      </c>
      <c r="E80" s="632" t="s">
        <v>573</v>
      </c>
      <c r="F80" s="633" t="s">
        <v>1985</v>
      </c>
      <c r="G80" s="632" t="s">
        <v>574</v>
      </c>
      <c r="H80" s="632" t="s">
        <v>831</v>
      </c>
      <c r="I80" s="632" t="s">
        <v>832</v>
      </c>
      <c r="J80" s="632" t="s">
        <v>833</v>
      </c>
      <c r="K80" s="632" t="s">
        <v>834</v>
      </c>
      <c r="L80" s="634">
        <v>65.134818042045808</v>
      </c>
      <c r="M80" s="634">
        <v>12</v>
      </c>
      <c r="N80" s="635">
        <v>781.61781650454964</v>
      </c>
    </row>
    <row r="81" spans="1:14" ht="14.4" customHeight="1" x14ac:dyDescent="0.3">
      <c r="A81" s="630" t="s">
        <v>545</v>
      </c>
      <c r="B81" s="631" t="s">
        <v>1978</v>
      </c>
      <c r="C81" s="632" t="s">
        <v>555</v>
      </c>
      <c r="D81" s="633" t="s">
        <v>1980</v>
      </c>
      <c r="E81" s="632" t="s">
        <v>573</v>
      </c>
      <c r="F81" s="633" t="s">
        <v>1985</v>
      </c>
      <c r="G81" s="632" t="s">
        <v>574</v>
      </c>
      <c r="H81" s="632" t="s">
        <v>835</v>
      </c>
      <c r="I81" s="632" t="s">
        <v>836</v>
      </c>
      <c r="J81" s="632" t="s">
        <v>837</v>
      </c>
      <c r="K81" s="632" t="s">
        <v>838</v>
      </c>
      <c r="L81" s="634">
        <v>121.19999999999996</v>
      </c>
      <c r="M81" s="634">
        <v>1</v>
      </c>
      <c r="N81" s="635">
        <v>121.19999999999996</v>
      </c>
    </row>
    <row r="82" spans="1:14" ht="14.4" customHeight="1" x14ac:dyDescent="0.3">
      <c r="A82" s="630" t="s">
        <v>545</v>
      </c>
      <c r="B82" s="631" t="s">
        <v>1978</v>
      </c>
      <c r="C82" s="632" t="s">
        <v>555</v>
      </c>
      <c r="D82" s="633" t="s">
        <v>1980</v>
      </c>
      <c r="E82" s="632" t="s">
        <v>573</v>
      </c>
      <c r="F82" s="633" t="s">
        <v>1985</v>
      </c>
      <c r="G82" s="632" t="s">
        <v>574</v>
      </c>
      <c r="H82" s="632" t="s">
        <v>839</v>
      </c>
      <c r="I82" s="632" t="s">
        <v>840</v>
      </c>
      <c r="J82" s="632" t="s">
        <v>841</v>
      </c>
      <c r="K82" s="632" t="s">
        <v>842</v>
      </c>
      <c r="L82" s="634">
        <v>37.56</v>
      </c>
      <c r="M82" s="634">
        <v>2</v>
      </c>
      <c r="N82" s="635">
        <v>75.12</v>
      </c>
    </row>
    <row r="83" spans="1:14" ht="14.4" customHeight="1" x14ac:dyDescent="0.3">
      <c r="A83" s="630" t="s">
        <v>545</v>
      </c>
      <c r="B83" s="631" t="s">
        <v>1978</v>
      </c>
      <c r="C83" s="632" t="s">
        <v>555</v>
      </c>
      <c r="D83" s="633" t="s">
        <v>1980</v>
      </c>
      <c r="E83" s="632" t="s">
        <v>573</v>
      </c>
      <c r="F83" s="633" t="s">
        <v>1985</v>
      </c>
      <c r="G83" s="632" t="s">
        <v>574</v>
      </c>
      <c r="H83" s="632" t="s">
        <v>843</v>
      </c>
      <c r="I83" s="632" t="s">
        <v>844</v>
      </c>
      <c r="J83" s="632" t="s">
        <v>845</v>
      </c>
      <c r="K83" s="632" t="s">
        <v>846</v>
      </c>
      <c r="L83" s="634">
        <v>42.435605704849031</v>
      </c>
      <c r="M83" s="634">
        <v>200</v>
      </c>
      <c r="N83" s="635">
        <v>8487.1211409698062</v>
      </c>
    </row>
    <row r="84" spans="1:14" ht="14.4" customHeight="1" x14ac:dyDescent="0.3">
      <c r="A84" s="630" t="s">
        <v>545</v>
      </c>
      <c r="B84" s="631" t="s">
        <v>1978</v>
      </c>
      <c r="C84" s="632" t="s">
        <v>555</v>
      </c>
      <c r="D84" s="633" t="s">
        <v>1980</v>
      </c>
      <c r="E84" s="632" t="s">
        <v>573</v>
      </c>
      <c r="F84" s="633" t="s">
        <v>1985</v>
      </c>
      <c r="G84" s="632" t="s">
        <v>574</v>
      </c>
      <c r="H84" s="632" t="s">
        <v>847</v>
      </c>
      <c r="I84" s="632" t="s">
        <v>848</v>
      </c>
      <c r="J84" s="632" t="s">
        <v>849</v>
      </c>
      <c r="K84" s="632" t="s">
        <v>850</v>
      </c>
      <c r="L84" s="634">
        <v>59.21</v>
      </c>
      <c r="M84" s="634">
        <v>1</v>
      </c>
      <c r="N84" s="635">
        <v>59.21</v>
      </c>
    </row>
    <row r="85" spans="1:14" ht="14.4" customHeight="1" x14ac:dyDescent="0.3">
      <c r="A85" s="630" t="s">
        <v>545</v>
      </c>
      <c r="B85" s="631" t="s">
        <v>1978</v>
      </c>
      <c r="C85" s="632" t="s">
        <v>555</v>
      </c>
      <c r="D85" s="633" t="s">
        <v>1980</v>
      </c>
      <c r="E85" s="632" t="s">
        <v>573</v>
      </c>
      <c r="F85" s="633" t="s">
        <v>1985</v>
      </c>
      <c r="G85" s="632" t="s">
        <v>574</v>
      </c>
      <c r="H85" s="632" t="s">
        <v>851</v>
      </c>
      <c r="I85" s="632" t="s">
        <v>852</v>
      </c>
      <c r="J85" s="632" t="s">
        <v>849</v>
      </c>
      <c r="K85" s="632" t="s">
        <v>853</v>
      </c>
      <c r="L85" s="634">
        <v>37.277500000000011</v>
      </c>
      <c r="M85" s="634">
        <v>4</v>
      </c>
      <c r="N85" s="635">
        <v>149.11000000000004</v>
      </c>
    </row>
    <row r="86" spans="1:14" ht="14.4" customHeight="1" x14ac:dyDescent="0.3">
      <c r="A86" s="630" t="s">
        <v>545</v>
      </c>
      <c r="B86" s="631" t="s">
        <v>1978</v>
      </c>
      <c r="C86" s="632" t="s">
        <v>555</v>
      </c>
      <c r="D86" s="633" t="s">
        <v>1980</v>
      </c>
      <c r="E86" s="632" t="s">
        <v>573</v>
      </c>
      <c r="F86" s="633" t="s">
        <v>1985</v>
      </c>
      <c r="G86" s="632" t="s">
        <v>574</v>
      </c>
      <c r="H86" s="632" t="s">
        <v>854</v>
      </c>
      <c r="I86" s="632" t="s">
        <v>855</v>
      </c>
      <c r="J86" s="632" t="s">
        <v>856</v>
      </c>
      <c r="K86" s="632" t="s">
        <v>857</v>
      </c>
      <c r="L86" s="634">
        <v>61.379987926841252</v>
      </c>
      <c r="M86" s="634">
        <v>20</v>
      </c>
      <c r="N86" s="635">
        <v>1227.599758536825</v>
      </c>
    </row>
    <row r="87" spans="1:14" ht="14.4" customHeight="1" x14ac:dyDescent="0.3">
      <c r="A87" s="630" t="s">
        <v>545</v>
      </c>
      <c r="B87" s="631" t="s">
        <v>1978</v>
      </c>
      <c r="C87" s="632" t="s">
        <v>555</v>
      </c>
      <c r="D87" s="633" t="s">
        <v>1980</v>
      </c>
      <c r="E87" s="632" t="s">
        <v>573</v>
      </c>
      <c r="F87" s="633" t="s">
        <v>1985</v>
      </c>
      <c r="G87" s="632" t="s">
        <v>574</v>
      </c>
      <c r="H87" s="632" t="s">
        <v>858</v>
      </c>
      <c r="I87" s="632" t="s">
        <v>238</v>
      </c>
      <c r="J87" s="632" t="s">
        <v>859</v>
      </c>
      <c r="K87" s="632"/>
      <c r="L87" s="634">
        <v>59.120029750816478</v>
      </c>
      <c r="M87" s="634">
        <v>8</v>
      </c>
      <c r="N87" s="635">
        <v>472.96023800653182</v>
      </c>
    </row>
    <row r="88" spans="1:14" ht="14.4" customHeight="1" x14ac:dyDescent="0.3">
      <c r="A88" s="630" t="s">
        <v>545</v>
      </c>
      <c r="B88" s="631" t="s">
        <v>1978</v>
      </c>
      <c r="C88" s="632" t="s">
        <v>555</v>
      </c>
      <c r="D88" s="633" t="s">
        <v>1980</v>
      </c>
      <c r="E88" s="632" t="s">
        <v>573</v>
      </c>
      <c r="F88" s="633" t="s">
        <v>1985</v>
      </c>
      <c r="G88" s="632" t="s">
        <v>574</v>
      </c>
      <c r="H88" s="632" t="s">
        <v>860</v>
      </c>
      <c r="I88" s="632" t="s">
        <v>861</v>
      </c>
      <c r="J88" s="632" t="s">
        <v>862</v>
      </c>
      <c r="K88" s="632" t="s">
        <v>838</v>
      </c>
      <c r="L88" s="634">
        <v>198.05941419508287</v>
      </c>
      <c r="M88" s="634">
        <v>1</v>
      </c>
      <c r="N88" s="635">
        <v>198.05941419508287</v>
      </c>
    </row>
    <row r="89" spans="1:14" ht="14.4" customHeight="1" x14ac:dyDescent="0.3">
      <c r="A89" s="630" t="s">
        <v>545</v>
      </c>
      <c r="B89" s="631" t="s">
        <v>1978</v>
      </c>
      <c r="C89" s="632" t="s">
        <v>555</v>
      </c>
      <c r="D89" s="633" t="s">
        <v>1980</v>
      </c>
      <c r="E89" s="632" t="s">
        <v>573</v>
      </c>
      <c r="F89" s="633" t="s">
        <v>1985</v>
      </c>
      <c r="G89" s="632" t="s">
        <v>574</v>
      </c>
      <c r="H89" s="632" t="s">
        <v>863</v>
      </c>
      <c r="I89" s="632" t="s">
        <v>238</v>
      </c>
      <c r="J89" s="632" t="s">
        <v>864</v>
      </c>
      <c r="K89" s="632" t="s">
        <v>865</v>
      </c>
      <c r="L89" s="634">
        <v>169.32832394109903</v>
      </c>
      <c r="M89" s="634">
        <v>30</v>
      </c>
      <c r="N89" s="635">
        <v>5079.8497182329711</v>
      </c>
    </row>
    <row r="90" spans="1:14" ht="14.4" customHeight="1" x14ac:dyDescent="0.3">
      <c r="A90" s="630" t="s">
        <v>545</v>
      </c>
      <c r="B90" s="631" t="s">
        <v>1978</v>
      </c>
      <c r="C90" s="632" t="s">
        <v>555</v>
      </c>
      <c r="D90" s="633" t="s">
        <v>1980</v>
      </c>
      <c r="E90" s="632" t="s">
        <v>573</v>
      </c>
      <c r="F90" s="633" t="s">
        <v>1985</v>
      </c>
      <c r="G90" s="632" t="s">
        <v>574</v>
      </c>
      <c r="H90" s="632" t="s">
        <v>866</v>
      </c>
      <c r="I90" s="632" t="s">
        <v>867</v>
      </c>
      <c r="J90" s="632" t="s">
        <v>868</v>
      </c>
      <c r="K90" s="632"/>
      <c r="L90" s="634">
        <v>218.17799999999997</v>
      </c>
      <c r="M90" s="634">
        <v>20</v>
      </c>
      <c r="N90" s="635">
        <v>4363.5599999999995</v>
      </c>
    </row>
    <row r="91" spans="1:14" ht="14.4" customHeight="1" x14ac:dyDescent="0.3">
      <c r="A91" s="630" t="s">
        <v>545</v>
      </c>
      <c r="B91" s="631" t="s">
        <v>1978</v>
      </c>
      <c r="C91" s="632" t="s">
        <v>555</v>
      </c>
      <c r="D91" s="633" t="s">
        <v>1980</v>
      </c>
      <c r="E91" s="632" t="s">
        <v>573</v>
      </c>
      <c r="F91" s="633" t="s">
        <v>1985</v>
      </c>
      <c r="G91" s="632" t="s">
        <v>574</v>
      </c>
      <c r="H91" s="632" t="s">
        <v>869</v>
      </c>
      <c r="I91" s="632" t="s">
        <v>238</v>
      </c>
      <c r="J91" s="632" t="s">
        <v>870</v>
      </c>
      <c r="K91" s="632"/>
      <c r="L91" s="634">
        <v>163.99499999999998</v>
      </c>
      <c r="M91" s="634">
        <v>24</v>
      </c>
      <c r="N91" s="635">
        <v>3935.8799999999992</v>
      </c>
    </row>
    <row r="92" spans="1:14" ht="14.4" customHeight="1" x14ac:dyDescent="0.3">
      <c r="A92" s="630" t="s">
        <v>545</v>
      </c>
      <c r="B92" s="631" t="s">
        <v>1978</v>
      </c>
      <c r="C92" s="632" t="s">
        <v>555</v>
      </c>
      <c r="D92" s="633" t="s">
        <v>1980</v>
      </c>
      <c r="E92" s="632" t="s">
        <v>573</v>
      </c>
      <c r="F92" s="633" t="s">
        <v>1985</v>
      </c>
      <c r="G92" s="632" t="s">
        <v>574</v>
      </c>
      <c r="H92" s="632" t="s">
        <v>871</v>
      </c>
      <c r="I92" s="632" t="s">
        <v>871</v>
      </c>
      <c r="J92" s="632" t="s">
        <v>576</v>
      </c>
      <c r="K92" s="632" t="s">
        <v>872</v>
      </c>
      <c r="L92" s="634">
        <v>201.25</v>
      </c>
      <c r="M92" s="634">
        <v>6</v>
      </c>
      <c r="N92" s="635">
        <v>1207.5</v>
      </c>
    </row>
    <row r="93" spans="1:14" ht="14.4" customHeight="1" x14ac:dyDescent="0.3">
      <c r="A93" s="630" t="s">
        <v>545</v>
      </c>
      <c r="B93" s="631" t="s">
        <v>1978</v>
      </c>
      <c r="C93" s="632" t="s">
        <v>555</v>
      </c>
      <c r="D93" s="633" t="s">
        <v>1980</v>
      </c>
      <c r="E93" s="632" t="s">
        <v>573</v>
      </c>
      <c r="F93" s="633" t="s">
        <v>1985</v>
      </c>
      <c r="G93" s="632" t="s">
        <v>574</v>
      </c>
      <c r="H93" s="632" t="s">
        <v>873</v>
      </c>
      <c r="I93" s="632" t="s">
        <v>874</v>
      </c>
      <c r="J93" s="632" t="s">
        <v>875</v>
      </c>
      <c r="K93" s="632" t="s">
        <v>876</v>
      </c>
      <c r="L93" s="634">
        <v>44.62497818009286</v>
      </c>
      <c r="M93" s="634">
        <v>40</v>
      </c>
      <c r="N93" s="635">
        <v>1784.9991272037144</v>
      </c>
    </row>
    <row r="94" spans="1:14" ht="14.4" customHeight="1" x14ac:dyDescent="0.3">
      <c r="A94" s="630" t="s">
        <v>545</v>
      </c>
      <c r="B94" s="631" t="s">
        <v>1978</v>
      </c>
      <c r="C94" s="632" t="s">
        <v>555</v>
      </c>
      <c r="D94" s="633" t="s">
        <v>1980</v>
      </c>
      <c r="E94" s="632" t="s">
        <v>573</v>
      </c>
      <c r="F94" s="633" t="s">
        <v>1985</v>
      </c>
      <c r="G94" s="632" t="s">
        <v>574</v>
      </c>
      <c r="H94" s="632" t="s">
        <v>877</v>
      </c>
      <c r="I94" s="632" t="s">
        <v>878</v>
      </c>
      <c r="J94" s="632" t="s">
        <v>879</v>
      </c>
      <c r="K94" s="632" t="s">
        <v>637</v>
      </c>
      <c r="L94" s="634">
        <v>121.94686979564092</v>
      </c>
      <c r="M94" s="634">
        <v>3100</v>
      </c>
      <c r="N94" s="635">
        <v>378035.29636648687</v>
      </c>
    </row>
    <row r="95" spans="1:14" ht="14.4" customHeight="1" x14ac:dyDescent="0.3">
      <c r="A95" s="630" t="s">
        <v>545</v>
      </c>
      <c r="B95" s="631" t="s">
        <v>1978</v>
      </c>
      <c r="C95" s="632" t="s">
        <v>555</v>
      </c>
      <c r="D95" s="633" t="s">
        <v>1980</v>
      </c>
      <c r="E95" s="632" t="s">
        <v>573</v>
      </c>
      <c r="F95" s="633" t="s">
        <v>1985</v>
      </c>
      <c r="G95" s="632" t="s">
        <v>574</v>
      </c>
      <c r="H95" s="632" t="s">
        <v>880</v>
      </c>
      <c r="I95" s="632" t="s">
        <v>881</v>
      </c>
      <c r="J95" s="632" t="s">
        <v>882</v>
      </c>
      <c r="K95" s="632" t="s">
        <v>883</v>
      </c>
      <c r="L95" s="634">
        <v>61.349752392858505</v>
      </c>
      <c r="M95" s="634">
        <v>99</v>
      </c>
      <c r="N95" s="635">
        <v>6073.6254868929918</v>
      </c>
    </row>
    <row r="96" spans="1:14" ht="14.4" customHeight="1" x14ac:dyDescent="0.3">
      <c r="A96" s="630" t="s">
        <v>545</v>
      </c>
      <c r="B96" s="631" t="s">
        <v>1978</v>
      </c>
      <c r="C96" s="632" t="s">
        <v>555</v>
      </c>
      <c r="D96" s="633" t="s">
        <v>1980</v>
      </c>
      <c r="E96" s="632" t="s">
        <v>573</v>
      </c>
      <c r="F96" s="633" t="s">
        <v>1985</v>
      </c>
      <c r="G96" s="632" t="s">
        <v>574</v>
      </c>
      <c r="H96" s="632" t="s">
        <v>884</v>
      </c>
      <c r="I96" s="632" t="s">
        <v>885</v>
      </c>
      <c r="J96" s="632" t="s">
        <v>886</v>
      </c>
      <c r="K96" s="632" t="s">
        <v>887</v>
      </c>
      <c r="L96" s="634">
        <v>49.014567896372156</v>
      </c>
      <c r="M96" s="634">
        <v>2</v>
      </c>
      <c r="N96" s="635">
        <v>98.029135792744313</v>
      </c>
    </row>
    <row r="97" spans="1:14" ht="14.4" customHeight="1" x14ac:dyDescent="0.3">
      <c r="A97" s="630" t="s">
        <v>545</v>
      </c>
      <c r="B97" s="631" t="s">
        <v>1978</v>
      </c>
      <c r="C97" s="632" t="s">
        <v>555</v>
      </c>
      <c r="D97" s="633" t="s">
        <v>1980</v>
      </c>
      <c r="E97" s="632" t="s">
        <v>573</v>
      </c>
      <c r="F97" s="633" t="s">
        <v>1985</v>
      </c>
      <c r="G97" s="632" t="s">
        <v>574</v>
      </c>
      <c r="H97" s="632" t="s">
        <v>888</v>
      </c>
      <c r="I97" s="632" t="s">
        <v>889</v>
      </c>
      <c r="J97" s="632" t="s">
        <v>890</v>
      </c>
      <c r="K97" s="632" t="s">
        <v>891</v>
      </c>
      <c r="L97" s="634">
        <v>57.719808140277003</v>
      </c>
      <c r="M97" s="634">
        <v>2</v>
      </c>
      <c r="N97" s="635">
        <v>115.43961628055401</v>
      </c>
    </row>
    <row r="98" spans="1:14" ht="14.4" customHeight="1" x14ac:dyDescent="0.3">
      <c r="A98" s="630" t="s">
        <v>545</v>
      </c>
      <c r="B98" s="631" t="s">
        <v>1978</v>
      </c>
      <c r="C98" s="632" t="s">
        <v>555</v>
      </c>
      <c r="D98" s="633" t="s">
        <v>1980</v>
      </c>
      <c r="E98" s="632" t="s">
        <v>573</v>
      </c>
      <c r="F98" s="633" t="s">
        <v>1985</v>
      </c>
      <c r="G98" s="632" t="s">
        <v>574</v>
      </c>
      <c r="H98" s="632" t="s">
        <v>892</v>
      </c>
      <c r="I98" s="632" t="s">
        <v>893</v>
      </c>
      <c r="J98" s="632" t="s">
        <v>894</v>
      </c>
      <c r="K98" s="632" t="s">
        <v>895</v>
      </c>
      <c r="L98" s="634">
        <v>39.76</v>
      </c>
      <c r="M98" s="634">
        <v>1</v>
      </c>
      <c r="N98" s="635">
        <v>39.76</v>
      </c>
    </row>
    <row r="99" spans="1:14" ht="14.4" customHeight="1" x14ac:dyDescent="0.3">
      <c r="A99" s="630" t="s">
        <v>545</v>
      </c>
      <c r="B99" s="631" t="s">
        <v>1978</v>
      </c>
      <c r="C99" s="632" t="s">
        <v>555</v>
      </c>
      <c r="D99" s="633" t="s">
        <v>1980</v>
      </c>
      <c r="E99" s="632" t="s">
        <v>573</v>
      </c>
      <c r="F99" s="633" t="s">
        <v>1985</v>
      </c>
      <c r="G99" s="632" t="s">
        <v>574</v>
      </c>
      <c r="H99" s="632" t="s">
        <v>896</v>
      </c>
      <c r="I99" s="632" t="s">
        <v>897</v>
      </c>
      <c r="J99" s="632" t="s">
        <v>898</v>
      </c>
      <c r="K99" s="632" t="s">
        <v>899</v>
      </c>
      <c r="L99" s="634">
        <v>375.47333333333336</v>
      </c>
      <c r="M99" s="634">
        <v>3</v>
      </c>
      <c r="N99" s="635">
        <v>1126.42</v>
      </c>
    </row>
    <row r="100" spans="1:14" ht="14.4" customHeight="1" x14ac:dyDescent="0.3">
      <c r="A100" s="630" t="s">
        <v>545</v>
      </c>
      <c r="B100" s="631" t="s">
        <v>1978</v>
      </c>
      <c r="C100" s="632" t="s">
        <v>555</v>
      </c>
      <c r="D100" s="633" t="s">
        <v>1980</v>
      </c>
      <c r="E100" s="632" t="s">
        <v>573</v>
      </c>
      <c r="F100" s="633" t="s">
        <v>1985</v>
      </c>
      <c r="G100" s="632" t="s">
        <v>574</v>
      </c>
      <c r="H100" s="632" t="s">
        <v>900</v>
      </c>
      <c r="I100" s="632" t="s">
        <v>901</v>
      </c>
      <c r="J100" s="632" t="s">
        <v>902</v>
      </c>
      <c r="K100" s="632" t="s">
        <v>903</v>
      </c>
      <c r="L100" s="634">
        <v>707</v>
      </c>
      <c r="M100" s="634">
        <v>1</v>
      </c>
      <c r="N100" s="635">
        <v>707</v>
      </c>
    </row>
    <row r="101" spans="1:14" ht="14.4" customHeight="1" x14ac:dyDescent="0.3">
      <c r="A101" s="630" t="s">
        <v>545</v>
      </c>
      <c r="B101" s="631" t="s">
        <v>1978</v>
      </c>
      <c r="C101" s="632" t="s">
        <v>555</v>
      </c>
      <c r="D101" s="633" t="s">
        <v>1980</v>
      </c>
      <c r="E101" s="632" t="s">
        <v>573</v>
      </c>
      <c r="F101" s="633" t="s">
        <v>1985</v>
      </c>
      <c r="G101" s="632" t="s">
        <v>574</v>
      </c>
      <c r="H101" s="632" t="s">
        <v>904</v>
      </c>
      <c r="I101" s="632" t="s">
        <v>905</v>
      </c>
      <c r="J101" s="632" t="s">
        <v>906</v>
      </c>
      <c r="K101" s="632" t="s">
        <v>907</v>
      </c>
      <c r="L101" s="634">
        <v>119.56989973862743</v>
      </c>
      <c r="M101" s="634">
        <v>4</v>
      </c>
      <c r="N101" s="635">
        <v>478.27959895450971</v>
      </c>
    </row>
    <row r="102" spans="1:14" ht="14.4" customHeight="1" x14ac:dyDescent="0.3">
      <c r="A102" s="630" t="s">
        <v>545</v>
      </c>
      <c r="B102" s="631" t="s">
        <v>1978</v>
      </c>
      <c r="C102" s="632" t="s">
        <v>555</v>
      </c>
      <c r="D102" s="633" t="s">
        <v>1980</v>
      </c>
      <c r="E102" s="632" t="s">
        <v>573</v>
      </c>
      <c r="F102" s="633" t="s">
        <v>1985</v>
      </c>
      <c r="G102" s="632" t="s">
        <v>574</v>
      </c>
      <c r="H102" s="632" t="s">
        <v>908</v>
      </c>
      <c r="I102" s="632" t="s">
        <v>909</v>
      </c>
      <c r="J102" s="632" t="s">
        <v>910</v>
      </c>
      <c r="K102" s="632" t="s">
        <v>911</v>
      </c>
      <c r="L102" s="634">
        <v>78.758440484151251</v>
      </c>
      <c r="M102" s="634">
        <v>81</v>
      </c>
      <c r="N102" s="635">
        <v>6379.4336792162512</v>
      </c>
    </row>
    <row r="103" spans="1:14" ht="14.4" customHeight="1" x14ac:dyDescent="0.3">
      <c r="A103" s="630" t="s">
        <v>545</v>
      </c>
      <c r="B103" s="631" t="s">
        <v>1978</v>
      </c>
      <c r="C103" s="632" t="s">
        <v>555</v>
      </c>
      <c r="D103" s="633" t="s">
        <v>1980</v>
      </c>
      <c r="E103" s="632" t="s">
        <v>573</v>
      </c>
      <c r="F103" s="633" t="s">
        <v>1985</v>
      </c>
      <c r="G103" s="632" t="s">
        <v>574</v>
      </c>
      <c r="H103" s="632" t="s">
        <v>912</v>
      </c>
      <c r="I103" s="632" t="s">
        <v>913</v>
      </c>
      <c r="J103" s="632" t="s">
        <v>914</v>
      </c>
      <c r="K103" s="632" t="s">
        <v>915</v>
      </c>
      <c r="L103" s="634">
        <v>42.290000000000013</v>
      </c>
      <c r="M103" s="634">
        <v>1</v>
      </c>
      <c r="N103" s="635">
        <v>42.290000000000013</v>
      </c>
    </row>
    <row r="104" spans="1:14" ht="14.4" customHeight="1" x14ac:dyDescent="0.3">
      <c r="A104" s="630" t="s">
        <v>545</v>
      </c>
      <c r="B104" s="631" t="s">
        <v>1978</v>
      </c>
      <c r="C104" s="632" t="s">
        <v>555</v>
      </c>
      <c r="D104" s="633" t="s">
        <v>1980</v>
      </c>
      <c r="E104" s="632" t="s">
        <v>573</v>
      </c>
      <c r="F104" s="633" t="s">
        <v>1985</v>
      </c>
      <c r="G104" s="632" t="s">
        <v>574</v>
      </c>
      <c r="H104" s="632" t="s">
        <v>916</v>
      </c>
      <c r="I104" s="632" t="s">
        <v>917</v>
      </c>
      <c r="J104" s="632" t="s">
        <v>918</v>
      </c>
      <c r="K104" s="632" t="s">
        <v>919</v>
      </c>
      <c r="L104" s="634">
        <v>260</v>
      </c>
      <c r="M104" s="634">
        <v>31</v>
      </c>
      <c r="N104" s="635">
        <v>8060</v>
      </c>
    </row>
    <row r="105" spans="1:14" ht="14.4" customHeight="1" x14ac:dyDescent="0.3">
      <c r="A105" s="630" t="s">
        <v>545</v>
      </c>
      <c r="B105" s="631" t="s">
        <v>1978</v>
      </c>
      <c r="C105" s="632" t="s">
        <v>555</v>
      </c>
      <c r="D105" s="633" t="s">
        <v>1980</v>
      </c>
      <c r="E105" s="632" t="s">
        <v>573</v>
      </c>
      <c r="F105" s="633" t="s">
        <v>1985</v>
      </c>
      <c r="G105" s="632" t="s">
        <v>574</v>
      </c>
      <c r="H105" s="632" t="s">
        <v>920</v>
      </c>
      <c r="I105" s="632" t="s">
        <v>921</v>
      </c>
      <c r="J105" s="632" t="s">
        <v>922</v>
      </c>
      <c r="K105" s="632" t="s">
        <v>923</v>
      </c>
      <c r="L105" s="634">
        <v>1713.5</v>
      </c>
      <c r="M105" s="634">
        <v>45</v>
      </c>
      <c r="N105" s="635">
        <v>77107.5</v>
      </c>
    </row>
    <row r="106" spans="1:14" ht="14.4" customHeight="1" x14ac:dyDescent="0.3">
      <c r="A106" s="630" t="s">
        <v>545</v>
      </c>
      <c r="B106" s="631" t="s">
        <v>1978</v>
      </c>
      <c r="C106" s="632" t="s">
        <v>555</v>
      </c>
      <c r="D106" s="633" t="s">
        <v>1980</v>
      </c>
      <c r="E106" s="632" t="s">
        <v>573</v>
      </c>
      <c r="F106" s="633" t="s">
        <v>1985</v>
      </c>
      <c r="G106" s="632" t="s">
        <v>574</v>
      </c>
      <c r="H106" s="632" t="s">
        <v>924</v>
      </c>
      <c r="I106" s="632" t="s">
        <v>925</v>
      </c>
      <c r="J106" s="632" t="s">
        <v>926</v>
      </c>
      <c r="K106" s="632" t="s">
        <v>927</v>
      </c>
      <c r="L106" s="634">
        <v>1121.3064806606155</v>
      </c>
      <c r="M106" s="634">
        <v>2</v>
      </c>
      <c r="N106" s="635">
        <v>2242.6129613212311</v>
      </c>
    </row>
    <row r="107" spans="1:14" ht="14.4" customHeight="1" x14ac:dyDescent="0.3">
      <c r="A107" s="630" t="s">
        <v>545</v>
      </c>
      <c r="B107" s="631" t="s">
        <v>1978</v>
      </c>
      <c r="C107" s="632" t="s">
        <v>555</v>
      </c>
      <c r="D107" s="633" t="s">
        <v>1980</v>
      </c>
      <c r="E107" s="632" t="s">
        <v>573</v>
      </c>
      <c r="F107" s="633" t="s">
        <v>1985</v>
      </c>
      <c r="G107" s="632" t="s">
        <v>574</v>
      </c>
      <c r="H107" s="632" t="s">
        <v>928</v>
      </c>
      <c r="I107" s="632" t="s">
        <v>929</v>
      </c>
      <c r="J107" s="632" t="s">
        <v>930</v>
      </c>
      <c r="K107" s="632" t="s">
        <v>931</v>
      </c>
      <c r="L107" s="634">
        <v>197.47</v>
      </c>
      <c r="M107" s="634">
        <v>3</v>
      </c>
      <c r="N107" s="635">
        <v>592.41</v>
      </c>
    </row>
    <row r="108" spans="1:14" ht="14.4" customHeight="1" x14ac:dyDescent="0.3">
      <c r="A108" s="630" t="s">
        <v>545</v>
      </c>
      <c r="B108" s="631" t="s">
        <v>1978</v>
      </c>
      <c r="C108" s="632" t="s">
        <v>555</v>
      </c>
      <c r="D108" s="633" t="s">
        <v>1980</v>
      </c>
      <c r="E108" s="632" t="s">
        <v>573</v>
      </c>
      <c r="F108" s="633" t="s">
        <v>1985</v>
      </c>
      <c r="G108" s="632" t="s">
        <v>574</v>
      </c>
      <c r="H108" s="632" t="s">
        <v>932</v>
      </c>
      <c r="I108" s="632" t="s">
        <v>933</v>
      </c>
      <c r="J108" s="632" t="s">
        <v>754</v>
      </c>
      <c r="K108" s="632" t="s">
        <v>934</v>
      </c>
      <c r="L108" s="634">
        <v>102.32</v>
      </c>
      <c r="M108" s="634">
        <v>3</v>
      </c>
      <c r="N108" s="635">
        <v>306.95999999999998</v>
      </c>
    </row>
    <row r="109" spans="1:14" ht="14.4" customHeight="1" x14ac:dyDescent="0.3">
      <c r="A109" s="630" t="s">
        <v>545</v>
      </c>
      <c r="B109" s="631" t="s">
        <v>1978</v>
      </c>
      <c r="C109" s="632" t="s">
        <v>555</v>
      </c>
      <c r="D109" s="633" t="s">
        <v>1980</v>
      </c>
      <c r="E109" s="632" t="s">
        <v>573</v>
      </c>
      <c r="F109" s="633" t="s">
        <v>1985</v>
      </c>
      <c r="G109" s="632" t="s">
        <v>574</v>
      </c>
      <c r="H109" s="632" t="s">
        <v>935</v>
      </c>
      <c r="I109" s="632" t="s">
        <v>936</v>
      </c>
      <c r="J109" s="632" t="s">
        <v>937</v>
      </c>
      <c r="K109" s="632" t="s">
        <v>938</v>
      </c>
      <c r="L109" s="634">
        <v>841.49000000000035</v>
      </c>
      <c r="M109" s="634">
        <v>10</v>
      </c>
      <c r="N109" s="635">
        <v>8414.9000000000033</v>
      </c>
    </row>
    <row r="110" spans="1:14" ht="14.4" customHeight="1" x14ac:dyDescent="0.3">
      <c r="A110" s="630" t="s">
        <v>545</v>
      </c>
      <c r="B110" s="631" t="s">
        <v>1978</v>
      </c>
      <c r="C110" s="632" t="s">
        <v>555</v>
      </c>
      <c r="D110" s="633" t="s">
        <v>1980</v>
      </c>
      <c r="E110" s="632" t="s">
        <v>573</v>
      </c>
      <c r="F110" s="633" t="s">
        <v>1985</v>
      </c>
      <c r="G110" s="632" t="s">
        <v>574</v>
      </c>
      <c r="H110" s="632" t="s">
        <v>939</v>
      </c>
      <c r="I110" s="632" t="s">
        <v>940</v>
      </c>
      <c r="J110" s="632" t="s">
        <v>941</v>
      </c>
      <c r="K110" s="632" t="s">
        <v>942</v>
      </c>
      <c r="L110" s="634">
        <v>67.410000000000011</v>
      </c>
      <c r="M110" s="634">
        <v>1</v>
      </c>
      <c r="N110" s="635">
        <v>67.410000000000011</v>
      </c>
    </row>
    <row r="111" spans="1:14" ht="14.4" customHeight="1" x14ac:dyDescent="0.3">
      <c r="A111" s="630" t="s">
        <v>545</v>
      </c>
      <c r="B111" s="631" t="s">
        <v>1978</v>
      </c>
      <c r="C111" s="632" t="s">
        <v>555</v>
      </c>
      <c r="D111" s="633" t="s">
        <v>1980</v>
      </c>
      <c r="E111" s="632" t="s">
        <v>573</v>
      </c>
      <c r="F111" s="633" t="s">
        <v>1985</v>
      </c>
      <c r="G111" s="632" t="s">
        <v>574</v>
      </c>
      <c r="H111" s="632" t="s">
        <v>943</v>
      </c>
      <c r="I111" s="632" t="s">
        <v>944</v>
      </c>
      <c r="J111" s="632" t="s">
        <v>622</v>
      </c>
      <c r="K111" s="632" t="s">
        <v>945</v>
      </c>
      <c r="L111" s="634">
        <v>342.8477401669137</v>
      </c>
      <c r="M111" s="634">
        <v>20</v>
      </c>
      <c r="N111" s="635">
        <v>6856.9548033382744</v>
      </c>
    </row>
    <row r="112" spans="1:14" ht="14.4" customHeight="1" x14ac:dyDescent="0.3">
      <c r="A112" s="630" t="s">
        <v>545</v>
      </c>
      <c r="B112" s="631" t="s">
        <v>1978</v>
      </c>
      <c r="C112" s="632" t="s">
        <v>555</v>
      </c>
      <c r="D112" s="633" t="s">
        <v>1980</v>
      </c>
      <c r="E112" s="632" t="s">
        <v>573</v>
      </c>
      <c r="F112" s="633" t="s">
        <v>1985</v>
      </c>
      <c r="G112" s="632" t="s">
        <v>574</v>
      </c>
      <c r="H112" s="632" t="s">
        <v>946</v>
      </c>
      <c r="I112" s="632" t="s">
        <v>947</v>
      </c>
      <c r="J112" s="632" t="s">
        <v>948</v>
      </c>
      <c r="K112" s="632" t="s">
        <v>949</v>
      </c>
      <c r="L112" s="634">
        <v>592.20000000000016</v>
      </c>
      <c r="M112" s="634">
        <v>1</v>
      </c>
      <c r="N112" s="635">
        <v>592.20000000000016</v>
      </c>
    </row>
    <row r="113" spans="1:14" ht="14.4" customHeight="1" x14ac:dyDescent="0.3">
      <c r="A113" s="630" t="s">
        <v>545</v>
      </c>
      <c r="B113" s="631" t="s">
        <v>1978</v>
      </c>
      <c r="C113" s="632" t="s">
        <v>555</v>
      </c>
      <c r="D113" s="633" t="s">
        <v>1980</v>
      </c>
      <c r="E113" s="632" t="s">
        <v>573</v>
      </c>
      <c r="F113" s="633" t="s">
        <v>1985</v>
      </c>
      <c r="G113" s="632" t="s">
        <v>574</v>
      </c>
      <c r="H113" s="632" t="s">
        <v>950</v>
      </c>
      <c r="I113" s="632" t="s">
        <v>951</v>
      </c>
      <c r="J113" s="632" t="s">
        <v>952</v>
      </c>
      <c r="K113" s="632" t="s">
        <v>953</v>
      </c>
      <c r="L113" s="634">
        <v>71.97999999999999</v>
      </c>
      <c r="M113" s="634">
        <v>10</v>
      </c>
      <c r="N113" s="635">
        <v>719.8</v>
      </c>
    </row>
    <row r="114" spans="1:14" ht="14.4" customHeight="1" x14ac:dyDescent="0.3">
      <c r="A114" s="630" t="s">
        <v>545</v>
      </c>
      <c r="B114" s="631" t="s">
        <v>1978</v>
      </c>
      <c r="C114" s="632" t="s">
        <v>555</v>
      </c>
      <c r="D114" s="633" t="s">
        <v>1980</v>
      </c>
      <c r="E114" s="632" t="s">
        <v>573</v>
      </c>
      <c r="F114" s="633" t="s">
        <v>1985</v>
      </c>
      <c r="G114" s="632" t="s">
        <v>574</v>
      </c>
      <c r="H114" s="632" t="s">
        <v>954</v>
      </c>
      <c r="I114" s="632" t="s">
        <v>955</v>
      </c>
      <c r="J114" s="632" t="s">
        <v>956</v>
      </c>
      <c r="K114" s="632" t="s">
        <v>957</v>
      </c>
      <c r="L114" s="634">
        <v>37.700902294100494</v>
      </c>
      <c r="M114" s="634">
        <v>25</v>
      </c>
      <c r="N114" s="635">
        <v>942.52255735251231</v>
      </c>
    </row>
    <row r="115" spans="1:14" ht="14.4" customHeight="1" x14ac:dyDescent="0.3">
      <c r="A115" s="630" t="s">
        <v>545</v>
      </c>
      <c r="B115" s="631" t="s">
        <v>1978</v>
      </c>
      <c r="C115" s="632" t="s">
        <v>555</v>
      </c>
      <c r="D115" s="633" t="s">
        <v>1980</v>
      </c>
      <c r="E115" s="632" t="s">
        <v>573</v>
      </c>
      <c r="F115" s="633" t="s">
        <v>1985</v>
      </c>
      <c r="G115" s="632" t="s">
        <v>574</v>
      </c>
      <c r="H115" s="632" t="s">
        <v>958</v>
      </c>
      <c r="I115" s="632" t="s">
        <v>238</v>
      </c>
      <c r="J115" s="632" t="s">
        <v>959</v>
      </c>
      <c r="K115" s="632"/>
      <c r="L115" s="634">
        <v>102.62277765649748</v>
      </c>
      <c r="M115" s="634">
        <v>1</v>
      </c>
      <c r="N115" s="635">
        <v>102.62277765649748</v>
      </c>
    </row>
    <row r="116" spans="1:14" ht="14.4" customHeight="1" x14ac:dyDescent="0.3">
      <c r="A116" s="630" t="s">
        <v>545</v>
      </c>
      <c r="B116" s="631" t="s">
        <v>1978</v>
      </c>
      <c r="C116" s="632" t="s">
        <v>555</v>
      </c>
      <c r="D116" s="633" t="s">
        <v>1980</v>
      </c>
      <c r="E116" s="632" t="s">
        <v>573</v>
      </c>
      <c r="F116" s="633" t="s">
        <v>1985</v>
      </c>
      <c r="G116" s="632" t="s">
        <v>574</v>
      </c>
      <c r="H116" s="632" t="s">
        <v>960</v>
      </c>
      <c r="I116" s="632" t="s">
        <v>238</v>
      </c>
      <c r="J116" s="632" t="s">
        <v>961</v>
      </c>
      <c r="K116" s="632"/>
      <c r="L116" s="634">
        <v>115.1918463265327</v>
      </c>
      <c r="M116" s="634">
        <v>47</v>
      </c>
      <c r="N116" s="635">
        <v>5414.0167773470366</v>
      </c>
    </row>
    <row r="117" spans="1:14" ht="14.4" customHeight="1" x14ac:dyDescent="0.3">
      <c r="A117" s="630" t="s">
        <v>545</v>
      </c>
      <c r="B117" s="631" t="s">
        <v>1978</v>
      </c>
      <c r="C117" s="632" t="s">
        <v>555</v>
      </c>
      <c r="D117" s="633" t="s">
        <v>1980</v>
      </c>
      <c r="E117" s="632" t="s">
        <v>573</v>
      </c>
      <c r="F117" s="633" t="s">
        <v>1985</v>
      </c>
      <c r="G117" s="632" t="s">
        <v>574</v>
      </c>
      <c r="H117" s="632" t="s">
        <v>962</v>
      </c>
      <c r="I117" s="632" t="s">
        <v>238</v>
      </c>
      <c r="J117" s="632" t="s">
        <v>963</v>
      </c>
      <c r="K117" s="632"/>
      <c r="L117" s="634">
        <v>199.35</v>
      </c>
      <c r="M117" s="634">
        <v>2</v>
      </c>
      <c r="N117" s="635">
        <v>398.7</v>
      </c>
    </row>
    <row r="118" spans="1:14" ht="14.4" customHeight="1" x14ac:dyDescent="0.3">
      <c r="A118" s="630" t="s">
        <v>545</v>
      </c>
      <c r="B118" s="631" t="s">
        <v>1978</v>
      </c>
      <c r="C118" s="632" t="s">
        <v>555</v>
      </c>
      <c r="D118" s="633" t="s">
        <v>1980</v>
      </c>
      <c r="E118" s="632" t="s">
        <v>573</v>
      </c>
      <c r="F118" s="633" t="s">
        <v>1985</v>
      </c>
      <c r="G118" s="632" t="s">
        <v>574</v>
      </c>
      <c r="H118" s="632" t="s">
        <v>964</v>
      </c>
      <c r="I118" s="632" t="s">
        <v>238</v>
      </c>
      <c r="J118" s="632" t="s">
        <v>965</v>
      </c>
      <c r="K118" s="632"/>
      <c r="L118" s="634">
        <v>114.21000000000002</v>
      </c>
      <c r="M118" s="634">
        <v>6</v>
      </c>
      <c r="N118" s="635">
        <v>685.2600000000001</v>
      </c>
    </row>
    <row r="119" spans="1:14" ht="14.4" customHeight="1" x14ac:dyDescent="0.3">
      <c r="A119" s="630" t="s">
        <v>545</v>
      </c>
      <c r="B119" s="631" t="s">
        <v>1978</v>
      </c>
      <c r="C119" s="632" t="s">
        <v>555</v>
      </c>
      <c r="D119" s="633" t="s">
        <v>1980</v>
      </c>
      <c r="E119" s="632" t="s">
        <v>573</v>
      </c>
      <c r="F119" s="633" t="s">
        <v>1985</v>
      </c>
      <c r="G119" s="632" t="s">
        <v>574</v>
      </c>
      <c r="H119" s="632" t="s">
        <v>966</v>
      </c>
      <c r="I119" s="632" t="s">
        <v>967</v>
      </c>
      <c r="J119" s="632" t="s">
        <v>968</v>
      </c>
      <c r="K119" s="632" t="s">
        <v>969</v>
      </c>
      <c r="L119" s="634">
        <v>178.03922711676199</v>
      </c>
      <c r="M119" s="634">
        <v>4</v>
      </c>
      <c r="N119" s="635">
        <v>712.15690846704797</v>
      </c>
    </row>
    <row r="120" spans="1:14" ht="14.4" customHeight="1" x14ac:dyDescent="0.3">
      <c r="A120" s="630" t="s">
        <v>545</v>
      </c>
      <c r="B120" s="631" t="s">
        <v>1978</v>
      </c>
      <c r="C120" s="632" t="s">
        <v>555</v>
      </c>
      <c r="D120" s="633" t="s">
        <v>1980</v>
      </c>
      <c r="E120" s="632" t="s">
        <v>573</v>
      </c>
      <c r="F120" s="633" t="s">
        <v>1985</v>
      </c>
      <c r="G120" s="632" t="s">
        <v>574</v>
      </c>
      <c r="H120" s="632" t="s">
        <v>970</v>
      </c>
      <c r="I120" s="632" t="s">
        <v>238</v>
      </c>
      <c r="J120" s="632" t="s">
        <v>971</v>
      </c>
      <c r="K120" s="632"/>
      <c r="L120" s="634">
        <v>64.650000000000006</v>
      </c>
      <c r="M120" s="634">
        <v>16</v>
      </c>
      <c r="N120" s="635">
        <v>1034.4000000000001</v>
      </c>
    </row>
    <row r="121" spans="1:14" ht="14.4" customHeight="1" x14ac:dyDescent="0.3">
      <c r="A121" s="630" t="s">
        <v>545</v>
      </c>
      <c r="B121" s="631" t="s">
        <v>1978</v>
      </c>
      <c r="C121" s="632" t="s">
        <v>555</v>
      </c>
      <c r="D121" s="633" t="s">
        <v>1980</v>
      </c>
      <c r="E121" s="632" t="s">
        <v>573</v>
      </c>
      <c r="F121" s="633" t="s">
        <v>1985</v>
      </c>
      <c r="G121" s="632" t="s">
        <v>574</v>
      </c>
      <c r="H121" s="632" t="s">
        <v>972</v>
      </c>
      <c r="I121" s="632" t="s">
        <v>238</v>
      </c>
      <c r="J121" s="632" t="s">
        <v>973</v>
      </c>
      <c r="K121" s="632"/>
      <c r="L121" s="634">
        <v>73.211454545454544</v>
      </c>
      <c r="M121" s="634">
        <v>11</v>
      </c>
      <c r="N121" s="635">
        <v>805.32600000000002</v>
      </c>
    </row>
    <row r="122" spans="1:14" ht="14.4" customHeight="1" x14ac:dyDescent="0.3">
      <c r="A122" s="630" t="s">
        <v>545</v>
      </c>
      <c r="B122" s="631" t="s">
        <v>1978</v>
      </c>
      <c r="C122" s="632" t="s">
        <v>555</v>
      </c>
      <c r="D122" s="633" t="s">
        <v>1980</v>
      </c>
      <c r="E122" s="632" t="s">
        <v>573</v>
      </c>
      <c r="F122" s="633" t="s">
        <v>1985</v>
      </c>
      <c r="G122" s="632" t="s">
        <v>574</v>
      </c>
      <c r="H122" s="632" t="s">
        <v>974</v>
      </c>
      <c r="I122" s="632" t="s">
        <v>975</v>
      </c>
      <c r="J122" s="632" t="s">
        <v>976</v>
      </c>
      <c r="K122" s="632"/>
      <c r="L122" s="634">
        <v>50.80558017387871</v>
      </c>
      <c r="M122" s="634">
        <v>1</v>
      </c>
      <c r="N122" s="635">
        <v>50.80558017387871</v>
      </c>
    </row>
    <row r="123" spans="1:14" ht="14.4" customHeight="1" x14ac:dyDescent="0.3">
      <c r="A123" s="630" t="s">
        <v>545</v>
      </c>
      <c r="B123" s="631" t="s">
        <v>1978</v>
      </c>
      <c r="C123" s="632" t="s">
        <v>555</v>
      </c>
      <c r="D123" s="633" t="s">
        <v>1980</v>
      </c>
      <c r="E123" s="632" t="s">
        <v>573</v>
      </c>
      <c r="F123" s="633" t="s">
        <v>1985</v>
      </c>
      <c r="G123" s="632" t="s">
        <v>574</v>
      </c>
      <c r="H123" s="632" t="s">
        <v>977</v>
      </c>
      <c r="I123" s="632" t="s">
        <v>978</v>
      </c>
      <c r="J123" s="632" t="s">
        <v>643</v>
      </c>
      <c r="K123" s="632" t="s">
        <v>979</v>
      </c>
      <c r="L123" s="634">
        <v>49.519935103795724</v>
      </c>
      <c r="M123" s="634">
        <v>15</v>
      </c>
      <c r="N123" s="635">
        <v>742.79902655693581</v>
      </c>
    </row>
    <row r="124" spans="1:14" ht="14.4" customHeight="1" x14ac:dyDescent="0.3">
      <c r="A124" s="630" t="s">
        <v>545</v>
      </c>
      <c r="B124" s="631" t="s">
        <v>1978</v>
      </c>
      <c r="C124" s="632" t="s">
        <v>555</v>
      </c>
      <c r="D124" s="633" t="s">
        <v>1980</v>
      </c>
      <c r="E124" s="632" t="s">
        <v>573</v>
      </c>
      <c r="F124" s="633" t="s">
        <v>1985</v>
      </c>
      <c r="G124" s="632" t="s">
        <v>574</v>
      </c>
      <c r="H124" s="632" t="s">
        <v>980</v>
      </c>
      <c r="I124" s="632" t="s">
        <v>981</v>
      </c>
      <c r="J124" s="632" t="s">
        <v>982</v>
      </c>
      <c r="K124" s="632" t="s">
        <v>983</v>
      </c>
      <c r="L124" s="634">
        <v>147.92000000000004</v>
      </c>
      <c r="M124" s="634">
        <v>1</v>
      </c>
      <c r="N124" s="635">
        <v>147.92000000000004</v>
      </c>
    </row>
    <row r="125" spans="1:14" ht="14.4" customHeight="1" x14ac:dyDescent="0.3">
      <c r="A125" s="630" t="s">
        <v>545</v>
      </c>
      <c r="B125" s="631" t="s">
        <v>1978</v>
      </c>
      <c r="C125" s="632" t="s">
        <v>555</v>
      </c>
      <c r="D125" s="633" t="s">
        <v>1980</v>
      </c>
      <c r="E125" s="632" t="s">
        <v>573</v>
      </c>
      <c r="F125" s="633" t="s">
        <v>1985</v>
      </c>
      <c r="G125" s="632" t="s">
        <v>574</v>
      </c>
      <c r="H125" s="632" t="s">
        <v>984</v>
      </c>
      <c r="I125" s="632" t="s">
        <v>985</v>
      </c>
      <c r="J125" s="632" t="s">
        <v>986</v>
      </c>
      <c r="K125" s="632" t="s">
        <v>987</v>
      </c>
      <c r="L125" s="634">
        <v>307.55933415393525</v>
      </c>
      <c r="M125" s="634">
        <v>1</v>
      </c>
      <c r="N125" s="635">
        <v>307.55933415393525</v>
      </c>
    </row>
    <row r="126" spans="1:14" ht="14.4" customHeight="1" x14ac:dyDescent="0.3">
      <c r="A126" s="630" t="s">
        <v>545</v>
      </c>
      <c r="B126" s="631" t="s">
        <v>1978</v>
      </c>
      <c r="C126" s="632" t="s">
        <v>555</v>
      </c>
      <c r="D126" s="633" t="s">
        <v>1980</v>
      </c>
      <c r="E126" s="632" t="s">
        <v>573</v>
      </c>
      <c r="F126" s="633" t="s">
        <v>1985</v>
      </c>
      <c r="G126" s="632" t="s">
        <v>574</v>
      </c>
      <c r="H126" s="632" t="s">
        <v>988</v>
      </c>
      <c r="I126" s="632" t="s">
        <v>989</v>
      </c>
      <c r="J126" s="632" t="s">
        <v>990</v>
      </c>
      <c r="K126" s="632" t="s">
        <v>991</v>
      </c>
      <c r="L126" s="634">
        <v>46.419935289279692</v>
      </c>
      <c r="M126" s="634">
        <v>3</v>
      </c>
      <c r="N126" s="635">
        <v>139.25980586783908</v>
      </c>
    </row>
    <row r="127" spans="1:14" ht="14.4" customHeight="1" x14ac:dyDescent="0.3">
      <c r="A127" s="630" t="s">
        <v>545</v>
      </c>
      <c r="B127" s="631" t="s">
        <v>1978</v>
      </c>
      <c r="C127" s="632" t="s">
        <v>555</v>
      </c>
      <c r="D127" s="633" t="s">
        <v>1980</v>
      </c>
      <c r="E127" s="632" t="s">
        <v>573</v>
      </c>
      <c r="F127" s="633" t="s">
        <v>1985</v>
      </c>
      <c r="G127" s="632" t="s">
        <v>574</v>
      </c>
      <c r="H127" s="632" t="s">
        <v>992</v>
      </c>
      <c r="I127" s="632" t="s">
        <v>992</v>
      </c>
      <c r="J127" s="632" t="s">
        <v>993</v>
      </c>
      <c r="K127" s="632" t="s">
        <v>628</v>
      </c>
      <c r="L127" s="634">
        <v>301.64999999999998</v>
      </c>
      <c r="M127" s="634">
        <v>36</v>
      </c>
      <c r="N127" s="635">
        <v>10859.4</v>
      </c>
    </row>
    <row r="128" spans="1:14" ht="14.4" customHeight="1" x14ac:dyDescent="0.3">
      <c r="A128" s="630" t="s">
        <v>545</v>
      </c>
      <c r="B128" s="631" t="s">
        <v>1978</v>
      </c>
      <c r="C128" s="632" t="s">
        <v>555</v>
      </c>
      <c r="D128" s="633" t="s">
        <v>1980</v>
      </c>
      <c r="E128" s="632" t="s">
        <v>573</v>
      </c>
      <c r="F128" s="633" t="s">
        <v>1985</v>
      </c>
      <c r="G128" s="632" t="s">
        <v>574</v>
      </c>
      <c r="H128" s="632" t="s">
        <v>994</v>
      </c>
      <c r="I128" s="632" t="s">
        <v>994</v>
      </c>
      <c r="J128" s="632" t="s">
        <v>995</v>
      </c>
      <c r="K128" s="632" t="s">
        <v>996</v>
      </c>
      <c r="L128" s="634">
        <v>266.44032855776828</v>
      </c>
      <c r="M128" s="634">
        <v>1</v>
      </c>
      <c r="N128" s="635">
        <v>266.44032855776828</v>
      </c>
    </row>
    <row r="129" spans="1:14" ht="14.4" customHeight="1" x14ac:dyDescent="0.3">
      <c r="A129" s="630" t="s">
        <v>545</v>
      </c>
      <c r="B129" s="631" t="s">
        <v>1978</v>
      </c>
      <c r="C129" s="632" t="s">
        <v>555</v>
      </c>
      <c r="D129" s="633" t="s">
        <v>1980</v>
      </c>
      <c r="E129" s="632" t="s">
        <v>573</v>
      </c>
      <c r="F129" s="633" t="s">
        <v>1985</v>
      </c>
      <c r="G129" s="632" t="s">
        <v>574</v>
      </c>
      <c r="H129" s="632" t="s">
        <v>997</v>
      </c>
      <c r="I129" s="632" t="s">
        <v>998</v>
      </c>
      <c r="J129" s="632" t="s">
        <v>999</v>
      </c>
      <c r="K129" s="632" t="s">
        <v>583</v>
      </c>
      <c r="L129" s="634">
        <v>72.715130751164949</v>
      </c>
      <c r="M129" s="634">
        <v>190</v>
      </c>
      <c r="N129" s="635">
        <v>13815.87484272134</v>
      </c>
    </row>
    <row r="130" spans="1:14" ht="14.4" customHeight="1" x14ac:dyDescent="0.3">
      <c r="A130" s="630" t="s">
        <v>545</v>
      </c>
      <c r="B130" s="631" t="s">
        <v>1978</v>
      </c>
      <c r="C130" s="632" t="s">
        <v>555</v>
      </c>
      <c r="D130" s="633" t="s">
        <v>1980</v>
      </c>
      <c r="E130" s="632" t="s">
        <v>573</v>
      </c>
      <c r="F130" s="633" t="s">
        <v>1985</v>
      </c>
      <c r="G130" s="632" t="s">
        <v>574</v>
      </c>
      <c r="H130" s="632" t="s">
        <v>1000</v>
      </c>
      <c r="I130" s="632" t="s">
        <v>1001</v>
      </c>
      <c r="J130" s="632" t="s">
        <v>1002</v>
      </c>
      <c r="K130" s="632" t="s">
        <v>659</v>
      </c>
      <c r="L130" s="634">
        <v>41.579287312266715</v>
      </c>
      <c r="M130" s="634">
        <v>45</v>
      </c>
      <c r="N130" s="635">
        <v>1871.0679290520022</v>
      </c>
    </row>
    <row r="131" spans="1:14" ht="14.4" customHeight="1" x14ac:dyDescent="0.3">
      <c r="A131" s="630" t="s">
        <v>545</v>
      </c>
      <c r="B131" s="631" t="s">
        <v>1978</v>
      </c>
      <c r="C131" s="632" t="s">
        <v>555</v>
      </c>
      <c r="D131" s="633" t="s">
        <v>1980</v>
      </c>
      <c r="E131" s="632" t="s">
        <v>573</v>
      </c>
      <c r="F131" s="633" t="s">
        <v>1985</v>
      </c>
      <c r="G131" s="632" t="s">
        <v>574</v>
      </c>
      <c r="H131" s="632" t="s">
        <v>1003</v>
      </c>
      <c r="I131" s="632" t="s">
        <v>1004</v>
      </c>
      <c r="J131" s="632" t="s">
        <v>1005</v>
      </c>
      <c r="K131" s="632" t="s">
        <v>1006</v>
      </c>
      <c r="L131" s="634">
        <v>155.25000000000006</v>
      </c>
      <c r="M131" s="634">
        <v>1</v>
      </c>
      <c r="N131" s="635">
        <v>155.25000000000006</v>
      </c>
    </row>
    <row r="132" spans="1:14" ht="14.4" customHeight="1" x14ac:dyDescent="0.3">
      <c r="A132" s="630" t="s">
        <v>545</v>
      </c>
      <c r="B132" s="631" t="s">
        <v>1978</v>
      </c>
      <c r="C132" s="632" t="s">
        <v>555</v>
      </c>
      <c r="D132" s="633" t="s">
        <v>1980</v>
      </c>
      <c r="E132" s="632" t="s">
        <v>573</v>
      </c>
      <c r="F132" s="633" t="s">
        <v>1985</v>
      </c>
      <c r="G132" s="632" t="s">
        <v>574</v>
      </c>
      <c r="H132" s="632" t="s">
        <v>1007</v>
      </c>
      <c r="I132" s="632" t="s">
        <v>1008</v>
      </c>
      <c r="J132" s="632" t="s">
        <v>1009</v>
      </c>
      <c r="K132" s="632" t="s">
        <v>1010</v>
      </c>
      <c r="L132" s="634">
        <v>98.82</v>
      </c>
      <c r="M132" s="634">
        <v>1</v>
      </c>
      <c r="N132" s="635">
        <v>98.82</v>
      </c>
    </row>
    <row r="133" spans="1:14" ht="14.4" customHeight="1" x14ac:dyDescent="0.3">
      <c r="A133" s="630" t="s">
        <v>545</v>
      </c>
      <c r="B133" s="631" t="s">
        <v>1978</v>
      </c>
      <c r="C133" s="632" t="s">
        <v>555</v>
      </c>
      <c r="D133" s="633" t="s">
        <v>1980</v>
      </c>
      <c r="E133" s="632" t="s">
        <v>573</v>
      </c>
      <c r="F133" s="633" t="s">
        <v>1985</v>
      </c>
      <c r="G133" s="632" t="s">
        <v>574</v>
      </c>
      <c r="H133" s="632" t="s">
        <v>1011</v>
      </c>
      <c r="I133" s="632" t="s">
        <v>1012</v>
      </c>
      <c r="J133" s="632" t="s">
        <v>1013</v>
      </c>
      <c r="K133" s="632" t="s">
        <v>1014</v>
      </c>
      <c r="L133" s="634">
        <v>266.56897057556688</v>
      </c>
      <c r="M133" s="634">
        <v>7</v>
      </c>
      <c r="N133" s="635">
        <v>1865.9827940289681</v>
      </c>
    </row>
    <row r="134" spans="1:14" ht="14.4" customHeight="1" x14ac:dyDescent="0.3">
      <c r="A134" s="630" t="s">
        <v>545</v>
      </c>
      <c r="B134" s="631" t="s">
        <v>1978</v>
      </c>
      <c r="C134" s="632" t="s">
        <v>555</v>
      </c>
      <c r="D134" s="633" t="s">
        <v>1980</v>
      </c>
      <c r="E134" s="632" t="s">
        <v>573</v>
      </c>
      <c r="F134" s="633" t="s">
        <v>1985</v>
      </c>
      <c r="G134" s="632" t="s">
        <v>574</v>
      </c>
      <c r="H134" s="632" t="s">
        <v>1015</v>
      </c>
      <c r="I134" s="632" t="s">
        <v>1016</v>
      </c>
      <c r="J134" s="632" t="s">
        <v>1017</v>
      </c>
      <c r="K134" s="632" t="s">
        <v>1018</v>
      </c>
      <c r="L134" s="634">
        <v>389.36410577801394</v>
      </c>
      <c r="M134" s="634">
        <v>102</v>
      </c>
      <c r="N134" s="635">
        <v>39715.138789357421</v>
      </c>
    </row>
    <row r="135" spans="1:14" ht="14.4" customHeight="1" x14ac:dyDescent="0.3">
      <c r="A135" s="630" t="s">
        <v>545</v>
      </c>
      <c r="B135" s="631" t="s">
        <v>1978</v>
      </c>
      <c r="C135" s="632" t="s">
        <v>555</v>
      </c>
      <c r="D135" s="633" t="s">
        <v>1980</v>
      </c>
      <c r="E135" s="632" t="s">
        <v>573</v>
      </c>
      <c r="F135" s="633" t="s">
        <v>1985</v>
      </c>
      <c r="G135" s="632" t="s">
        <v>574</v>
      </c>
      <c r="H135" s="632" t="s">
        <v>1019</v>
      </c>
      <c r="I135" s="632" t="s">
        <v>1020</v>
      </c>
      <c r="J135" s="632" t="s">
        <v>1021</v>
      </c>
      <c r="K135" s="632" t="s">
        <v>1022</v>
      </c>
      <c r="L135" s="634">
        <v>1006.9600000000005</v>
      </c>
      <c r="M135" s="634">
        <v>3</v>
      </c>
      <c r="N135" s="635">
        <v>3020.8800000000015</v>
      </c>
    </row>
    <row r="136" spans="1:14" ht="14.4" customHeight="1" x14ac:dyDescent="0.3">
      <c r="A136" s="630" t="s">
        <v>545</v>
      </c>
      <c r="B136" s="631" t="s">
        <v>1978</v>
      </c>
      <c r="C136" s="632" t="s">
        <v>555</v>
      </c>
      <c r="D136" s="633" t="s">
        <v>1980</v>
      </c>
      <c r="E136" s="632" t="s">
        <v>573</v>
      </c>
      <c r="F136" s="633" t="s">
        <v>1985</v>
      </c>
      <c r="G136" s="632" t="s">
        <v>574</v>
      </c>
      <c r="H136" s="632" t="s">
        <v>1023</v>
      </c>
      <c r="I136" s="632" t="s">
        <v>1024</v>
      </c>
      <c r="J136" s="632" t="s">
        <v>1025</v>
      </c>
      <c r="K136" s="632" t="s">
        <v>1026</v>
      </c>
      <c r="L136" s="634">
        <v>79.94</v>
      </c>
      <c r="M136" s="634">
        <v>2</v>
      </c>
      <c r="N136" s="635">
        <v>159.88</v>
      </c>
    </row>
    <row r="137" spans="1:14" ht="14.4" customHeight="1" x14ac:dyDescent="0.3">
      <c r="A137" s="630" t="s">
        <v>545</v>
      </c>
      <c r="B137" s="631" t="s">
        <v>1978</v>
      </c>
      <c r="C137" s="632" t="s">
        <v>555</v>
      </c>
      <c r="D137" s="633" t="s">
        <v>1980</v>
      </c>
      <c r="E137" s="632" t="s">
        <v>573</v>
      </c>
      <c r="F137" s="633" t="s">
        <v>1985</v>
      </c>
      <c r="G137" s="632" t="s">
        <v>574</v>
      </c>
      <c r="H137" s="632" t="s">
        <v>1027</v>
      </c>
      <c r="I137" s="632" t="s">
        <v>1028</v>
      </c>
      <c r="J137" s="632" t="s">
        <v>1029</v>
      </c>
      <c r="K137" s="632" t="s">
        <v>1030</v>
      </c>
      <c r="L137" s="634">
        <v>23.463040134042746</v>
      </c>
      <c r="M137" s="634">
        <v>312</v>
      </c>
      <c r="N137" s="635">
        <v>7320.4685218213363</v>
      </c>
    </row>
    <row r="138" spans="1:14" ht="14.4" customHeight="1" x14ac:dyDescent="0.3">
      <c r="A138" s="630" t="s">
        <v>545</v>
      </c>
      <c r="B138" s="631" t="s">
        <v>1978</v>
      </c>
      <c r="C138" s="632" t="s">
        <v>555</v>
      </c>
      <c r="D138" s="633" t="s">
        <v>1980</v>
      </c>
      <c r="E138" s="632" t="s">
        <v>573</v>
      </c>
      <c r="F138" s="633" t="s">
        <v>1985</v>
      </c>
      <c r="G138" s="632" t="s">
        <v>574</v>
      </c>
      <c r="H138" s="632" t="s">
        <v>1031</v>
      </c>
      <c r="I138" s="632" t="s">
        <v>1031</v>
      </c>
      <c r="J138" s="632" t="s">
        <v>1032</v>
      </c>
      <c r="K138" s="632" t="s">
        <v>721</v>
      </c>
      <c r="L138" s="634">
        <v>56.430000000000007</v>
      </c>
      <c r="M138" s="634">
        <v>2</v>
      </c>
      <c r="N138" s="635">
        <v>112.86000000000001</v>
      </c>
    </row>
    <row r="139" spans="1:14" ht="14.4" customHeight="1" x14ac:dyDescent="0.3">
      <c r="A139" s="630" t="s">
        <v>545</v>
      </c>
      <c r="B139" s="631" t="s">
        <v>1978</v>
      </c>
      <c r="C139" s="632" t="s">
        <v>555</v>
      </c>
      <c r="D139" s="633" t="s">
        <v>1980</v>
      </c>
      <c r="E139" s="632" t="s">
        <v>573</v>
      </c>
      <c r="F139" s="633" t="s">
        <v>1985</v>
      </c>
      <c r="G139" s="632" t="s">
        <v>574</v>
      </c>
      <c r="H139" s="632" t="s">
        <v>1033</v>
      </c>
      <c r="I139" s="632" t="s">
        <v>1034</v>
      </c>
      <c r="J139" s="632" t="s">
        <v>1035</v>
      </c>
      <c r="K139" s="632" t="s">
        <v>1036</v>
      </c>
      <c r="L139" s="634">
        <v>1104.1126146799816</v>
      </c>
      <c r="M139" s="634">
        <v>13</v>
      </c>
      <c r="N139" s="635">
        <v>14353.46399083976</v>
      </c>
    </row>
    <row r="140" spans="1:14" ht="14.4" customHeight="1" x14ac:dyDescent="0.3">
      <c r="A140" s="630" t="s">
        <v>545</v>
      </c>
      <c r="B140" s="631" t="s">
        <v>1978</v>
      </c>
      <c r="C140" s="632" t="s">
        <v>555</v>
      </c>
      <c r="D140" s="633" t="s">
        <v>1980</v>
      </c>
      <c r="E140" s="632" t="s">
        <v>573</v>
      </c>
      <c r="F140" s="633" t="s">
        <v>1985</v>
      </c>
      <c r="G140" s="632" t="s">
        <v>574</v>
      </c>
      <c r="H140" s="632" t="s">
        <v>1037</v>
      </c>
      <c r="I140" s="632" t="s">
        <v>1038</v>
      </c>
      <c r="J140" s="632" t="s">
        <v>1039</v>
      </c>
      <c r="K140" s="632" t="s">
        <v>1040</v>
      </c>
      <c r="L140" s="634">
        <v>538.70634370871858</v>
      </c>
      <c r="M140" s="634">
        <v>15</v>
      </c>
      <c r="N140" s="635">
        <v>8080.5951556307782</v>
      </c>
    </row>
    <row r="141" spans="1:14" ht="14.4" customHeight="1" x14ac:dyDescent="0.3">
      <c r="A141" s="630" t="s">
        <v>545</v>
      </c>
      <c r="B141" s="631" t="s">
        <v>1978</v>
      </c>
      <c r="C141" s="632" t="s">
        <v>555</v>
      </c>
      <c r="D141" s="633" t="s">
        <v>1980</v>
      </c>
      <c r="E141" s="632" t="s">
        <v>573</v>
      </c>
      <c r="F141" s="633" t="s">
        <v>1985</v>
      </c>
      <c r="G141" s="632" t="s">
        <v>574</v>
      </c>
      <c r="H141" s="632" t="s">
        <v>1041</v>
      </c>
      <c r="I141" s="632" t="s">
        <v>1042</v>
      </c>
      <c r="J141" s="632" t="s">
        <v>1043</v>
      </c>
      <c r="K141" s="632" t="s">
        <v>1044</v>
      </c>
      <c r="L141" s="634">
        <v>1100.7293814044574</v>
      </c>
      <c r="M141" s="634">
        <v>5</v>
      </c>
      <c r="N141" s="635">
        <v>5503.6469070222865</v>
      </c>
    </row>
    <row r="142" spans="1:14" ht="14.4" customHeight="1" x14ac:dyDescent="0.3">
      <c r="A142" s="630" t="s">
        <v>545</v>
      </c>
      <c r="B142" s="631" t="s">
        <v>1978</v>
      </c>
      <c r="C142" s="632" t="s">
        <v>555</v>
      </c>
      <c r="D142" s="633" t="s">
        <v>1980</v>
      </c>
      <c r="E142" s="632" t="s">
        <v>573</v>
      </c>
      <c r="F142" s="633" t="s">
        <v>1985</v>
      </c>
      <c r="G142" s="632" t="s">
        <v>574</v>
      </c>
      <c r="H142" s="632" t="s">
        <v>1045</v>
      </c>
      <c r="I142" s="632" t="s">
        <v>1046</v>
      </c>
      <c r="J142" s="632" t="s">
        <v>1047</v>
      </c>
      <c r="K142" s="632" t="s">
        <v>1048</v>
      </c>
      <c r="L142" s="634">
        <v>89.64</v>
      </c>
      <c r="M142" s="634">
        <v>50</v>
      </c>
      <c r="N142" s="635">
        <v>4482</v>
      </c>
    </row>
    <row r="143" spans="1:14" ht="14.4" customHeight="1" x14ac:dyDescent="0.3">
      <c r="A143" s="630" t="s">
        <v>545</v>
      </c>
      <c r="B143" s="631" t="s">
        <v>1978</v>
      </c>
      <c r="C143" s="632" t="s">
        <v>555</v>
      </c>
      <c r="D143" s="633" t="s">
        <v>1980</v>
      </c>
      <c r="E143" s="632" t="s">
        <v>573</v>
      </c>
      <c r="F143" s="633" t="s">
        <v>1985</v>
      </c>
      <c r="G143" s="632" t="s">
        <v>574</v>
      </c>
      <c r="H143" s="632" t="s">
        <v>584</v>
      </c>
      <c r="I143" s="632" t="s">
        <v>238</v>
      </c>
      <c r="J143" s="632" t="s">
        <v>585</v>
      </c>
      <c r="K143" s="632"/>
      <c r="L143" s="634">
        <v>37.047752310662709</v>
      </c>
      <c r="M143" s="634">
        <v>22</v>
      </c>
      <c r="N143" s="635">
        <v>815.05055083457955</v>
      </c>
    </row>
    <row r="144" spans="1:14" ht="14.4" customHeight="1" x14ac:dyDescent="0.3">
      <c r="A144" s="630" t="s">
        <v>545</v>
      </c>
      <c r="B144" s="631" t="s">
        <v>1978</v>
      </c>
      <c r="C144" s="632" t="s">
        <v>555</v>
      </c>
      <c r="D144" s="633" t="s">
        <v>1980</v>
      </c>
      <c r="E144" s="632" t="s">
        <v>573</v>
      </c>
      <c r="F144" s="633" t="s">
        <v>1985</v>
      </c>
      <c r="G144" s="632" t="s">
        <v>574</v>
      </c>
      <c r="H144" s="632" t="s">
        <v>1049</v>
      </c>
      <c r="I144" s="632" t="s">
        <v>238</v>
      </c>
      <c r="J144" s="632" t="s">
        <v>1050</v>
      </c>
      <c r="K144" s="632" t="s">
        <v>1051</v>
      </c>
      <c r="L144" s="634">
        <v>201.25</v>
      </c>
      <c r="M144" s="634">
        <v>76</v>
      </c>
      <c r="N144" s="635">
        <v>15295</v>
      </c>
    </row>
    <row r="145" spans="1:14" ht="14.4" customHeight="1" x14ac:dyDescent="0.3">
      <c r="A145" s="630" t="s">
        <v>545</v>
      </c>
      <c r="B145" s="631" t="s">
        <v>1978</v>
      </c>
      <c r="C145" s="632" t="s">
        <v>555</v>
      </c>
      <c r="D145" s="633" t="s">
        <v>1980</v>
      </c>
      <c r="E145" s="632" t="s">
        <v>573</v>
      </c>
      <c r="F145" s="633" t="s">
        <v>1985</v>
      </c>
      <c r="G145" s="632" t="s">
        <v>574</v>
      </c>
      <c r="H145" s="632" t="s">
        <v>1052</v>
      </c>
      <c r="I145" s="632" t="s">
        <v>238</v>
      </c>
      <c r="J145" s="632" t="s">
        <v>1053</v>
      </c>
      <c r="K145" s="632"/>
      <c r="L145" s="634">
        <v>63.964387961681865</v>
      </c>
      <c r="M145" s="634">
        <v>18</v>
      </c>
      <c r="N145" s="635">
        <v>1151.3589833102735</v>
      </c>
    </row>
    <row r="146" spans="1:14" ht="14.4" customHeight="1" x14ac:dyDescent="0.3">
      <c r="A146" s="630" t="s">
        <v>545</v>
      </c>
      <c r="B146" s="631" t="s">
        <v>1978</v>
      </c>
      <c r="C146" s="632" t="s">
        <v>555</v>
      </c>
      <c r="D146" s="633" t="s">
        <v>1980</v>
      </c>
      <c r="E146" s="632" t="s">
        <v>573</v>
      </c>
      <c r="F146" s="633" t="s">
        <v>1985</v>
      </c>
      <c r="G146" s="632" t="s">
        <v>574</v>
      </c>
      <c r="H146" s="632" t="s">
        <v>1054</v>
      </c>
      <c r="I146" s="632" t="s">
        <v>238</v>
      </c>
      <c r="J146" s="632" t="s">
        <v>1055</v>
      </c>
      <c r="K146" s="632"/>
      <c r="L146" s="634">
        <v>38.340000000000003</v>
      </c>
      <c r="M146" s="634">
        <v>5</v>
      </c>
      <c r="N146" s="635">
        <v>191.70000000000002</v>
      </c>
    </row>
    <row r="147" spans="1:14" ht="14.4" customHeight="1" x14ac:dyDescent="0.3">
      <c r="A147" s="630" t="s">
        <v>545</v>
      </c>
      <c r="B147" s="631" t="s">
        <v>1978</v>
      </c>
      <c r="C147" s="632" t="s">
        <v>555</v>
      </c>
      <c r="D147" s="633" t="s">
        <v>1980</v>
      </c>
      <c r="E147" s="632" t="s">
        <v>573</v>
      </c>
      <c r="F147" s="633" t="s">
        <v>1985</v>
      </c>
      <c r="G147" s="632" t="s">
        <v>574</v>
      </c>
      <c r="H147" s="632" t="s">
        <v>1056</v>
      </c>
      <c r="I147" s="632" t="s">
        <v>238</v>
      </c>
      <c r="J147" s="632" t="s">
        <v>1057</v>
      </c>
      <c r="K147" s="632"/>
      <c r="L147" s="634">
        <v>63.437216347826592</v>
      </c>
      <c r="M147" s="634">
        <v>50</v>
      </c>
      <c r="N147" s="635">
        <v>3171.8608173913294</v>
      </c>
    </row>
    <row r="148" spans="1:14" ht="14.4" customHeight="1" x14ac:dyDescent="0.3">
      <c r="A148" s="630" t="s">
        <v>545</v>
      </c>
      <c r="B148" s="631" t="s">
        <v>1978</v>
      </c>
      <c r="C148" s="632" t="s">
        <v>555</v>
      </c>
      <c r="D148" s="633" t="s">
        <v>1980</v>
      </c>
      <c r="E148" s="632" t="s">
        <v>573</v>
      </c>
      <c r="F148" s="633" t="s">
        <v>1985</v>
      </c>
      <c r="G148" s="632" t="s">
        <v>574</v>
      </c>
      <c r="H148" s="632" t="s">
        <v>1058</v>
      </c>
      <c r="I148" s="632" t="s">
        <v>238</v>
      </c>
      <c r="J148" s="632" t="s">
        <v>1059</v>
      </c>
      <c r="K148" s="632"/>
      <c r="L148" s="634">
        <v>36.905000000000001</v>
      </c>
      <c r="M148" s="634">
        <v>20</v>
      </c>
      <c r="N148" s="635">
        <v>738.1</v>
      </c>
    </row>
    <row r="149" spans="1:14" ht="14.4" customHeight="1" x14ac:dyDescent="0.3">
      <c r="A149" s="630" t="s">
        <v>545</v>
      </c>
      <c r="B149" s="631" t="s">
        <v>1978</v>
      </c>
      <c r="C149" s="632" t="s">
        <v>555</v>
      </c>
      <c r="D149" s="633" t="s">
        <v>1980</v>
      </c>
      <c r="E149" s="632" t="s">
        <v>573</v>
      </c>
      <c r="F149" s="633" t="s">
        <v>1985</v>
      </c>
      <c r="G149" s="632" t="s">
        <v>574</v>
      </c>
      <c r="H149" s="632" t="s">
        <v>1060</v>
      </c>
      <c r="I149" s="632" t="s">
        <v>238</v>
      </c>
      <c r="J149" s="632" t="s">
        <v>1061</v>
      </c>
      <c r="K149" s="632" t="s">
        <v>1062</v>
      </c>
      <c r="L149" s="634">
        <v>471.5</v>
      </c>
      <c r="M149" s="634">
        <v>250</v>
      </c>
      <c r="N149" s="635">
        <v>117875</v>
      </c>
    </row>
    <row r="150" spans="1:14" ht="14.4" customHeight="1" x14ac:dyDescent="0.3">
      <c r="A150" s="630" t="s">
        <v>545</v>
      </c>
      <c r="B150" s="631" t="s">
        <v>1978</v>
      </c>
      <c r="C150" s="632" t="s">
        <v>555</v>
      </c>
      <c r="D150" s="633" t="s">
        <v>1980</v>
      </c>
      <c r="E150" s="632" t="s">
        <v>573</v>
      </c>
      <c r="F150" s="633" t="s">
        <v>1985</v>
      </c>
      <c r="G150" s="632" t="s">
        <v>574</v>
      </c>
      <c r="H150" s="632" t="s">
        <v>1063</v>
      </c>
      <c r="I150" s="632" t="s">
        <v>1064</v>
      </c>
      <c r="J150" s="632" t="s">
        <v>1065</v>
      </c>
      <c r="K150" s="632" t="s">
        <v>883</v>
      </c>
      <c r="L150" s="634">
        <v>52.40968910016349</v>
      </c>
      <c r="M150" s="634">
        <v>4</v>
      </c>
      <c r="N150" s="635">
        <v>209.63875640065396</v>
      </c>
    </row>
    <row r="151" spans="1:14" ht="14.4" customHeight="1" x14ac:dyDescent="0.3">
      <c r="A151" s="630" t="s">
        <v>545</v>
      </c>
      <c r="B151" s="631" t="s">
        <v>1978</v>
      </c>
      <c r="C151" s="632" t="s">
        <v>555</v>
      </c>
      <c r="D151" s="633" t="s">
        <v>1980</v>
      </c>
      <c r="E151" s="632" t="s">
        <v>573</v>
      </c>
      <c r="F151" s="633" t="s">
        <v>1985</v>
      </c>
      <c r="G151" s="632" t="s">
        <v>574</v>
      </c>
      <c r="H151" s="632" t="s">
        <v>1066</v>
      </c>
      <c r="I151" s="632" t="s">
        <v>1067</v>
      </c>
      <c r="J151" s="632" t="s">
        <v>1068</v>
      </c>
      <c r="K151" s="632" t="s">
        <v>1069</v>
      </c>
      <c r="L151" s="634">
        <v>61.6049099320295</v>
      </c>
      <c r="M151" s="634">
        <v>20</v>
      </c>
      <c r="N151" s="635">
        <v>1232.09819864059</v>
      </c>
    </row>
    <row r="152" spans="1:14" ht="14.4" customHeight="1" x14ac:dyDescent="0.3">
      <c r="A152" s="630" t="s">
        <v>545</v>
      </c>
      <c r="B152" s="631" t="s">
        <v>1978</v>
      </c>
      <c r="C152" s="632" t="s">
        <v>555</v>
      </c>
      <c r="D152" s="633" t="s">
        <v>1980</v>
      </c>
      <c r="E152" s="632" t="s">
        <v>573</v>
      </c>
      <c r="F152" s="633" t="s">
        <v>1985</v>
      </c>
      <c r="G152" s="632" t="s">
        <v>574</v>
      </c>
      <c r="H152" s="632" t="s">
        <v>1070</v>
      </c>
      <c r="I152" s="632" t="s">
        <v>1071</v>
      </c>
      <c r="J152" s="632" t="s">
        <v>1072</v>
      </c>
      <c r="K152" s="632" t="s">
        <v>1073</v>
      </c>
      <c r="L152" s="634">
        <v>126.27963042133824</v>
      </c>
      <c r="M152" s="634">
        <v>1</v>
      </c>
      <c r="N152" s="635">
        <v>126.27963042133824</v>
      </c>
    </row>
    <row r="153" spans="1:14" ht="14.4" customHeight="1" x14ac:dyDescent="0.3">
      <c r="A153" s="630" t="s">
        <v>545</v>
      </c>
      <c r="B153" s="631" t="s">
        <v>1978</v>
      </c>
      <c r="C153" s="632" t="s">
        <v>555</v>
      </c>
      <c r="D153" s="633" t="s">
        <v>1980</v>
      </c>
      <c r="E153" s="632" t="s">
        <v>573</v>
      </c>
      <c r="F153" s="633" t="s">
        <v>1985</v>
      </c>
      <c r="G153" s="632" t="s">
        <v>574</v>
      </c>
      <c r="H153" s="632" t="s">
        <v>1074</v>
      </c>
      <c r="I153" s="632" t="s">
        <v>1075</v>
      </c>
      <c r="J153" s="632" t="s">
        <v>588</v>
      </c>
      <c r="K153" s="632" t="s">
        <v>1076</v>
      </c>
      <c r="L153" s="634">
        <v>555.41999999999996</v>
      </c>
      <c r="M153" s="634">
        <v>41.5</v>
      </c>
      <c r="N153" s="635">
        <v>23049.929999999997</v>
      </c>
    </row>
    <row r="154" spans="1:14" ht="14.4" customHeight="1" x14ac:dyDescent="0.3">
      <c r="A154" s="630" t="s">
        <v>545</v>
      </c>
      <c r="B154" s="631" t="s">
        <v>1978</v>
      </c>
      <c r="C154" s="632" t="s">
        <v>555</v>
      </c>
      <c r="D154" s="633" t="s">
        <v>1980</v>
      </c>
      <c r="E154" s="632" t="s">
        <v>573</v>
      </c>
      <c r="F154" s="633" t="s">
        <v>1985</v>
      </c>
      <c r="G154" s="632" t="s">
        <v>574</v>
      </c>
      <c r="H154" s="632" t="s">
        <v>586</v>
      </c>
      <c r="I154" s="632" t="s">
        <v>587</v>
      </c>
      <c r="J154" s="632" t="s">
        <v>588</v>
      </c>
      <c r="K154" s="632" t="s">
        <v>589</v>
      </c>
      <c r="L154" s="634">
        <v>327.05643806338838</v>
      </c>
      <c r="M154" s="634">
        <v>56</v>
      </c>
      <c r="N154" s="635">
        <v>18315.160531549751</v>
      </c>
    </row>
    <row r="155" spans="1:14" ht="14.4" customHeight="1" x14ac:dyDescent="0.3">
      <c r="A155" s="630" t="s">
        <v>545</v>
      </c>
      <c r="B155" s="631" t="s">
        <v>1978</v>
      </c>
      <c r="C155" s="632" t="s">
        <v>555</v>
      </c>
      <c r="D155" s="633" t="s">
        <v>1980</v>
      </c>
      <c r="E155" s="632" t="s">
        <v>573</v>
      </c>
      <c r="F155" s="633" t="s">
        <v>1985</v>
      </c>
      <c r="G155" s="632" t="s">
        <v>574</v>
      </c>
      <c r="H155" s="632" t="s">
        <v>1077</v>
      </c>
      <c r="I155" s="632" t="s">
        <v>1078</v>
      </c>
      <c r="J155" s="632" t="s">
        <v>588</v>
      </c>
      <c r="K155" s="632" t="s">
        <v>1079</v>
      </c>
      <c r="L155" s="634">
        <v>246.32974763009261</v>
      </c>
      <c r="M155" s="634">
        <v>22</v>
      </c>
      <c r="N155" s="635">
        <v>5419.2544478620375</v>
      </c>
    </row>
    <row r="156" spans="1:14" ht="14.4" customHeight="1" x14ac:dyDescent="0.3">
      <c r="A156" s="630" t="s">
        <v>545</v>
      </c>
      <c r="B156" s="631" t="s">
        <v>1978</v>
      </c>
      <c r="C156" s="632" t="s">
        <v>555</v>
      </c>
      <c r="D156" s="633" t="s">
        <v>1980</v>
      </c>
      <c r="E156" s="632" t="s">
        <v>573</v>
      </c>
      <c r="F156" s="633" t="s">
        <v>1985</v>
      </c>
      <c r="G156" s="632" t="s">
        <v>574</v>
      </c>
      <c r="H156" s="632" t="s">
        <v>1080</v>
      </c>
      <c r="I156" s="632" t="s">
        <v>238</v>
      </c>
      <c r="J156" s="632" t="s">
        <v>1081</v>
      </c>
      <c r="K156" s="632"/>
      <c r="L156" s="634">
        <v>51.775986244900565</v>
      </c>
      <c r="M156" s="634">
        <v>1</v>
      </c>
      <c r="N156" s="635">
        <v>51.775986244900565</v>
      </c>
    </row>
    <row r="157" spans="1:14" ht="14.4" customHeight="1" x14ac:dyDescent="0.3">
      <c r="A157" s="630" t="s">
        <v>545</v>
      </c>
      <c r="B157" s="631" t="s">
        <v>1978</v>
      </c>
      <c r="C157" s="632" t="s">
        <v>555</v>
      </c>
      <c r="D157" s="633" t="s">
        <v>1980</v>
      </c>
      <c r="E157" s="632" t="s">
        <v>573</v>
      </c>
      <c r="F157" s="633" t="s">
        <v>1985</v>
      </c>
      <c r="G157" s="632" t="s">
        <v>574</v>
      </c>
      <c r="H157" s="632" t="s">
        <v>1082</v>
      </c>
      <c r="I157" s="632" t="s">
        <v>1083</v>
      </c>
      <c r="J157" s="632" t="s">
        <v>1084</v>
      </c>
      <c r="K157" s="632" t="s">
        <v>1085</v>
      </c>
      <c r="L157" s="634">
        <v>59.694326936391306</v>
      </c>
      <c r="M157" s="634">
        <v>35</v>
      </c>
      <c r="N157" s="635">
        <v>2089.3014427736957</v>
      </c>
    </row>
    <row r="158" spans="1:14" ht="14.4" customHeight="1" x14ac:dyDescent="0.3">
      <c r="A158" s="630" t="s">
        <v>545</v>
      </c>
      <c r="B158" s="631" t="s">
        <v>1978</v>
      </c>
      <c r="C158" s="632" t="s">
        <v>555</v>
      </c>
      <c r="D158" s="633" t="s">
        <v>1980</v>
      </c>
      <c r="E158" s="632" t="s">
        <v>573</v>
      </c>
      <c r="F158" s="633" t="s">
        <v>1985</v>
      </c>
      <c r="G158" s="632" t="s">
        <v>574</v>
      </c>
      <c r="H158" s="632" t="s">
        <v>1086</v>
      </c>
      <c r="I158" s="632" t="s">
        <v>1087</v>
      </c>
      <c r="J158" s="632" t="s">
        <v>1088</v>
      </c>
      <c r="K158" s="632" t="s">
        <v>1089</v>
      </c>
      <c r="L158" s="634">
        <v>97.329453933648935</v>
      </c>
      <c r="M158" s="634">
        <v>65</v>
      </c>
      <c r="N158" s="635">
        <v>6326.4145056871812</v>
      </c>
    </row>
    <row r="159" spans="1:14" ht="14.4" customHeight="1" x14ac:dyDescent="0.3">
      <c r="A159" s="630" t="s">
        <v>545</v>
      </c>
      <c r="B159" s="631" t="s">
        <v>1978</v>
      </c>
      <c r="C159" s="632" t="s">
        <v>555</v>
      </c>
      <c r="D159" s="633" t="s">
        <v>1980</v>
      </c>
      <c r="E159" s="632" t="s">
        <v>573</v>
      </c>
      <c r="F159" s="633" t="s">
        <v>1985</v>
      </c>
      <c r="G159" s="632" t="s">
        <v>574</v>
      </c>
      <c r="H159" s="632" t="s">
        <v>1090</v>
      </c>
      <c r="I159" s="632" t="s">
        <v>1091</v>
      </c>
      <c r="J159" s="632" t="s">
        <v>1092</v>
      </c>
      <c r="K159" s="632" t="s">
        <v>1093</v>
      </c>
      <c r="L159" s="634">
        <v>25.549999999999997</v>
      </c>
      <c r="M159" s="634">
        <v>5</v>
      </c>
      <c r="N159" s="635">
        <v>127.74999999999999</v>
      </c>
    </row>
    <row r="160" spans="1:14" ht="14.4" customHeight="1" x14ac:dyDescent="0.3">
      <c r="A160" s="630" t="s">
        <v>545</v>
      </c>
      <c r="B160" s="631" t="s">
        <v>1978</v>
      </c>
      <c r="C160" s="632" t="s">
        <v>555</v>
      </c>
      <c r="D160" s="633" t="s">
        <v>1980</v>
      </c>
      <c r="E160" s="632" t="s">
        <v>573</v>
      </c>
      <c r="F160" s="633" t="s">
        <v>1985</v>
      </c>
      <c r="G160" s="632" t="s">
        <v>574</v>
      </c>
      <c r="H160" s="632" t="s">
        <v>1094</v>
      </c>
      <c r="I160" s="632" t="s">
        <v>1095</v>
      </c>
      <c r="J160" s="632" t="s">
        <v>1096</v>
      </c>
      <c r="K160" s="632" t="s">
        <v>1097</v>
      </c>
      <c r="L160" s="634">
        <v>108.86000534396267</v>
      </c>
      <c r="M160" s="634">
        <v>98</v>
      </c>
      <c r="N160" s="635">
        <v>10668.280523708341</v>
      </c>
    </row>
    <row r="161" spans="1:14" ht="14.4" customHeight="1" x14ac:dyDescent="0.3">
      <c r="A161" s="630" t="s">
        <v>545</v>
      </c>
      <c r="B161" s="631" t="s">
        <v>1978</v>
      </c>
      <c r="C161" s="632" t="s">
        <v>555</v>
      </c>
      <c r="D161" s="633" t="s">
        <v>1980</v>
      </c>
      <c r="E161" s="632" t="s">
        <v>573</v>
      </c>
      <c r="F161" s="633" t="s">
        <v>1985</v>
      </c>
      <c r="G161" s="632" t="s">
        <v>574</v>
      </c>
      <c r="H161" s="632" t="s">
        <v>1098</v>
      </c>
      <c r="I161" s="632" t="s">
        <v>1098</v>
      </c>
      <c r="J161" s="632" t="s">
        <v>1099</v>
      </c>
      <c r="K161" s="632" t="s">
        <v>1100</v>
      </c>
      <c r="L161" s="634">
        <v>75.764312314872839</v>
      </c>
      <c r="M161" s="634">
        <v>21</v>
      </c>
      <c r="N161" s="635">
        <v>1591.0505586123295</v>
      </c>
    </row>
    <row r="162" spans="1:14" ht="14.4" customHeight="1" x14ac:dyDescent="0.3">
      <c r="A162" s="630" t="s">
        <v>545</v>
      </c>
      <c r="B162" s="631" t="s">
        <v>1978</v>
      </c>
      <c r="C162" s="632" t="s">
        <v>555</v>
      </c>
      <c r="D162" s="633" t="s">
        <v>1980</v>
      </c>
      <c r="E162" s="632" t="s">
        <v>573</v>
      </c>
      <c r="F162" s="633" t="s">
        <v>1985</v>
      </c>
      <c r="G162" s="632" t="s">
        <v>574</v>
      </c>
      <c r="H162" s="632" t="s">
        <v>1101</v>
      </c>
      <c r="I162" s="632" t="s">
        <v>1102</v>
      </c>
      <c r="J162" s="632" t="s">
        <v>1103</v>
      </c>
      <c r="K162" s="632" t="s">
        <v>1104</v>
      </c>
      <c r="L162" s="634">
        <v>3781.6600000000008</v>
      </c>
      <c r="M162" s="634">
        <v>16</v>
      </c>
      <c r="N162" s="635">
        <v>60506.560000000012</v>
      </c>
    </row>
    <row r="163" spans="1:14" ht="14.4" customHeight="1" x14ac:dyDescent="0.3">
      <c r="A163" s="630" t="s">
        <v>545</v>
      </c>
      <c r="B163" s="631" t="s">
        <v>1978</v>
      </c>
      <c r="C163" s="632" t="s">
        <v>555</v>
      </c>
      <c r="D163" s="633" t="s">
        <v>1980</v>
      </c>
      <c r="E163" s="632" t="s">
        <v>573</v>
      </c>
      <c r="F163" s="633" t="s">
        <v>1985</v>
      </c>
      <c r="G163" s="632" t="s">
        <v>574</v>
      </c>
      <c r="H163" s="632" t="s">
        <v>1105</v>
      </c>
      <c r="I163" s="632" t="s">
        <v>1106</v>
      </c>
      <c r="J163" s="632" t="s">
        <v>1107</v>
      </c>
      <c r="K163" s="632" t="s">
        <v>1108</v>
      </c>
      <c r="L163" s="634">
        <v>47.359999999999992</v>
      </c>
      <c r="M163" s="634">
        <v>5</v>
      </c>
      <c r="N163" s="635">
        <v>236.79999999999995</v>
      </c>
    </row>
    <row r="164" spans="1:14" ht="14.4" customHeight="1" x14ac:dyDescent="0.3">
      <c r="A164" s="630" t="s">
        <v>545</v>
      </c>
      <c r="B164" s="631" t="s">
        <v>1978</v>
      </c>
      <c r="C164" s="632" t="s">
        <v>555</v>
      </c>
      <c r="D164" s="633" t="s">
        <v>1980</v>
      </c>
      <c r="E164" s="632" t="s">
        <v>573</v>
      </c>
      <c r="F164" s="633" t="s">
        <v>1985</v>
      </c>
      <c r="G164" s="632" t="s">
        <v>574</v>
      </c>
      <c r="H164" s="632" t="s">
        <v>1109</v>
      </c>
      <c r="I164" s="632" t="s">
        <v>1110</v>
      </c>
      <c r="J164" s="632" t="s">
        <v>1111</v>
      </c>
      <c r="K164" s="632" t="s">
        <v>1112</v>
      </c>
      <c r="L164" s="634">
        <v>59.403333333333329</v>
      </c>
      <c r="M164" s="634">
        <v>6</v>
      </c>
      <c r="N164" s="635">
        <v>356.41999999999996</v>
      </c>
    </row>
    <row r="165" spans="1:14" ht="14.4" customHeight="1" x14ac:dyDescent="0.3">
      <c r="A165" s="630" t="s">
        <v>545</v>
      </c>
      <c r="B165" s="631" t="s">
        <v>1978</v>
      </c>
      <c r="C165" s="632" t="s">
        <v>555</v>
      </c>
      <c r="D165" s="633" t="s">
        <v>1980</v>
      </c>
      <c r="E165" s="632" t="s">
        <v>573</v>
      </c>
      <c r="F165" s="633" t="s">
        <v>1985</v>
      </c>
      <c r="G165" s="632" t="s">
        <v>574</v>
      </c>
      <c r="H165" s="632" t="s">
        <v>1113</v>
      </c>
      <c r="I165" s="632" t="s">
        <v>1114</v>
      </c>
      <c r="J165" s="632" t="s">
        <v>1115</v>
      </c>
      <c r="K165" s="632" t="s">
        <v>1116</v>
      </c>
      <c r="L165" s="634">
        <v>111.58380856754187</v>
      </c>
      <c r="M165" s="634">
        <v>60</v>
      </c>
      <c r="N165" s="635">
        <v>6695.028514052512</v>
      </c>
    </row>
    <row r="166" spans="1:14" ht="14.4" customHeight="1" x14ac:dyDescent="0.3">
      <c r="A166" s="630" t="s">
        <v>545</v>
      </c>
      <c r="B166" s="631" t="s">
        <v>1978</v>
      </c>
      <c r="C166" s="632" t="s">
        <v>555</v>
      </c>
      <c r="D166" s="633" t="s">
        <v>1980</v>
      </c>
      <c r="E166" s="632" t="s">
        <v>573</v>
      </c>
      <c r="F166" s="633" t="s">
        <v>1985</v>
      </c>
      <c r="G166" s="632" t="s">
        <v>574</v>
      </c>
      <c r="H166" s="632" t="s">
        <v>1117</v>
      </c>
      <c r="I166" s="632" t="s">
        <v>1118</v>
      </c>
      <c r="J166" s="632" t="s">
        <v>1119</v>
      </c>
      <c r="K166" s="632" t="s">
        <v>1120</v>
      </c>
      <c r="L166" s="634">
        <v>69.819432993717996</v>
      </c>
      <c r="M166" s="634">
        <v>2</v>
      </c>
      <c r="N166" s="635">
        <v>139.63886598743599</v>
      </c>
    </row>
    <row r="167" spans="1:14" ht="14.4" customHeight="1" x14ac:dyDescent="0.3">
      <c r="A167" s="630" t="s">
        <v>545</v>
      </c>
      <c r="B167" s="631" t="s">
        <v>1978</v>
      </c>
      <c r="C167" s="632" t="s">
        <v>555</v>
      </c>
      <c r="D167" s="633" t="s">
        <v>1980</v>
      </c>
      <c r="E167" s="632" t="s">
        <v>573</v>
      </c>
      <c r="F167" s="633" t="s">
        <v>1985</v>
      </c>
      <c r="G167" s="632" t="s">
        <v>574</v>
      </c>
      <c r="H167" s="632" t="s">
        <v>1121</v>
      </c>
      <c r="I167" s="632" t="s">
        <v>1122</v>
      </c>
      <c r="J167" s="632" t="s">
        <v>705</v>
      </c>
      <c r="K167" s="632" t="s">
        <v>1123</v>
      </c>
      <c r="L167" s="634">
        <v>723.1871351663101</v>
      </c>
      <c r="M167" s="634">
        <v>2</v>
      </c>
      <c r="N167" s="635">
        <v>1446.3742703326202</v>
      </c>
    </row>
    <row r="168" spans="1:14" ht="14.4" customHeight="1" x14ac:dyDescent="0.3">
      <c r="A168" s="630" t="s">
        <v>545</v>
      </c>
      <c r="B168" s="631" t="s">
        <v>1978</v>
      </c>
      <c r="C168" s="632" t="s">
        <v>555</v>
      </c>
      <c r="D168" s="633" t="s">
        <v>1980</v>
      </c>
      <c r="E168" s="632" t="s">
        <v>573</v>
      </c>
      <c r="F168" s="633" t="s">
        <v>1985</v>
      </c>
      <c r="G168" s="632" t="s">
        <v>574</v>
      </c>
      <c r="H168" s="632" t="s">
        <v>1124</v>
      </c>
      <c r="I168" s="632" t="s">
        <v>1125</v>
      </c>
      <c r="J168" s="632" t="s">
        <v>1126</v>
      </c>
      <c r="K168" s="632" t="s">
        <v>1127</v>
      </c>
      <c r="L168" s="634">
        <v>42.399955407951758</v>
      </c>
      <c r="M168" s="634">
        <v>12</v>
      </c>
      <c r="N168" s="635">
        <v>508.79946489542112</v>
      </c>
    </row>
    <row r="169" spans="1:14" ht="14.4" customHeight="1" x14ac:dyDescent="0.3">
      <c r="A169" s="630" t="s">
        <v>545</v>
      </c>
      <c r="B169" s="631" t="s">
        <v>1978</v>
      </c>
      <c r="C169" s="632" t="s">
        <v>555</v>
      </c>
      <c r="D169" s="633" t="s">
        <v>1980</v>
      </c>
      <c r="E169" s="632" t="s">
        <v>573</v>
      </c>
      <c r="F169" s="633" t="s">
        <v>1985</v>
      </c>
      <c r="G169" s="632" t="s">
        <v>574</v>
      </c>
      <c r="H169" s="632" t="s">
        <v>1128</v>
      </c>
      <c r="I169" s="632" t="s">
        <v>238</v>
      </c>
      <c r="J169" s="632" t="s">
        <v>1129</v>
      </c>
      <c r="K169" s="632" t="s">
        <v>1130</v>
      </c>
      <c r="L169" s="634">
        <v>23.7</v>
      </c>
      <c r="M169" s="634">
        <v>402</v>
      </c>
      <c r="N169" s="635">
        <v>9527.4</v>
      </c>
    </row>
    <row r="170" spans="1:14" ht="14.4" customHeight="1" x14ac:dyDescent="0.3">
      <c r="A170" s="630" t="s">
        <v>545</v>
      </c>
      <c r="B170" s="631" t="s">
        <v>1978</v>
      </c>
      <c r="C170" s="632" t="s">
        <v>555</v>
      </c>
      <c r="D170" s="633" t="s">
        <v>1980</v>
      </c>
      <c r="E170" s="632" t="s">
        <v>573</v>
      </c>
      <c r="F170" s="633" t="s">
        <v>1985</v>
      </c>
      <c r="G170" s="632" t="s">
        <v>574</v>
      </c>
      <c r="H170" s="632" t="s">
        <v>1131</v>
      </c>
      <c r="I170" s="632" t="s">
        <v>238</v>
      </c>
      <c r="J170" s="632" t="s">
        <v>1132</v>
      </c>
      <c r="K170" s="632" t="s">
        <v>1130</v>
      </c>
      <c r="L170" s="634">
        <v>24.037194261613511</v>
      </c>
      <c r="M170" s="634">
        <v>36</v>
      </c>
      <c r="N170" s="635">
        <v>865.33899341808637</v>
      </c>
    </row>
    <row r="171" spans="1:14" ht="14.4" customHeight="1" x14ac:dyDescent="0.3">
      <c r="A171" s="630" t="s">
        <v>545</v>
      </c>
      <c r="B171" s="631" t="s">
        <v>1978</v>
      </c>
      <c r="C171" s="632" t="s">
        <v>555</v>
      </c>
      <c r="D171" s="633" t="s">
        <v>1980</v>
      </c>
      <c r="E171" s="632" t="s">
        <v>573</v>
      </c>
      <c r="F171" s="633" t="s">
        <v>1985</v>
      </c>
      <c r="G171" s="632" t="s">
        <v>574</v>
      </c>
      <c r="H171" s="632" t="s">
        <v>1133</v>
      </c>
      <c r="I171" s="632" t="s">
        <v>238</v>
      </c>
      <c r="J171" s="632" t="s">
        <v>1134</v>
      </c>
      <c r="K171" s="632"/>
      <c r="L171" s="634">
        <v>146.91112283097846</v>
      </c>
      <c r="M171" s="634">
        <v>17</v>
      </c>
      <c r="N171" s="635">
        <v>2497.4890881266338</v>
      </c>
    </row>
    <row r="172" spans="1:14" ht="14.4" customHeight="1" x14ac:dyDescent="0.3">
      <c r="A172" s="630" t="s">
        <v>545</v>
      </c>
      <c r="B172" s="631" t="s">
        <v>1978</v>
      </c>
      <c r="C172" s="632" t="s">
        <v>555</v>
      </c>
      <c r="D172" s="633" t="s">
        <v>1980</v>
      </c>
      <c r="E172" s="632" t="s">
        <v>573</v>
      </c>
      <c r="F172" s="633" t="s">
        <v>1985</v>
      </c>
      <c r="G172" s="632" t="s">
        <v>574</v>
      </c>
      <c r="H172" s="632" t="s">
        <v>1135</v>
      </c>
      <c r="I172" s="632" t="s">
        <v>238</v>
      </c>
      <c r="J172" s="632" t="s">
        <v>1136</v>
      </c>
      <c r="K172" s="632"/>
      <c r="L172" s="634">
        <v>78.760000000000019</v>
      </c>
      <c r="M172" s="634">
        <v>1</v>
      </c>
      <c r="N172" s="635">
        <v>78.760000000000019</v>
      </c>
    </row>
    <row r="173" spans="1:14" ht="14.4" customHeight="1" x14ac:dyDescent="0.3">
      <c r="A173" s="630" t="s">
        <v>545</v>
      </c>
      <c r="B173" s="631" t="s">
        <v>1978</v>
      </c>
      <c r="C173" s="632" t="s">
        <v>555</v>
      </c>
      <c r="D173" s="633" t="s">
        <v>1980</v>
      </c>
      <c r="E173" s="632" t="s">
        <v>573</v>
      </c>
      <c r="F173" s="633" t="s">
        <v>1985</v>
      </c>
      <c r="G173" s="632" t="s">
        <v>574</v>
      </c>
      <c r="H173" s="632" t="s">
        <v>1137</v>
      </c>
      <c r="I173" s="632" t="s">
        <v>238</v>
      </c>
      <c r="J173" s="632" t="s">
        <v>1138</v>
      </c>
      <c r="K173" s="632"/>
      <c r="L173" s="634">
        <v>76.941529049524178</v>
      </c>
      <c r="M173" s="634">
        <v>108</v>
      </c>
      <c r="N173" s="635">
        <v>8309.6851373486115</v>
      </c>
    </row>
    <row r="174" spans="1:14" ht="14.4" customHeight="1" x14ac:dyDescent="0.3">
      <c r="A174" s="630" t="s">
        <v>545</v>
      </c>
      <c r="B174" s="631" t="s">
        <v>1978</v>
      </c>
      <c r="C174" s="632" t="s">
        <v>555</v>
      </c>
      <c r="D174" s="633" t="s">
        <v>1980</v>
      </c>
      <c r="E174" s="632" t="s">
        <v>573</v>
      </c>
      <c r="F174" s="633" t="s">
        <v>1985</v>
      </c>
      <c r="G174" s="632" t="s">
        <v>574</v>
      </c>
      <c r="H174" s="632" t="s">
        <v>1139</v>
      </c>
      <c r="I174" s="632" t="s">
        <v>238</v>
      </c>
      <c r="J174" s="632" t="s">
        <v>1140</v>
      </c>
      <c r="K174" s="632"/>
      <c r="L174" s="634">
        <v>125.68</v>
      </c>
      <c r="M174" s="634">
        <v>1</v>
      </c>
      <c r="N174" s="635">
        <v>125.68</v>
      </c>
    </row>
    <row r="175" spans="1:14" ht="14.4" customHeight="1" x14ac:dyDescent="0.3">
      <c r="A175" s="630" t="s">
        <v>545</v>
      </c>
      <c r="B175" s="631" t="s">
        <v>1978</v>
      </c>
      <c r="C175" s="632" t="s">
        <v>555</v>
      </c>
      <c r="D175" s="633" t="s">
        <v>1980</v>
      </c>
      <c r="E175" s="632" t="s">
        <v>573</v>
      </c>
      <c r="F175" s="633" t="s">
        <v>1985</v>
      </c>
      <c r="G175" s="632" t="s">
        <v>574</v>
      </c>
      <c r="H175" s="632" t="s">
        <v>1141</v>
      </c>
      <c r="I175" s="632" t="s">
        <v>238</v>
      </c>
      <c r="J175" s="632" t="s">
        <v>1142</v>
      </c>
      <c r="K175" s="632"/>
      <c r="L175" s="634">
        <v>123.97902862725387</v>
      </c>
      <c r="M175" s="634">
        <v>11</v>
      </c>
      <c r="N175" s="635">
        <v>1363.7693148997926</v>
      </c>
    </row>
    <row r="176" spans="1:14" ht="14.4" customHeight="1" x14ac:dyDescent="0.3">
      <c r="A176" s="630" t="s">
        <v>545</v>
      </c>
      <c r="B176" s="631" t="s">
        <v>1978</v>
      </c>
      <c r="C176" s="632" t="s">
        <v>555</v>
      </c>
      <c r="D176" s="633" t="s">
        <v>1980</v>
      </c>
      <c r="E176" s="632" t="s">
        <v>573</v>
      </c>
      <c r="F176" s="633" t="s">
        <v>1985</v>
      </c>
      <c r="G176" s="632" t="s">
        <v>574</v>
      </c>
      <c r="H176" s="632" t="s">
        <v>1143</v>
      </c>
      <c r="I176" s="632" t="s">
        <v>1144</v>
      </c>
      <c r="J176" s="632" t="s">
        <v>1145</v>
      </c>
      <c r="K176" s="632" t="s">
        <v>1146</v>
      </c>
      <c r="L176" s="634">
        <v>48.526250000000005</v>
      </c>
      <c r="M176" s="634">
        <v>16</v>
      </c>
      <c r="N176" s="635">
        <v>776.42000000000007</v>
      </c>
    </row>
    <row r="177" spans="1:14" ht="14.4" customHeight="1" x14ac:dyDescent="0.3">
      <c r="A177" s="630" t="s">
        <v>545</v>
      </c>
      <c r="B177" s="631" t="s">
        <v>1978</v>
      </c>
      <c r="C177" s="632" t="s">
        <v>555</v>
      </c>
      <c r="D177" s="633" t="s">
        <v>1980</v>
      </c>
      <c r="E177" s="632" t="s">
        <v>573</v>
      </c>
      <c r="F177" s="633" t="s">
        <v>1985</v>
      </c>
      <c r="G177" s="632" t="s">
        <v>574</v>
      </c>
      <c r="H177" s="632" t="s">
        <v>1147</v>
      </c>
      <c r="I177" s="632" t="s">
        <v>1148</v>
      </c>
      <c r="J177" s="632" t="s">
        <v>894</v>
      </c>
      <c r="K177" s="632" t="s">
        <v>1149</v>
      </c>
      <c r="L177" s="634">
        <v>41.16</v>
      </c>
      <c r="M177" s="634">
        <v>2</v>
      </c>
      <c r="N177" s="635">
        <v>82.32</v>
      </c>
    </row>
    <row r="178" spans="1:14" ht="14.4" customHeight="1" x14ac:dyDescent="0.3">
      <c r="A178" s="630" t="s">
        <v>545</v>
      </c>
      <c r="B178" s="631" t="s">
        <v>1978</v>
      </c>
      <c r="C178" s="632" t="s">
        <v>555</v>
      </c>
      <c r="D178" s="633" t="s">
        <v>1980</v>
      </c>
      <c r="E178" s="632" t="s">
        <v>573</v>
      </c>
      <c r="F178" s="633" t="s">
        <v>1985</v>
      </c>
      <c r="G178" s="632" t="s">
        <v>574</v>
      </c>
      <c r="H178" s="632" t="s">
        <v>1150</v>
      </c>
      <c r="I178" s="632" t="s">
        <v>1151</v>
      </c>
      <c r="J178" s="632" t="s">
        <v>1152</v>
      </c>
      <c r="K178" s="632" t="s">
        <v>1153</v>
      </c>
      <c r="L178" s="634">
        <v>44.82</v>
      </c>
      <c r="M178" s="634">
        <v>2</v>
      </c>
      <c r="N178" s="635">
        <v>89.64</v>
      </c>
    </row>
    <row r="179" spans="1:14" ht="14.4" customHeight="1" x14ac:dyDescent="0.3">
      <c r="A179" s="630" t="s">
        <v>545</v>
      </c>
      <c r="B179" s="631" t="s">
        <v>1978</v>
      </c>
      <c r="C179" s="632" t="s">
        <v>555</v>
      </c>
      <c r="D179" s="633" t="s">
        <v>1980</v>
      </c>
      <c r="E179" s="632" t="s">
        <v>573</v>
      </c>
      <c r="F179" s="633" t="s">
        <v>1985</v>
      </c>
      <c r="G179" s="632" t="s">
        <v>574</v>
      </c>
      <c r="H179" s="632" t="s">
        <v>1154</v>
      </c>
      <c r="I179" s="632" t="s">
        <v>1155</v>
      </c>
      <c r="J179" s="632" t="s">
        <v>1156</v>
      </c>
      <c r="K179" s="632" t="s">
        <v>759</v>
      </c>
      <c r="L179" s="634">
        <v>41.11999999999999</v>
      </c>
      <c r="M179" s="634">
        <v>2</v>
      </c>
      <c r="N179" s="635">
        <v>82.239999999999981</v>
      </c>
    </row>
    <row r="180" spans="1:14" ht="14.4" customHeight="1" x14ac:dyDescent="0.3">
      <c r="A180" s="630" t="s">
        <v>545</v>
      </c>
      <c r="B180" s="631" t="s">
        <v>1978</v>
      </c>
      <c r="C180" s="632" t="s">
        <v>555</v>
      </c>
      <c r="D180" s="633" t="s">
        <v>1980</v>
      </c>
      <c r="E180" s="632" t="s">
        <v>573</v>
      </c>
      <c r="F180" s="633" t="s">
        <v>1985</v>
      </c>
      <c r="G180" s="632" t="s">
        <v>574</v>
      </c>
      <c r="H180" s="632" t="s">
        <v>1157</v>
      </c>
      <c r="I180" s="632" t="s">
        <v>1158</v>
      </c>
      <c r="J180" s="632" t="s">
        <v>1159</v>
      </c>
      <c r="K180" s="632" t="s">
        <v>1160</v>
      </c>
      <c r="L180" s="634">
        <v>117.73993573611818</v>
      </c>
      <c r="M180" s="634">
        <v>30</v>
      </c>
      <c r="N180" s="635">
        <v>3532.1980720835454</v>
      </c>
    </row>
    <row r="181" spans="1:14" ht="14.4" customHeight="1" x14ac:dyDescent="0.3">
      <c r="A181" s="630" t="s">
        <v>545</v>
      </c>
      <c r="B181" s="631" t="s">
        <v>1978</v>
      </c>
      <c r="C181" s="632" t="s">
        <v>555</v>
      </c>
      <c r="D181" s="633" t="s">
        <v>1980</v>
      </c>
      <c r="E181" s="632" t="s">
        <v>573</v>
      </c>
      <c r="F181" s="633" t="s">
        <v>1985</v>
      </c>
      <c r="G181" s="632" t="s">
        <v>574</v>
      </c>
      <c r="H181" s="632" t="s">
        <v>1161</v>
      </c>
      <c r="I181" s="632" t="s">
        <v>1162</v>
      </c>
      <c r="J181" s="632" t="s">
        <v>1163</v>
      </c>
      <c r="K181" s="632" t="s">
        <v>1164</v>
      </c>
      <c r="L181" s="634">
        <v>568.91</v>
      </c>
      <c r="M181" s="634">
        <v>6</v>
      </c>
      <c r="N181" s="635">
        <v>3413.46</v>
      </c>
    </row>
    <row r="182" spans="1:14" ht="14.4" customHeight="1" x14ac:dyDescent="0.3">
      <c r="A182" s="630" t="s">
        <v>545</v>
      </c>
      <c r="B182" s="631" t="s">
        <v>1978</v>
      </c>
      <c r="C182" s="632" t="s">
        <v>555</v>
      </c>
      <c r="D182" s="633" t="s">
        <v>1980</v>
      </c>
      <c r="E182" s="632" t="s">
        <v>573</v>
      </c>
      <c r="F182" s="633" t="s">
        <v>1985</v>
      </c>
      <c r="G182" s="632" t="s">
        <v>574</v>
      </c>
      <c r="H182" s="632" t="s">
        <v>1165</v>
      </c>
      <c r="I182" s="632" t="s">
        <v>1166</v>
      </c>
      <c r="J182" s="632" t="s">
        <v>1167</v>
      </c>
      <c r="K182" s="632" t="s">
        <v>1168</v>
      </c>
      <c r="L182" s="634">
        <v>137.03000000000003</v>
      </c>
      <c r="M182" s="634">
        <v>3</v>
      </c>
      <c r="N182" s="635">
        <v>411.09000000000009</v>
      </c>
    </row>
    <row r="183" spans="1:14" ht="14.4" customHeight="1" x14ac:dyDescent="0.3">
      <c r="A183" s="630" t="s">
        <v>545</v>
      </c>
      <c r="B183" s="631" t="s">
        <v>1978</v>
      </c>
      <c r="C183" s="632" t="s">
        <v>555</v>
      </c>
      <c r="D183" s="633" t="s">
        <v>1980</v>
      </c>
      <c r="E183" s="632" t="s">
        <v>573</v>
      </c>
      <c r="F183" s="633" t="s">
        <v>1985</v>
      </c>
      <c r="G183" s="632" t="s">
        <v>574</v>
      </c>
      <c r="H183" s="632" t="s">
        <v>1169</v>
      </c>
      <c r="I183" s="632" t="s">
        <v>1170</v>
      </c>
      <c r="J183" s="632" t="s">
        <v>1171</v>
      </c>
      <c r="K183" s="632" t="s">
        <v>1172</v>
      </c>
      <c r="L183" s="634">
        <v>456.59898685488452</v>
      </c>
      <c r="M183" s="634">
        <v>1</v>
      </c>
      <c r="N183" s="635">
        <v>456.59898685488452</v>
      </c>
    </row>
    <row r="184" spans="1:14" ht="14.4" customHeight="1" x14ac:dyDescent="0.3">
      <c r="A184" s="630" t="s">
        <v>545</v>
      </c>
      <c r="B184" s="631" t="s">
        <v>1978</v>
      </c>
      <c r="C184" s="632" t="s">
        <v>555</v>
      </c>
      <c r="D184" s="633" t="s">
        <v>1980</v>
      </c>
      <c r="E184" s="632" t="s">
        <v>573</v>
      </c>
      <c r="F184" s="633" t="s">
        <v>1985</v>
      </c>
      <c r="G184" s="632" t="s">
        <v>574</v>
      </c>
      <c r="H184" s="632" t="s">
        <v>1173</v>
      </c>
      <c r="I184" s="632" t="s">
        <v>1174</v>
      </c>
      <c r="J184" s="632" t="s">
        <v>1175</v>
      </c>
      <c r="K184" s="632" t="s">
        <v>1176</v>
      </c>
      <c r="L184" s="634">
        <v>424.12496806152808</v>
      </c>
      <c r="M184" s="634">
        <v>1</v>
      </c>
      <c r="N184" s="635">
        <v>424.12496806152808</v>
      </c>
    </row>
    <row r="185" spans="1:14" ht="14.4" customHeight="1" x14ac:dyDescent="0.3">
      <c r="A185" s="630" t="s">
        <v>545</v>
      </c>
      <c r="B185" s="631" t="s">
        <v>1978</v>
      </c>
      <c r="C185" s="632" t="s">
        <v>555</v>
      </c>
      <c r="D185" s="633" t="s">
        <v>1980</v>
      </c>
      <c r="E185" s="632" t="s">
        <v>573</v>
      </c>
      <c r="F185" s="633" t="s">
        <v>1985</v>
      </c>
      <c r="G185" s="632" t="s">
        <v>574</v>
      </c>
      <c r="H185" s="632" t="s">
        <v>1177</v>
      </c>
      <c r="I185" s="632" t="s">
        <v>1178</v>
      </c>
      <c r="J185" s="632" t="s">
        <v>1179</v>
      </c>
      <c r="K185" s="632" t="s">
        <v>1180</v>
      </c>
      <c r="L185" s="634">
        <v>78.250000000000014</v>
      </c>
      <c r="M185" s="634">
        <v>3</v>
      </c>
      <c r="N185" s="635">
        <v>234.75000000000003</v>
      </c>
    </row>
    <row r="186" spans="1:14" ht="14.4" customHeight="1" x14ac:dyDescent="0.3">
      <c r="A186" s="630" t="s">
        <v>545</v>
      </c>
      <c r="B186" s="631" t="s">
        <v>1978</v>
      </c>
      <c r="C186" s="632" t="s">
        <v>555</v>
      </c>
      <c r="D186" s="633" t="s">
        <v>1980</v>
      </c>
      <c r="E186" s="632" t="s">
        <v>573</v>
      </c>
      <c r="F186" s="633" t="s">
        <v>1985</v>
      </c>
      <c r="G186" s="632" t="s">
        <v>574</v>
      </c>
      <c r="H186" s="632" t="s">
        <v>1181</v>
      </c>
      <c r="I186" s="632" t="s">
        <v>1182</v>
      </c>
      <c r="J186" s="632" t="s">
        <v>1183</v>
      </c>
      <c r="K186" s="632" t="s">
        <v>1184</v>
      </c>
      <c r="L186" s="634">
        <v>98.03</v>
      </c>
      <c r="M186" s="634">
        <v>4</v>
      </c>
      <c r="N186" s="635">
        <v>392.12</v>
      </c>
    </row>
    <row r="187" spans="1:14" ht="14.4" customHeight="1" x14ac:dyDescent="0.3">
      <c r="A187" s="630" t="s">
        <v>545</v>
      </c>
      <c r="B187" s="631" t="s">
        <v>1978</v>
      </c>
      <c r="C187" s="632" t="s">
        <v>555</v>
      </c>
      <c r="D187" s="633" t="s">
        <v>1980</v>
      </c>
      <c r="E187" s="632" t="s">
        <v>573</v>
      </c>
      <c r="F187" s="633" t="s">
        <v>1985</v>
      </c>
      <c r="G187" s="632" t="s">
        <v>574</v>
      </c>
      <c r="H187" s="632" t="s">
        <v>1185</v>
      </c>
      <c r="I187" s="632" t="s">
        <v>1186</v>
      </c>
      <c r="J187" s="632" t="s">
        <v>930</v>
      </c>
      <c r="K187" s="632" t="s">
        <v>1187</v>
      </c>
      <c r="L187" s="634">
        <v>326.32</v>
      </c>
      <c r="M187" s="634">
        <v>8</v>
      </c>
      <c r="N187" s="635">
        <v>2610.56</v>
      </c>
    </row>
    <row r="188" spans="1:14" ht="14.4" customHeight="1" x14ac:dyDescent="0.3">
      <c r="A188" s="630" t="s">
        <v>545</v>
      </c>
      <c r="B188" s="631" t="s">
        <v>1978</v>
      </c>
      <c r="C188" s="632" t="s">
        <v>555</v>
      </c>
      <c r="D188" s="633" t="s">
        <v>1980</v>
      </c>
      <c r="E188" s="632" t="s">
        <v>573</v>
      </c>
      <c r="F188" s="633" t="s">
        <v>1985</v>
      </c>
      <c r="G188" s="632" t="s">
        <v>574</v>
      </c>
      <c r="H188" s="632" t="s">
        <v>1188</v>
      </c>
      <c r="I188" s="632" t="s">
        <v>1189</v>
      </c>
      <c r="J188" s="632" t="s">
        <v>1190</v>
      </c>
      <c r="K188" s="632" t="s">
        <v>1191</v>
      </c>
      <c r="L188" s="634">
        <v>62.939445813098153</v>
      </c>
      <c r="M188" s="634">
        <v>131</v>
      </c>
      <c r="N188" s="635">
        <v>8245.0674015158584</v>
      </c>
    </row>
    <row r="189" spans="1:14" ht="14.4" customHeight="1" x14ac:dyDescent="0.3">
      <c r="A189" s="630" t="s">
        <v>545</v>
      </c>
      <c r="B189" s="631" t="s">
        <v>1978</v>
      </c>
      <c r="C189" s="632" t="s">
        <v>555</v>
      </c>
      <c r="D189" s="633" t="s">
        <v>1980</v>
      </c>
      <c r="E189" s="632" t="s">
        <v>573</v>
      </c>
      <c r="F189" s="633" t="s">
        <v>1985</v>
      </c>
      <c r="G189" s="632" t="s">
        <v>574</v>
      </c>
      <c r="H189" s="632" t="s">
        <v>1192</v>
      </c>
      <c r="I189" s="632" t="s">
        <v>238</v>
      </c>
      <c r="J189" s="632" t="s">
        <v>1193</v>
      </c>
      <c r="K189" s="632" t="s">
        <v>1194</v>
      </c>
      <c r="L189" s="634">
        <v>199.67000000000004</v>
      </c>
      <c r="M189" s="634">
        <v>13</v>
      </c>
      <c r="N189" s="635">
        <v>2595.7100000000005</v>
      </c>
    </row>
    <row r="190" spans="1:14" ht="14.4" customHeight="1" x14ac:dyDescent="0.3">
      <c r="A190" s="630" t="s">
        <v>545</v>
      </c>
      <c r="B190" s="631" t="s">
        <v>1978</v>
      </c>
      <c r="C190" s="632" t="s">
        <v>555</v>
      </c>
      <c r="D190" s="633" t="s">
        <v>1980</v>
      </c>
      <c r="E190" s="632" t="s">
        <v>573</v>
      </c>
      <c r="F190" s="633" t="s">
        <v>1985</v>
      </c>
      <c r="G190" s="632" t="s">
        <v>574</v>
      </c>
      <c r="H190" s="632" t="s">
        <v>1195</v>
      </c>
      <c r="I190" s="632" t="s">
        <v>238</v>
      </c>
      <c r="J190" s="632" t="s">
        <v>1196</v>
      </c>
      <c r="K190" s="632" t="s">
        <v>1197</v>
      </c>
      <c r="L190" s="634">
        <v>176.53308254963429</v>
      </c>
      <c r="M190" s="634">
        <v>29</v>
      </c>
      <c r="N190" s="635">
        <v>5119.4593939393944</v>
      </c>
    </row>
    <row r="191" spans="1:14" ht="14.4" customHeight="1" x14ac:dyDescent="0.3">
      <c r="A191" s="630" t="s">
        <v>545</v>
      </c>
      <c r="B191" s="631" t="s">
        <v>1978</v>
      </c>
      <c r="C191" s="632" t="s">
        <v>555</v>
      </c>
      <c r="D191" s="633" t="s">
        <v>1980</v>
      </c>
      <c r="E191" s="632" t="s">
        <v>573</v>
      </c>
      <c r="F191" s="633" t="s">
        <v>1985</v>
      </c>
      <c r="G191" s="632" t="s">
        <v>574</v>
      </c>
      <c r="H191" s="632" t="s">
        <v>1198</v>
      </c>
      <c r="I191" s="632" t="s">
        <v>1199</v>
      </c>
      <c r="J191" s="632" t="s">
        <v>1200</v>
      </c>
      <c r="K191" s="632" t="s">
        <v>1201</v>
      </c>
      <c r="L191" s="634">
        <v>1036.82</v>
      </c>
      <c r="M191" s="634">
        <v>102</v>
      </c>
      <c r="N191" s="635">
        <v>105755.63999999998</v>
      </c>
    </row>
    <row r="192" spans="1:14" ht="14.4" customHeight="1" x14ac:dyDescent="0.3">
      <c r="A192" s="630" t="s">
        <v>545</v>
      </c>
      <c r="B192" s="631" t="s">
        <v>1978</v>
      </c>
      <c r="C192" s="632" t="s">
        <v>555</v>
      </c>
      <c r="D192" s="633" t="s">
        <v>1980</v>
      </c>
      <c r="E192" s="632" t="s">
        <v>573</v>
      </c>
      <c r="F192" s="633" t="s">
        <v>1985</v>
      </c>
      <c r="G192" s="632" t="s">
        <v>574</v>
      </c>
      <c r="H192" s="632" t="s">
        <v>1202</v>
      </c>
      <c r="I192" s="632" t="s">
        <v>1203</v>
      </c>
      <c r="J192" s="632" t="s">
        <v>1204</v>
      </c>
      <c r="K192" s="632" t="s">
        <v>1205</v>
      </c>
      <c r="L192" s="634">
        <v>399.47979547690386</v>
      </c>
      <c r="M192" s="634">
        <v>66</v>
      </c>
      <c r="N192" s="635">
        <v>26365.666501475655</v>
      </c>
    </row>
    <row r="193" spans="1:14" ht="14.4" customHeight="1" x14ac:dyDescent="0.3">
      <c r="A193" s="630" t="s">
        <v>545</v>
      </c>
      <c r="B193" s="631" t="s">
        <v>1978</v>
      </c>
      <c r="C193" s="632" t="s">
        <v>555</v>
      </c>
      <c r="D193" s="633" t="s">
        <v>1980</v>
      </c>
      <c r="E193" s="632" t="s">
        <v>573</v>
      </c>
      <c r="F193" s="633" t="s">
        <v>1985</v>
      </c>
      <c r="G193" s="632" t="s">
        <v>574</v>
      </c>
      <c r="H193" s="632" t="s">
        <v>1206</v>
      </c>
      <c r="I193" s="632" t="s">
        <v>238</v>
      </c>
      <c r="J193" s="632" t="s">
        <v>1207</v>
      </c>
      <c r="K193" s="632"/>
      <c r="L193" s="634">
        <v>217.57179610127324</v>
      </c>
      <c r="M193" s="634">
        <v>3</v>
      </c>
      <c r="N193" s="635">
        <v>652.71538830381974</v>
      </c>
    </row>
    <row r="194" spans="1:14" ht="14.4" customHeight="1" x14ac:dyDescent="0.3">
      <c r="A194" s="630" t="s">
        <v>545</v>
      </c>
      <c r="B194" s="631" t="s">
        <v>1978</v>
      </c>
      <c r="C194" s="632" t="s">
        <v>555</v>
      </c>
      <c r="D194" s="633" t="s">
        <v>1980</v>
      </c>
      <c r="E194" s="632" t="s">
        <v>573</v>
      </c>
      <c r="F194" s="633" t="s">
        <v>1985</v>
      </c>
      <c r="G194" s="632" t="s">
        <v>574</v>
      </c>
      <c r="H194" s="632" t="s">
        <v>1208</v>
      </c>
      <c r="I194" s="632" t="s">
        <v>1209</v>
      </c>
      <c r="J194" s="632" t="s">
        <v>890</v>
      </c>
      <c r="K194" s="632" t="s">
        <v>1210</v>
      </c>
      <c r="L194" s="634">
        <v>37.780000000000008</v>
      </c>
      <c r="M194" s="634">
        <v>1</v>
      </c>
      <c r="N194" s="635">
        <v>37.780000000000008</v>
      </c>
    </row>
    <row r="195" spans="1:14" ht="14.4" customHeight="1" x14ac:dyDescent="0.3">
      <c r="A195" s="630" t="s">
        <v>545</v>
      </c>
      <c r="B195" s="631" t="s">
        <v>1978</v>
      </c>
      <c r="C195" s="632" t="s">
        <v>555</v>
      </c>
      <c r="D195" s="633" t="s">
        <v>1980</v>
      </c>
      <c r="E195" s="632" t="s">
        <v>573</v>
      </c>
      <c r="F195" s="633" t="s">
        <v>1985</v>
      </c>
      <c r="G195" s="632" t="s">
        <v>574</v>
      </c>
      <c r="H195" s="632" t="s">
        <v>1211</v>
      </c>
      <c r="I195" s="632" t="s">
        <v>1212</v>
      </c>
      <c r="J195" s="632" t="s">
        <v>1213</v>
      </c>
      <c r="K195" s="632" t="s">
        <v>1214</v>
      </c>
      <c r="L195" s="634">
        <v>203.29999999999998</v>
      </c>
      <c r="M195" s="634">
        <v>5</v>
      </c>
      <c r="N195" s="635">
        <v>1016.4999999999999</v>
      </c>
    </row>
    <row r="196" spans="1:14" ht="14.4" customHeight="1" x14ac:dyDescent="0.3">
      <c r="A196" s="630" t="s">
        <v>545</v>
      </c>
      <c r="B196" s="631" t="s">
        <v>1978</v>
      </c>
      <c r="C196" s="632" t="s">
        <v>555</v>
      </c>
      <c r="D196" s="633" t="s">
        <v>1980</v>
      </c>
      <c r="E196" s="632" t="s">
        <v>573</v>
      </c>
      <c r="F196" s="633" t="s">
        <v>1985</v>
      </c>
      <c r="G196" s="632" t="s">
        <v>574</v>
      </c>
      <c r="H196" s="632" t="s">
        <v>1215</v>
      </c>
      <c r="I196" s="632" t="s">
        <v>238</v>
      </c>
      <c r="J196" s="632" t="s">
        <v>1216</v>
      </c>
      <c r="K196" s="632" t="s">
        <v>1217</v>
      </c>
      <c r="L196" s="634">
        <v>359.86227272727257</v>
      </c>
      <c r="M196" s="634">
        <v>6</v>
      </c>
      <c r="N196" s="635">
        <v>2159.1736363636355</v>
      </c>
    </row>
    <row r="197" spans="1:14" ht="14.4" customHeight="1" x14ac:dyDescent="0.3">
      <c r="A197" s="630" t="s">
        <v>545</v>
      </c>
      <c r="B197" s="631" t="s">
        <v>1978</v>
      </c>
      <c r="C197" s="632" t="s">
        <v>555</v>
      </c>
      <c r="D197" s="633" t="s">
        <v>1980</v>
      </c>
      <c r="E197" s="632" t="s">
        <v>573</v>
      </c>
      <c r="F197" s="633" t="s">
        <v>1985</v>
      </c>
      <c r="G197" s="632" t="s">
        <v>574</v>
      </c>
      <c r="H197" s="632" t="s">
        <v>1218</v>
      </c>
      <c r="I197" s="632" t="s">
        <v>1218</v>
      </c>
      <c r="J197" s="632" t="s">
        <v>1219</v>
      </c>
      <c r="K197" s="632" t="s">
        <v>1079</v>
      </c>
      <c r="L197" s="634">
        <v>334.78</v>
      </c>
      <c r="M197" s="634">
        <v>30</v>
      </c>
      <c r="N197" s="635">
        <v>10043.4</v>
      </c>
    </row>
    <row r="198" spans="1:14" ht="14.4" customHeight="1" x14ac:dyDescent="0.3">
      <c r="A198" s="630" t="s">
        <v>545</v>
      </c>
      <c r="B198" s="631" t="s">
        <v>1978</v>
      </c>
      <c r="C198" s="632" t="s">
        <v>555</v>
      </c>
      <c r="D198" s="633" t="s">
        <v>1980</v>
      </c>
      <c r="E198" s="632" t="s">
        <v>573</v>
      </c>
      <c r="F198" s="633" t="s">
        <v>1985</v>
      </c>
      <c r="G198" s="632" t="s">
        <v>574</v>
      </c>
      <c r="H198" s="632" t="s">
        <v>1220</v>
      </c>
      <c r="I198" s="632" t="s">
        <v>1221</v>
      </c>
      <c r="J198" s="632" t="s">
        <v>1222</v>
      </c>
      <c r="K198" s="632" t="s">
        <v>1223</v>
      </c>
      <c r="L198" s="634">
        <v>54.749999999999993</v>
      </c>
      <c r="M198" s="634">
        <v>2</v>
      </c>
      <c r="N198" s="635">
        <v>109.49999999999999</v>
      </c>
    </row>
    <row r="199" spans="1:14" ht="14.4" customHeight="1" x14ac:dyDescent="0.3">
      <c r="A199" s="630" t="s">
        <v>545</v>
      </c>
      <c r="B199" s="631" t="s">
        <v>1978</v>
      </c>
      <c r="C199" s="632" t="s">
        <v>555</v>
      </c>
      <c r="D199" s="633" t="s">
        <v>1980</v>
      </c>
      <c r="E199" s="632" t="s">
        <v>573</v>
      </c>
      <c r="F199" s="633" t="s">
        <v>1985</v>
      </c>
      <c r="G199" s="632" t="s">
        <v>574</v>
      </c>
      <c r="H199" s="632" t="s">
        <v>1224</v>
      </c>
      <c r="I199" s="632" t="s">
        <v>238</v>
      </c>
      <c r="J199" s="632" t="s">
        <v>1225</v>
      </c>
      <c r="K199" s="632"/>
      <c r="L199" s="634">
        <v>125.81999999999998</v>
      </c>
      <c r="M199" s="634">
        <v>5</v>
      </c>
      <c r="N199" s="635">
        <v>629.09999999999991</v>
      </c>
    </row>
    <row r="200" spans="1:14" ht="14.4" customHeight="1" x14ac:dyDescent="0.3">
      <c r="A200" s="630" t="s">
        <v>545</v>
      </c>
      <c r="B200" s="631" t="s">
        <v>1978</v>
      </c>
      <c r="C200" s="632" t="s">
        <v>555</v>
      </c>
      <c r="D200" s="633" t="s">
        <v>1980</v>
      </c>
      <c r="E200" s="632" t="s">
        <v>573</v>
      </c>
      <c r="F200" s="633" t="s">
        <v>1985</v>
      </c>
      <c r="G200" s="632" t="s">
        <v>574</v>
      </c>
      <c r="H200" s="632" t="s">
        <v>1226</v>
      </c>
      <c r="I200" s="632" t="s">
        <v>1227</v>
      </c>
      <c r="J200" s="632" t="s">
        <v>1228</v>
      </c>
      <c r="K200" s="632" t="s">
        <v>1229</v>
      </c>
      <c r="L200" s="634">
        <v>411.7</v>
      </c>
      <c r="M200" s="634">
        <v>2</v>
      </c>
      <c r="N200" s="635">
        <v>823.4</v>
      </c>
    </row>
    <row r="201" spans="1:14" ht="14.4" customHeight="1" x14ac:dyDescent="0.3">
      <c r="A201" s="630" t="s">
        <v>545</v>
      </c>
      <c r="B201" s="631" t="s">
        <v>1978</v>
      </c>
      <c r="C201" s="632" t="s">
        <v>555</v>
      </c>
      <c r="D201" s="633" t="s">
        <v>1980</v>
      </c>
      <c r="E201" s="632" t="s">
        <v>573</v>
      </c>
      <c r="F201" s="633" t="s">
        <v>1985</v>
      </c>
      <c r="G201" s="632" t="s">
        <v>574</v>
      </c>
      <c r="H201" s="632" t="s">
        <v>1230</v>
      </c>
      <c r="I201" s="632" t="s">
        <v>1231</v>
      </c>
      <c r="J201" s="632" t="s">
        <v>1232</v>
      </c>
      <c r="K201" s="632" t="s">
        <v>1233</v>
      </c>
      <c r="L201" s="634">
        <v>109.22999999999999</v>
      </c>
      <c r="M201" s="634">
        <v>10</v>
      </c>
      <c r="N201" s="635">
        <v>1092.3</v>
      </c>
    </row>
    <row r="202" spans="1:14" ht="14.4" customHeight="1" x14ac:dyDescent="0.3">
      <c r="A202" s="630" t="s">
        <v>545</v>
      </c>
      <c r="B202" s="631" t="s">
        <v>1978</v>
      </c>
      <c r="C202" s="632" t="s">
        <v>555</v>
      </c>
      <c r="D202" s="633" t="s">
        <v>1980</v>
      </c>
      <c r="E202" s="632" t="s">
        <v>573</v>
      </c>
      <c r="F202" s="633" t="s">
        <v>1985</v>
      </c>
      <c r="G202" s="632" t="s">
        <v>574</v>
      </c>
      <c r="H202" s="632" t="s">
        <v>1234</v>
      </c>
      <c r="I202" s="632" t="s">
        <v>1235</v>
      </c>
      <c r="J202" s="632" t="s">
        <v>1236</v>
      </c>
      <c r="K202" s="632" t="s">
        <v>1237</v>
      </c>
      <c r="L202" s="634">
        <v>734.05000000000007</v>
      </c>
      <c r="M202" s="634">
        <v>7</v>
      </c>
      <c r="N202" s="635">
        <v>5138.3500000000004</v>
      </c>
    </row>
    <row r="203" spans="1:14" ht="14.4" customHeight="1" x14ac:dyDescent="0.3">
      <c r="A203" s="630" t="s">
        <v>545</v>
      </c>
      <c r="B203" s="631" t="s">
        <v>1978</v>
      </c>
      <c r="C203" s="632" t="s">
        <v>555</v>
      </c>
      <c r="D203" s="633" t="s">
        <v>1980</v>
      </c>
      <c r="E203" s="632" t="s">
        <v>573</v>
      </c>
      <c r="F203" s="633" t="s">
        <v>1985</v>
      </c>
      <c r="G203" s="632" t="s">
        <v>574</v>
      </c>
      <c r="H203" s="632" t="s">
        <v>1238</v>
      </c>
      <c r="I203" s="632" t="s">
        <v>238</v>
      </c>
      <c r="J203" s="632" t="s">
        <v>1239</v>
      </c>
      <c r="K203" s="632"/>
      <c r="L203" s="634">
        <v>539.82258928584258</v>
      </c>
      <c r="M203" s="634">
        <v>1</v>
      </c>
      <c r="N203" s="635">
        <v>539.82258928584258</v>
      </c>
    </row>
    <row r="204" spans="1:14" ht="14.4" customHeight="1" x14ac:dyDescent="0.3">
      <c r="A204" s="630" t="s">
        <v>545</v>
      </c>
      <c r="B204" s="631" t="s">
        <v>1978</v>
      </c>
      <c r="C204" s="632" t="s">
        <v>555</v>
      </c>
      <c r="D204" s="633" t="s">
        <v>1980</v>
      </c>
      <c r="E204" s="632" t="s">
        <v>573</v>
      </c>
      <c r="F204" s="633" t="s">
        <v>1985</v>
      </c>
      <c r="G204" s="632" t="s">
        <v>574</v>
      </c>
      <c r="H204" s="632" t="s">
        <v>1240</v>
      </c>
      <c r="I204" s="632" t="s">
        <v>1241</v>
      </c>
      <c r="J204" s="632" t="s">
        <v>1242</v>
      </c>
      <c r="K204" s="632" t="s">
        <v>1243</v>
      </c>
      <c r="L204" s="634">
        <v>96.596666666666678</v>
      </c>
      <c r="M204" s="634">
        <v>6</v>
      </c>
      <c r="N204" s="635">
        <v>579.58000000000004</v>
      </c>
    </row>
    <row r="205" spans="1:14" ht="14.4" customHeight="1" x14ac:dyDescent="0.3">
      <c r="A205" s="630" t="s">
        <v>545</v>
      </c>
      <c r="B205" s="631" t="s">
        <v>1978</v>
      </c>
      <c r="C205" s="632" t="s">
        <v>555</v>
      </c>
      <c r="D205" s="633" t="s">
        <v>1980</v>
      </c>
      <c r="E205" s="632" t="s">
        <v>573</v>
      </c>
      <c r="F205" s="633" t="s">
        <v>1985</v>
      </c>
      <c r="G205" s="632" t="s">
        <v>574</v>
      </c>
      <c r="H205" s="632" t="s">
        <v>1244</v>
      </c>
      <c r="I205" s="632" t="s">
        <v>1245</v>
      </c>
      <c r="J205" s="632" t="s">
        <v>588</v>
      </c>
      <c r="K205" s="632" t="s">
        <v>702</v>
      </c>
      <c r="L205" s="634">
        <v>210.45</v>
      </c>
      <c r="M205" s="634">
        <v>26</v>
      </c>
      <c r="N205" s="635">
        <v>5471.7</v>
      </c>
    </row>
    <row r="206" spans="1:14" ht="14.4" customHeight="1" x14ac:dyDescent="0.3">
      <c r="A206" s="630" t="s">
        <v>545</v>
      </c>
      <c r="B206" s="631" t="s">
        <v>1978</v>
      </c>
      <c r="C206" s="632" t="s">
        <v>555</v>
      </c>
      <c r="D206" s="633" t="s">
        <v>1980</v>
      </c>
      <c r="E206" s="632" t="s">
        <v>573</v>
      </c>
      <c r="F206" s="633" t="s">
        <v>1985</v>
      </c>
      <c r="G206" s="632" t="s">
        <v>574</v>
      </c>
      <c r="H206" s="632" t="s">
        <v>1246</v>
      </c>
      <c r="I206" s="632" t="s">
        <v>1247</v>
      </c>
      <c r="J206" s="632" t="s">
        <v>1248</v>
      </c>
      <c r="K206" s="632" t="s">
        <v>1249</v>
      </c>
      <c r="L206" s="634">
        <v>159.17500000000001</v>
      </c>
      <c r="M206" s="634">
        <v>2</v>
      </c>
      <c r="N206" s="635">
        <v>318.35000000000002</v>
      </c>
    </row>
    <row r="207" spans="1:14" ht="14.4" customHeight="1" x14ac:dyDescent="0.3">
      <c r="A207" s="630" t="s">
        <v>545</v>
      </c>
      <c r="B207" s="631" t="s">
        <v>1978</v>
      </c>
      <c r="C207" s="632" t="s">
        <v>555</v>
      </c>
      <c r="D207" s="633" t="s">
        <v>1980</v>
      </c>
      <c r="E207" s="632" t="s">
        <v>573</v>
      </c>
      <c r="F207" s="633" t="s">
        <v>1985</v>
      </c>
      <c r="G207" s="632" t="s">
        <v>574</v>
      </c>
      <c r="H207" s="632" t="s">
        <v>1250</v>
      </c>
      <c r="I207" s="632" t="s">
        <v>1251</v>
      </c>
      <c r="J207" s="632" t="s">
        <v>1252</v>
      </c>
      <c r="K207" s="632" t="s">
        <v>1253</v>
      </c>
      <c r="L207" s="634">
        <v>72.427499999999981</v>
      </c>
      <c r="M207" s="634">
        <v>20</v>
      </c>
      <c r="N207" s="635">
        <v>1448.5499999999997</v>
      </c>
    </row>
    <row r="208" spans="1:14" ht="14.4" customHeight="1" x14ac:dyDescent="0.3">
      <c r="A208" s="630" t="s">
        <v>545</v>
      </c>
      <c r="B208" s="631" t="s">
        <v>1978</v>
      </c>
      <c r="C208" s="632" t="s">
        <v>555</v>
      </c>
      <c r="D208" s="633" t="s">
        <v>1980</v>
      </c>
      <c r="E208" s="632" t="s">
        <v>573</v>
      </c>
      <c r="F208" s="633" t="s">
        <v>1985</v>
      </c>
      <c r="G208" s="632" t="s">
        <v>574</v>
      </c>
      <c r="H208" s="632" t="s">
        <v>1254</v>
      </c>
      <c r="I208" s="632" t="s">
        <v>1255</v>
      </c>
      <c r="J208" s="632" t="s">
        <v>1256</v>
      </c>
      <c r="K208" s="632" t="s">
        <v>1257</v>
      </c>
      <c r="L208" s="634">
        <v>339.94000000000005</v>
      </c>
      <c r="M208" s="634">
        <v>2</v>
      </c>
      <c r="N208" s="635">
        <v>679.88000000000011</v>
      </c>
    </row>
    <row r="209" spans="1:14" ht="14.4" customHeight="1" x14ac:dyDescent="0.3">
      <c r="A209" s="630" t="s">
        <v>545</v>
      </c>
      <c r="B209" s="631" t="s">
        <v>1978</v>
      </c>
      <c r="C209" s="632" t="s">
        <v>555</v>
      </c>
      <c r="D209" s="633" t="s">
        <v>1980</v>
      </c>
      <c r="E209" s="632" t="s">
        <v>573</v>
      </c>
      <c r="F209" s="633" t="s">
        <v>1985</v>
      </c>
      <c r="G209" s="632" t="s">
        <v>574</v>
      </c>
      <c r="H209" s="632" t="s">
        <v>590</v>
      </c>
      <c r="I209" s="632" t="s">
        <v>591</v>
      </c>
      <c r="J209" s="632" t="s">
        <v>592</v>
      </c>
      <c r="K209" s="632" t="s">
        <v>593</v>
      </c>
      <c r="L209" s="634">
        <v>291.88666666666666</v>
      </c>
      <c r="M209" s="634">
        <v>6</v>
      </c>
      <c r="N209" s="635">
        <v>1751.32</v>
      </c>
    </row>
    <row r="210" spans="1:14" ht="14.4" customHeight="1" x14ac:dyDescent="0.3">
      <c r="A210" s="630" t="s">
        <v>545</v>
      </c>
      <c r="B210" s="631" t="s">
        <v>1978</v>
      </c>
      <c r="C210" s="632" t="s">
        <v>555</v>
      </c>
      <c r="D210" s="633" t="s">
        <v>1980</v>
      </c>
      <c r="E210" s="632" t="s">
        <v>573</v>
      </c>
      <c r="F210" s="633" t="s">
        <v>1985</v>
      </c>
      <c r="G210" s="632" t="s">
        <v>574</v>
      </c>
      <c r="H210" s="632" t="s">
        <v>1258</v>
      </c>
      <c r="I210" s="632" t="s">
        <v>238</v>
      </c>
      <c r="J210" s="632" t="s">
        <v>1259</v>
      </c>
      <c r="K210" s="632"/>
      <c r="L210" s="634">
        <v>167.36507601644493</v>
      </c>
      <c r="M210" s="634">
        <v>18</v>
      </c>
      <c r="N210" s="635">
        <v>3012.5713682960086</v>
      </c>
    </row>
    <row r="211" spans="1:14" ht="14.4" customHeight="1" x14ac:dyDescent="0.3">
      <c r="A211" s="630" t="s">
        <v>545</v>
      </c>
      <c r="B211" s="631" t="s">
        <v>1978</v>
      </c>
      <c r="C211" s="632" t="s">
        <v>555</v>
      </c>
      <c r="D211" s="633" t="s">
        <v>1980</v>
      </c>
      <c r="E211" s="632" t="s">
        <v>573</v>
      </c>
      <c r="F211" s="633" t="s">
        <v>1985</v>
      </c>
      <c r="G211" s="632" t="s">
        <v>574</v>
      </c>
      <c r="H211" s="632" t="s">
        <v>1260</v>
      </c>
      <c r="I211" s="632" t="s">
        <v>1261</v>
      </c>
      <c r="J211" s="632" t="s">
        <v>1262</v>
      </c>
      <c r="K211" s="632" t="s">
        <v>1263</v>
      </c>
      <c r="L211" s="634">
        <v>2300</v>
      </c>
      <c r="M211" s="634">
        <v>1</v>
      </c>
      <c r="N211" s="635">
        <v>2300</v>
      </c>
    </row>
    <row r="212" spans="1:14" ht="14.4" customHeight="1" x14ac:dyDescent="0.3">
      <c r="A212" s="630" t="s">
        <v>545</v>
      </c>
      <c r="B212" s="631" t="s">
        <v>1978</v>
      </c>
      <c r="C212" s="632" t="s">
        <v>555</v>
      </c>
      <c r="D212" s="633" t="s">
        <v>1980</v>
      </c>
      <c r="E212" s="632" t="s">
        <v>573</v>
      </c>
      <c r="F212" s="633" t="s">
        <v>1985</v>
      </c>
      <c r="G212" s="632" t="s">
        <v>574</v>
      </c>
      <c r="H212" s="632" t="s">
        <v>1264</v>
      </c>
      <c r="I212" s="632" t="s">
        <v>1265</v>
      </c>
      <c r="J212" s="632" t="s">
        <v>1266</v>
      </c>
      <c r="K212" s="632" t="s">
        <v>1267</v>
      </c>
      <c r="L212" s="634">
        <v>107.16</v>
      </c>
      <c r="M212" s="634">
        <v>2</v>
      </c>
      <c r="N212" s="635">
        <v>214.32</v>
      </c>
    </row>
    <row r="213" spans="1:14" ht="14.4" customHeight="1" x14ac:dyDescent="0.3">
      <c r="A213" s="630" t="s">
        <v>545</v>
      </c>
      <c r="B213" s="631" t="s">
        <v>1978</v>
      </c>
      <c r="C213" s="632" t="s">
        <v>555</v>
      </c>
      <c r="D213" s="633" t="s">
        <v>1980</v>
      </c>
      <c r="E213" s="632" t="s">
        <v>573</v>
      </c>
      <c r="F213" s="633" t="s">
        <v>1985</v>
      </c>
      <c r="G213" s="632" t="s">
        <v>574</v>
      </c>
      <c r="H213" s="632" t="s">
        <v>1268</v>
      </c>
      <c r="I213" s="632" t="s">
        <v>1268</v>
      </c>
      <c r="J213" s="632" t="s">
        <v>1005</v>
      </c>
      <c r="K213" s="632" t="s">
        <v>628</v>
      </c>
      <c r="L213" s="634">
        <v>382.60999999999996</v>
      </c>
      <c r="M213" s="634">
        <v>13</v>
      </c>
      <c r="N213" s="635">
        <v>4973.9299999999994</v>
      </c>
    </row>
    <row r="214" spans="1:14" ht="14.4" customHeight="1" x14ac:dyDescent="0.3">
      <c r="A214" s="630" t="s">
        <v>545</v>
      </c>
      <c r="B214" s="631" t="s">
        <v>1978</v>
      </c>
      <c r="C214" s="632" t="s">
        <v>555</v>
      </c>
      <c r="D214" s="633" t="s">
        <v>1980</v>
      </c>
      <c r="E214" s="632" t="s">
        <v>573</v>
      </c>
      <c r="F214" s="633" t="s">
        <v>1985</v>
      </c>
      <c r="G214" s="632" t="s">
        <v>574</v>
      </c>
      <c r="H214" s="632" t="s">
        <v>1269</v>
      </c>
      <c r="I214" s="632" t="s">
        <v>238</v>
      </c>
      <c r="J214" s="632" t="s">
        <v>1270</v>
      </c>
      <c r="K214" s="632"/>
      <c r="L214" s="634">
        <v>17.209999999999994</v>
      </c>
      <c r="M214" s="634">
        <v>10</v>
      </c>
      <c r="N214" s="635">
        <v>172.09999999999994</v>
      </c>
    </row>
    <row r="215" spans="1:14" ht="14.4" customHeight="1" x14ac:dyDescent="0.3">
      <c r="A215" s="630" t="s">
        <v>545</v>
      </c>
      <c r="B215" s="631" t="s">
        <v>1978</v>
      </c>
      <c r="C215" s="632" t="s">
        <v>555</v>
      </c>
      <c r="D215" s="633" t="s">
        <v>1980</v>
      </c>
      <c r="E215" s="632" t="s">
        <v>573</v>
      </c>
      <c r="F215" s="633" t="s">
        <v>1985</v>
      </c>
      <c r="G215" s="632" t="s">
        <v>574</v>
      </c>
      <c r="H215" s="632" t="s">
        <v>1271</v>
      </c>
      <c r="I215" s="632" t="s">
        <v>1272</v>
      </c>
      <c r="J215" s="632" t="s">
        <v>1273</v>
      </c>
      <c r="K215" s="632" t="s">
        <v>1274</v>
      </c>
      <c r="L215" s="634">
        <v>32.939668347161863</v>
      </c>
      <c r="M215" s="634">
        <v>5</v>
      </c>
      <c r="N215" s="635">
        <v>164.69834173580932</v>
      </c>
    </row>
    <row r="216" spans="1:14" ht="14.4" customHeight="1" x14ac:dyDescent="0.3">
      <c r="A216" s="630" t="s">
        <v>545</v>
      </c>
      <c r="B216" s="631" t="s">
        <v>1978</v>
      </c>
      <c r="C216" s="632" t="s">
        <v>555</v>
      </c>
      <c r="D216" s="633" t="s">
        <v>1980</v>
      </c>
      <c r="E216" s="632" t="s">
        <v>573</v>
      </c>
      <c r="F216" s="633" t="s">
        <v>1985</v>
      </c>
      <c r="G216" s="632" t="s">
        <v>574</v>
      </c>
      <c r="H216" s="632" t="s">
        <v>1275</v>
      </c>
      <c r="I216" s="632" t="s">
        <v>1276</v>
      </c>
      <c r="J216" s="632" t="s">
        <v>1277</v>
      </c>
      <c r="K216" s="632" t="s">
        <v>1233</v>
      </c>
      <c r="L216" s="634">
        <v>36.319181367877228</v>
      </c>
      <c r="M216" s="634">
        <v>40</v>
      </c>
      <c r="N216" s="635">
        <v>1452.7672547150892</v>
      </c>
    </row>
    <row r="217" spans="1:14" ht="14.4" customHeight="1" x14ac:dyDescent="0.3">
      <c r="A217" s="630" t="s">
        <v>545</v>
      </c>
      <c r="B217" s="631" t="s">
        <v>1978</v>
      </c>
      <c r="C217" s="632" t="s">
        <v>555</v>
      </c>
      <c r="D217" s="633" t="s">
        <v>1980</v>
      </c>
      <c r="E217" s="632" t="s">
        <v>573</v>
      </c>
      <c r="F217" s="633" t="s">
        <v>1985</v>
      </c>
      <c r="G217" s="632" t="s">
        <v>574</v>
      </c>
      <c r="H217" s="632" t="s">
        <v>1278</v>
      </c>
      <c r="I217" s="632" t="s">
        <v>238</v>
      </c>
      <c r="J217" s="632" t="s">
        <v>1279</v>
      </c>
      <c r="K217" s="632"/>
      <c r="L217" s="634">
        <v>74.457054922047135</v>
      </c>
      <c r="M217" s="634">
        <v>7</v>
      </c>
      <c r="N217" s="635">
        <v>521.1993844543299</v>
      </c>
    </row>
    <row r="218" spans="1:14" ht="14.4" customHeight="1" x14ac:dyDescent="0.3">
      <c r="A218" s="630" t="s">
        <v>545</v>
      </c>
      <c r="B218" s="631" t="s">
        <v>1978</v>
      </c>
      <c r="C218" s="632" t="s">
        <v>555</v>
      </c>
      <c r="D218" s="633" t="s">
        <v>1980</v>
      </c>
      <c r="E218" s="632" t="s">
        <v>573</v>
      </c>
      <c r="F218" s="633" t="s">
        <v>1985</v>
      </c>
      <c r="G218" s="632" t="s">
        <v>574</v>
      </c>
      <c r="H218" s="632" t="s">
        <v>1280</v>
      </c>
      <c r="I218" s="632" t="s">
        <v>1281</v>
      </c>
      <c r="J218" s="632" t="s">
        <v>1282</v>
      </c>
      <c r="K218" s="632" t="s">
        <v>1079</v>
      </c>
      <c r="L218" s="634">
        <v>2967</v>
      </c>
      <c r="M218" s="634">
        <v>2</v>
      </c>
      <c r="N218" s="635">
        <v>5934</v>
      </c>
    </row>
    <row r="219" spans="1:14" ht="14.4" customHeight="1" x14ac:dyDescent="0.3">
      <c r="A219" s="630" t="s">
        <v>545</v>
      </c>
      <c r="B219" s="631" t="s">
        <v>1978</v>
      </c>
      <c r="C219" s="632" t="s">
        <v>555</v>
      </c>
      <c r="D219" s="633" t="s">
        <v>1980</v>
      </c>
      <c r="E219" s="632" t="s">
        <v>573</v>
      </c>
      <c r="F219" s="633" t="s">
        <v>1985</v>
      </c>
      <c r="G219" s="632" t="s">
        <v>574</v>
      </c>
      <c r="H219" s="632" t="s">
        <v>1283</v>
      </c>
      <c r="I219" s="632" t="s">
        <v>238</v>
      </c>
      <c r="J219" s="632" t="s">
        <v>1284</v>
      </c>
      <c r="K219" s="632" t="s">
        <v>1285</v>
      </c>
      <c r="L219" s="634">
        <v>152.72001640531701</v>
      </c>
      <c r="M219" s="634">
        <v>2</v>
      </c>
      <c r="N219" s="635">
        <v>305.44003281063402</v>
      </c>
    </row>
    <row r="220" spans="1:14" ht="14.4" customHeight="1" x14ac:dyDescent="0.3">
      <c r="A220" s="630" t="s">
        <v>545</v>
      </c>
      <c r="B220" s="631" t="s">
        <v>1978</v>
      </c>
      <c r="C220" s="632" t="s">
        <v>555</v>
      </c>
      <c r="D220" s="633" t="s">
        <v>1980</v>
      </c>
      <c r="E220" s="632" t="s">
        <v>573</v>
      </c>
      <c r="F220" s="633" t="s">
        <v>1985</v>
      </c>
      <c r="G220" s="632" t="s">
        <v>574</v>
      </c>
      <c r="H220" s="632" t="s">
        <v>1286</v>
      </c>
      <c r="I220" s="632" t="s">
        <v>1287</v>
      </c>
      <c r="J220" s="632" t="s">
        <v>1288</v>
      </c>
      <c r="K220" s="632" t="s">
        <v>1289</v>
      </c>
      <c r="L220" s="634">
        <v>198.34020205251275</v>
      </c>
      <c r="M220" s="634">
        <v>4</v>
      </c>
      <c r="N220" s="635">
        <v>793.360808210051</v>
      </c>
    </row>
    <row r="221" spans="1:14" ht="14.4" customHeight="1" x14ac:dyDescent="0.3">
      <c r="A221" s="630" t="s">
        <v>545</v>
      </c>
      <c r="B221" s="631" t="s">
        <v>1978</v>
      </c>
      <c r="C221" s="632" t="s">
        <v>555</v>
      </c>
      <c r="D221" s="633" t="s">
        <v>1980</v>
      </c>
      <c r="E221" s="632" t="s">
        <v>573</v>
      </c>
      <c r="F221" s="633" t="s">
        <v>1985</v>
      </c>
      <c r="G221" s="632" t="s">
        <v>574</v>
      </c>
      <c r="H221" s="632" t="s">
        <v>1290</v>
      </c>
      <c r="I221" s="632" t="s">
        <v>1291</v>
      </c>
      <c r="J221" s="632" t="s">
        <v>1292</v>
      </c>
      <c r="K221" s="632" t="s">
        <v>1293</v>
      </c>
      <c r="L221" s="634">
        <v>63.63</v>
      </c>
      <c r="M221" s="634">
        <v>1</v>
      </c>
      <c r="N221" s="635">
        <v>63.63</v>
      </c>
    </row>
    <row r="222" spans="1:14" ht="14.4" customHeight="1" x14ac:dyDescent="0.3">
      <c r="A222" s="630" t="s">
        <v>545</v>
      </c>
      <c r="B222" s="631" t="s">
        <v>1978</v>
      </c>
      <c r="C222" s="632" t="s">
        <v>555</v>
      </c>
      <c r="D222" s="633" t="s">
        <v>1980</v>
      </c>
      <c r="E222" s="632" t="s">
        <v>573</v>
      </c>
      <c r="F222" s="633" t="s">
        <v>1985</v>
      </c>
      <c r="G222" s="632" t="s">
        <v>574</v>
      </c>
      <c r="H222" s="632" t="s">
        <v>1294</v>
      </c>
      <c r="I222" s="632" t="s">
        <v>238</v>
      </c>
      <c r="J222" s="632" t="s">
        <v>1295</v>
      </c>
      <c r="K222" s="632" t="s">
        <v>1296</v>
      </c>
      <c r="L222" s="634">
        <v>1004.3</v>
      </c>
      <c r="M222" s="634">
        <v>1</v>
      </c>
      <c r="N222" s="635">
        <v>1004.3</v>
      </c>
    </row>
    <row r="223" spans="1:14" ht="14.4" customHeight="1" x14ac:dyDescent="0.3">
      <c r="A223" s="630" t="s">
        <v>545</v>
      </c>
      <c r="B223" s="631" t="s">
        <v>1978</v>
      </c>
      <c r="C223" s="632" t="s">
        <v>555</v>
      </c>
      <c r="D223" s="633" t="s">
        <v>1980</v>
      </c>
      <c r="E223" s="632" t="s">
        <v>573</v>
      </c>
      <c r="F223" s="633" t="s">
        <v>1985</v>
      </c>
      <c r="G223" s="632" t="s">
        <v>574</v>
      </c>
      <c r="H223" s="632" t="s">
        <v>1297</v>
      </c>
      <c r="I223" s="632" t="s">
        <v>1298</v>
      </c>
      <c r="J223" s="632" t="s">
        <v>1299</v>
      </c>
      <c r="K223" s="632" t="s">
        <v>1300</v>
      </c>
      <c r="L223" s="634">
        <v>218.77999999999997</v>
      </c>
      <c r="M223" s="634">
        <v>7</v>
      </c>
      <c r="N223" s="635">
        <v>1531.4599999999998</v>
      </c>
    </row>
    <row r="224" spans="1:14" ht="14.4" customHeight="1" x14ac:dyDescent="0.3">
      <c r="A224" s="630" t="s">
        <v>545</v>
      </c>
      <c r="B224" s="631" t="s">
        <v>1978</v>
      </c>
      <c r="C224" s="632" t="s">
        <v>555</v>
      </c>
      <c r="D224" s="633" t="s">
        <v>1980</v>
      </c>
      <c r="E224" s="632" t="s">
        <v>573</v>
      </c>
      <c r="F224" s="633" t="s">
        <v>1985</v>
      </c>
      <c r="G224" s="632" t="s">
        <v>574</v>
      </c>
      <c r="H224" s="632" t="s">
        <v>1301</v>
      </c>
      <c r="I224" s="632" t="s">
        <v>1302</v>
      </c>
      <c r="J224" s="632" t="s">
        <v>1303</v>
      </c>
      <c r="K224" s="632" t="s">
        <v>1304</v>
      </c>
      <c r="L224" s="634">
        <v>71.271929579715334</v>
      </c>
      <c r="M224" s="634">
        <v>70</v>
      </c>
      <c r="N224" s="635">
        <v>4989.0350705800729</v>
      </c>
    </row>
    <row r="225" spans="1:14" ht="14.4" customHeight="1" x14ac:dyDescent="0.3">
      <c r="A225" s="630" t="s">
        <v>545</v>
      </c>
      <c r="B225" s="631" t="s">
        <v>1978</v>
      </c>
      <c r="C225" s="632" t="s">
        <v>555</v>
      </c>
      <c r="D225" s="633" t="s">
        <v>1980</v>
      </c>
      <c r="E225" s="632" t="s">
        <v>573</v>
      </c>
      <c r="F225" s="633" t="s">
        <v>1985</v>
      </c>
      <c r="G225" s="632" t="s">
        <v>574</v>
      </c>
      <c r="H225" s="632" t="s">
        <v>1305</v>
      </c>
      <c r="I225" s="632" t="s">
        <v>238</v>
      </c>
      <c r="J225" s="632" t="s">
        <v>1306</v>
      </c>
      <c r="K225" s="632"/>
      <c r="L225" s="634">
        <v>146.48952049907041</v>
      </c>
      <c r="M225" s="634">
        <v>3</v>
      </c>
      <c r="N225" s="635">
        <v>439.46856149721123</v>
      </c>
    </row>
    <row r="226" spans="1:14" ht="14.4" customHeight="1" x14ac:dyDescent="0.3">
      <c r="A226" s="630" t="s">
        <v>545</v>
      </c>
      <c r="B226" s="631" t="s">
        <v>1978</v>
      </c>
      <c r="C226" s="632" t="s">
        <v>555</v>
      </c>
      <c r="D226" s="633" t="s">
        <v>1980</v>
      </c>
      <c r="E226" s="632" t="s">
        <v>573</v>
      </c>
      <c r="F226" s="633" t="s">
        <v>1985</v>
      </c>
      <c r="G226" s="632" t="s">
        <v>574</v>
      </c>
      <c r="H226" s="632" t="s">
        <v>1307</v>
      </c>
      <c r="I226" s="632" t="s">
        <v>1307</v>
      </c>
      <c r="J226" s="632" t="s">
        <v>1308</v>
      </c>
      <c r="K226" s="632" t="s">
        <v>1309</v>
      </c>
      <c r="L226" s="634">
        <v>801.55000000000018</v>
      </c>
      <c r="M226" s="634">
        <v>2</v>
      </c>
      <c r="N226" s="635">
        <v>1603.1000000000004</v>
      </c>
    </row>
    <row r="227" spans="1:14" ht="14.4" customHeight="1" x14ac:dyDescent="0.3">
      <c r="A227" s="630" t="s">
        <v>545</v>
      </c>
      <c r="B227" s="631" t="s">
        <v>1978</v>
      </c>
      <c r="C227" s="632" t="s">
        <v>555</v>
      </c>
      <c r="D227" s="633" t="s">
        <v>1980</v>
      </c>
      <c r="E227" s="632" t="s">
        <v>573</v>
      </c>
      <c r="F227" s="633" t="s">
        <v>1985</v>
      </c>
      <c r="G227" s="632" t="s">
        <v>574</v>
      </c>
      <c r="H227" s="632" t="s">
        <v>1310</v>
      </c>
      <c r="I227" s="632" t="s">
        <v>1311</v>
      </c>
      <c r="J227" s="632" t="s">
        <v>1312</v>
      </c>
      <c r="K227" s="632" t="s">
        <v>1313</v>
      </c>
      <c r="L227" s="634">
        <v>563.89999999999975</v>
      </c>
      <c r="M227" s="634">
        <v>1</v>
      </c>
      <c r="N227" s="635">
        <v>563.89999999999975</v>
      </c>
    </row>
    <row r="228" spans="1:14" ht="14.4" customHeight="1" x14ac:dyDescent="0.3">
      <c r="A228" s="630" t="s">
        <v>545</v>
      </c>
      <c r="B228" s="631" t="s">
        <v>1978</v>
      </c>
      <c r="C228" s="632" t="s">
        <v>555</v>
      </c>
      <c r="D228" s="633" t="s">
        <v>1980</v>
      </c>
      <c r="E228" s="632" t="s">
        <v>573</v>
      </c>
      <c r="F228" s="633" t="s">
        <v>1985</v>
      </c>
      <c r="G228" s="632" t="s">
        <v>574</v>
      </c>
      <c r="H228" s="632" t="s">
        <v>1314</v>
      </c>
      <c r="I228" s="632" t="s">
        <v>1314</v>
      </c>
      <c r="J228" s="632" t="s">
        <v>1315</v>
      </c>
      <c r="K228" s="632" t="s">
        <v>1316</v>
      </c>
      <c r="L228" s="634">
        <v>580.98000000000013</v>
      </c>
      <c r="M228" s="634">
        <v>278</v>
      </c>
      <c r="N228" s="635">
        <v>161512.44000000003</v>
      </c>
    </row>
    <row r="229" spans="1:14" ht="14.4" customHeight="1" x14ac:dyDescent="0.3">
      <c r="A229" s="630" t="s">
        <v>545</v>
      </c>
      <c r="B229" s="631" t="s">
        <v>1978</v>
      </c>
      <c r="C229" s="632" t="s">
        <v>555</v>
      </c>
      <c r="D229" s="633" t="s">
        <v>1980</v>
      </c>
      <c r="E229" s="632" t="s">
        <v>573</v>
      </c>
      <c r="F229" s="633" t="s">
        <v>1985</v>
      </c>
      <c r="G229" s="632" t="s">
        <v>574</v>
      </c>
      <c r="H229" s="632" t="s">
        <v>1317</v>
      </c>
      <c r="I229" s="632" t="s">
        <v>1318</v>
      </c>
      <c r="J229" s="632" t="s">
        <v>1319</v>
      </c>
      <c r="K229" s="632" t="s">
        <v>1320</v>
      </c>
      <c r="L229" s="634">
        <v>109.08004128705846</v>
      </c>
      <c r="M229" s="634">
        <v>2</v>
      </c>
      <c r="N229" s="635">
        <v>218.16008257411693</v>
      </c>
    </row>
    <row r="230" spans="1:14" ht="14.4" customHeight="1" x14ac:dyDescent="0.3">
      <c r="A230" s="630" t="s">
        <v>545</v>
      </c>
      <c r="B230" s="631" t="s">
        <v>1978</v>
      </c>
      <c r="C230" s="632" t="s">
        <v>555</v>
      </c>
      <c r="D230" s="633" t="s">
        <v>1980</v>
      </c>
      <c r="E230" s="632" t="s">
        <v>573</v>
      </c>
      <c r="F230" s="633" t="s">
        <v>1985</v>
      </c>
      <c r="G230" s="632" t="s">
        <v>574</v>
      </c>
      <c r="H230" s="632" t="s">
        <v>1321</v>
      </c>
      <c r="I230" s="632" t="s">
        <v>1322</v>
      </c>
      <c r="J230" s="632" t="s">
        <v>1323</v>
      </c>
      <c r="K230" s="632" t="s">
        <v>1324</v>
      </c>
      <c r="L230" s="634">
        <v>347.82927904132464</v>
      </c>
      <c r="M230" s="634">
        <v>4</v>
      </c>
      <c r="N230" s="635">
        <v>1391.3171161652986</v>
      </c>
    </row>
    <row r="231" spans="1:14" ht="14.4" customHeight="1" x14ac:dyDescent="0.3">
      <c r="A231" s="630" t="s">
        <v>545</v>
      </c>
      <c r="B231" s="631" t="s">
        <v>1978</v>
      </c>
      <c r="C231" s="632" t="s">
        <v>555</v>
      </c>
      <c r="D231" s="633" t="s">
        <v>1980</v>
      </c>
      <c r="E231" s="632" t="s">
        <v>573</v>
      </c>
      <c r="F231" s="633" t="s">
        <v>1985</v>
      </c>
      <c r="G231" s="632" t="s">
        <v>574</v>
      </c>
      <c r="H231" s="632" t="s">
        <v>1325</v>
      </c>
      <c r="I231" s="632" t="s">
        <v>1326</v>
      </c>
      <c r="J231" s="632" t="s">
        <v>1327</v>
      </c>
      <c r="K231" s="632" t="s">
        <v>1328</v>
      </c>
      <c r="L231" s="634">
        <v>75.92</v>
      </c>
      <c r="M231" s="634">
        <v>1</v>
      </c>
      <c r="N231" s="635">
        <v>75.92</v>
      </c>
    </row>
    <row r="232" spans="1:14" ht="14.4" customHeight="1" x14ac:dyDescent="0.3">
      <c r="A232" s="630" t="s">
        <v>545</v>
      </c>
      <c r="B232" s="631" t="s">
        <v>1978</v>
      </c>
      <c r="C232" s="632" t="s">
        <v>555</v>
      </c>
      <c r="D232" s="633" t="s">
        <v>1980</v>
      </c>
      <c r="E232" s="632" t="s">
        <v>573</v>
      </c>
      <c r="F232" s="633" t="s">
        <v>1985</v>
      </c>
      <c r="G232" s="632" t="s">
        <v>574</v>
      </c>
      <c r="H232" s="632" t="s">
        <v>1329</v>
      </c>
      <c r="I232" s="632" t="s">
        <v>1329</v>
      </c>
      <c r="J232" s="632" t="s">
        <v>1330</v>
      </c>
      <c r="K232" s="632" t="s">
        <v>1331</v>
      </c>
      <c r="L232" s="634">
        <v>776.20959912784838</v>
      </c>
      <c r="M232" s="634">
        <v>2</v>
      </c>
      <c r="N232" s="635">
        <v>1552.4191982556968</v>
      </c>
    </row>
    <row r="233" spans="1:14" ht="14.4" customHeight="1" x14ac:dyDescent="0.3">
      <c r="A233" s="630" t="s">
        <v>545</v>
      </c>
      <c r="B233" s="631" t="s">
        <v>1978</v>
      </c>
      <c r="C233" s="632" t="s">
        <v>555</v>
      </c>
      <c r="D233" s="633" t="s">
        <v>1980</v>
      </c>
      <c r="E233" s="632" t="s">
        <v>573</v>
      </c>
      <c r="F233" s="633" t="s">
        <v>1985</v>
      </c>
      <c r="G233" s="632" t="s">
        <v>574</v>
      </c>
      <c r="H233" s="632" t="s">
        <v>1332</v>
      </c>
      <c r="I233" s="632" t="s">
        <v>1333</v>
      </c>
      <c r="J233" s="632" t="s">
        <v>1334</v>
      </c>
      <c r="K233" s="632" t="s">
        <v>1335</v>
      </c>
      <c r="L233" s="634">
        <v>107.77981390522346</v>
      </c>
      <c r="M233" s="634">
        <v>2</v>
      </c>
      <c r="N233" s="635">
        <v>215.55962781044693</v>
      </c>
    </row>
    <row r="234" spans="1:14" ht="14.4" customHeight="1" x14ac:dyDescent="0.3">
      <c r="A234" s="630" t="s">
        <v>545</v>
      </c>
      <c r="B234" s="631" t="s">
        <v>1978</v>
      </c>
      <c r="C234" s="632" t="s">
        <v>555</v>
      </c>
      <c r="D234" s="633" t="s">
        <v>1980</v>
      </c>
      <c r="E234" s="632" t="s">
        <v>573</v>
      </c>
      <c r="F234" s="633" t="s">
        <v>1985</v>
      </c>
      <c r="G234" s="632" t="s">
        <v>574</v>
      </c>
      <c r="H234" s="632" t="s">
        <v>1336</v>
      </c>
      <c r="I234" s="632" t="s">
        <v>1337</v>
      </c>
      <c r="J234" s="632" t="s">
        <v>1338</v>
      </c>
      <c r="K234" s="632" t="s">
        <v>1339</v>
      </c>
      <c r="L234" s="634">
        <v>84.969823879887755</v>
      </c>
      <c r="M234" s="634">
        <v>2</v>
      </c>
      <c r="N234" s="635">
        <v>169.93964775977551</v>
      </c>
    </row>
    <row r="235" spans="1:14" ht="14.4" customHeight="1" x14ac:dyDescent="0.3">
      <c r="A235" s="630" t="s">
        <v>545</v>
      </c>
      <c r="B235" s="631" t="s">
        <v>1978</v>
      </c>
      <c r="C235" s="632" t="s">
        <v>555</v>
      </c>
      <c r="D235" s="633" t="s">
        <v>1980</v>
      </c>
      <c r="E235" s="632" t="s">
        <v>573</v>
      </c>
      <c r="F235" s="633" t="s">
        <v>1985</v>
      </c>
      <c r="G235" s="632" t="s">
        <v>574</v>
      </c>
      <c r="H235" s="632" t="s">
        <v>1340</v>
      </c>
      <c r="I235" s="632" t="s">
        <v>1341</v>
      </c>
      <c r="J235" s="632" t="s">
        <v>1342</v>
      </c>
      <c r="K235" s="632" t="s">
        <v>1343</v>
      </c>
      <c r="L235" s="634">
        <v>73.841613999776342</v>
      </c>
      <c r="M235" s="634">
        <v>17</v>
      </c>
      <c r="N235" s="635">
        <v>1255.3074379961979</v>
      </c>
    </row>
    <row r="236" spans="1:14" ht="14.4" customHeight="1" x14ac:dyDescent="0.3">
      <c r="A236" s="630" t="s">
        <v>545</v>
      </c>
      <c r="B236" s="631" t="s">
        <v>1978</v>
      </c>
      <c r="C236" s="632" t="s">
        <v>555</v>
      </c>
      <c r="D236" s="633" t="s">
        <v>1980</v>
      </c>
      <c r="E236" s="632" t="s">
        <v>573</v>
      </c>
      <c r="F236" s="633" t="s">
        <v>1985</v>
      </c>
      <c r="G236" s="632" t="s">
        <v>574</v>
      </c>
      <c r="H236" s="632" t="s">
        <v>1344</v>
      </c>
      <c r="I236" s="632" t="s">
        <v>238</v>
      </c>
      <c r="J236" s="632" t="s">
        <v>1345</v>
      </c>
      <c r="K236" s="632" t="s">
        <v>1346</v>
      </c>
      <c r="L236" s="634">
        <v>61.519904396502923</v>
      </c>
      <c r="M236" s="634">
        <v>13</v>
      </c>
      <c r="N236" s="635">
        <v>799.75875715453799</v>
      </c>
    </row>
    <row r="237" spans="1:14" ht="14.4" customHeight="1" x14ac:dyDescent="0.3">
      <c r="A237" s="630" t="s">
        <v>545</v>
      </c>
      <c r="B237" s="631" t="s">
        <v>1978</v>
      </c>
      <c r="C237" s="632" t="s">
        <v>555</v>
      </c>
      <c r="D237" s="633" t="s">
        <v>1980</v>
      </c>
      <c r="E237" s="632" t="s">
        <v>573</v>
      </c>
      <c r="F237" s="633" t="s">
        <v>1985</v>
      </c>
      <c r="G237" s="632" t="s">
        <v>574</v>
      </c>
      <c r="H237" s="632" t="s">
        <v>1347</v>
      </c>
      <c r="I237" s="632" t="s">
        <v>238</v>
      </c>
      <c r="J237" s="632" t="s">
        <v>1348</v>
      </c>
      <c r="K237" s="632" t="s">
        <v>1349</v>
      </c>
      <c r="L237" s="634">
        <v>179.94999999999996</v>
      </c>
      <c r="M237" s="634">
        <v>3</v>
      </c>
      <c r="N237" s="635">
        <v>539.84999999999991</v>
      </c>
    </row>
    <row r="238" spans="1:14" ht="14.4" customHeight="1" x14ac:dyDescent="0.3">
      <c r="A238" s="630" t="s">
        <v>545</v>
      </c>
      <c r="B238" s="631" t="s">
        <v>1978</v>
      </c>
      <c r="C238" s="632" t="s">
        <v>555</v>
      </c>
      <c r="D238" s="633" t="s">
        <v>1980</v>
      </c>
      <c r="E238" s="632" t="s">
        <v>573</v>
      </c>
      <c r="F238" s="633" t="s">
        <v>1985</v>
      </c>
      <c r="G238" s="632" t="s">
        <v>574</v>
      </c>
      <c r="H238" s="632" t="s">
        <v>1350</v>
      </c>
      <c r="I238" s="632" t="s">
        <v>1351</v>
      </c>
      <c r="J238" s="632" t="s">
        <v>1352</v>
      </c>
      <c r="K238" s="632" t="s">
        <v>1353</v>
      </c>
      <c r="L238" s="634">
        <v>976.46500000000003</v>
      </c>
      <c r="M238" s="634">
        <v>30</v>
      </c>
      <c r="N238" s="635">
        <v>29293.95</v>
      </c>
    </row>
    <row r="239" spans="1:14" ht="14.4" customHeight="1" x14ac:dyDescent="0.3">
      <c r="A239" s="630" t="s">
        <v>545</v>
      </c>
      <c r="B239" s="631" t="s">
        <v>1978</v>
      </c>
      <c r="C239" s="632" t="s">
        <v>555</v>
      </c>
      <c r="D239" s="633" t="s">
        <v>1980</v>
      </c>
      <c r="E239" s="632" t="s">
        <v>573</v>
      </c>
      <c r="F239" s="633" t="s">
        <v>1985</v>
      </c>
      <c r="G239" s="632" t="s">
        <v>574</v>
      </c>
      <c r="H239" s="632" t="s">
        <v>1354</v>
      </c>
      <c r="I239" s="632" t="s">
        <v>1355</v>
      </c>
      <c r="J239" s="632" t="s">
        <v>1356</v>
      </c>
      <c r="K239" s="632" t="s">
        <v>1357</v>
      </c>
      <c r="L239" s="634">
        <v>2242.5</v>
      </c>
      <c r="M239" s="634">
        <v>4</v>
      </c>
      <c r="N239" s="635">
        <v>8970</v>
      </c>
    </row>
    <row r="240" spans="1:14" ht="14.4" customHeight="1" x14ac:dyDescent="0.3">
      <c r="A240" s="630" t="s">
        <v>545</v>
      </c>
      <c r="B240" s="631" t="s">
        <v>1978</v>
      </c>
      <c r="C240" s="632" t="s">
        <v>555</v>
      </c>
      <c r="D240" s="633" t="s">
        <v>1980</v>
      </c>
      <c r="E240" s="632" t="s">
        <v>573</v>
      </c>
      <c r="F240" s="633" t="s">
        <v>1985</v>
      </c>
      <c r="G240" s="632" t="s">
        <v>574</v>
      </c>
      <c r="H240" s="632" t="s">
        <v>1358</v>
      </c>
      <c r="I240" s="632" t="s">
        <v>1359</v>
      </c>
      <c r="J240" s="632" t="s">
        <v>1360</v>
      </c>
      <c r="K240" s="632"/>
      <c r="L240" s="634">
        <v>662.68</v>
      </c>
      <c r="M240" s="634">
        <v>1</v>
      </c>
      <c r="N240" s="635">
        <v>662.68</v>
      </c>
    </row>
    <row r="241" spans="1:14" ht="14.4" customHeight="1" x14ac:dyDescent="0.3">
      <c r="A241" s="630" t="s">
        <v>545</v>
      </c>
      <c r="B241" s="631" t="s">
        <v>1978</v>
      </c>
      <c r="C241" s="632" t="s">
        <v>555</v>
      </c>
      <c r="D241" s="633" t="s">
        <v>1980</v>
      </c>
      <c r="E241" s="632" t="s">
        <v>573</v>
      </c>
      <c r="F241" s="633" t="s">
        <v>1985</v>
      </c>
      <c r="G241" s="632" t="s">
        <v>574</v>
      </c>
      <c r="H241" s="632" t="s">
        <v>1361</v>
      </c>
      <c r="I241" s="632" t="s">
        <v>238</v>
      </c>
      <c r="J241" s="632" t="s">
        <v>1362</v>
      </c>
      <c r="K241" s="632" t="s">
        <v>1363</v>
      </c>
      <c r="L241" s="634">
        <v>417.21114682527087</v>
      </c>
      <c r="M241" s="634">
        <v>8</v>
      </c>
      <c r="N241" s="635">
        <v>3337.689174602167</v>
      </c>
    </row>
    <row r="242" spans="1:14" ht="14.4" customHeight="1" x14ac:dyDescent="0.3">
      <c r="A242" s="630" t="s">
        <v>545</v>
      </c>
      <c r="B242" s="631" t="s">
        <v>1978</v>
      </c>
      <c r="C242" s="632" t="s">
        <v>555</v>
      </c>
      <c r="D242" s="633" t="s">
        <v>1980</v>
      </c>
      <c r="E242" s="632" t="s">
        <v>573</v>
      </c>
      <c r="F242" s="633" t="s">
        <v>1985</v>
      </c>
      <c r="G242" s="632" t="s">
        <v>574</v>
      </c>
      <c r="H242" s="632" t="s">
        <v>1364</v>
      </c>
      <c r="I242" s="632" t="s">
        <v>1365</v>
      </c>
      <c r="J242" s="632" t="s">
        <v>1366</v>
      </c>
      <c r="K242" s="632" t="s">
        <v>1367</v>
      </c>
      <c r="L242" s="634">
        <v>771.52284616708891</v>
      </c>
      <c r="M242" s="634">
        <v>5</v>
      </c>
      <c r="N242" s="635">
        <v>3857.6142308354447</v>
      </c>
    </row>
    <row r="243" spans="1:14" ht="14.4" customHeight="1" x14ac:dyDescent="0.3">
      <c r="A243" s="630" t="s">
        <v>545</v>
      </c>
      <c r="B243" s="631" t="s">
        <v>1978</v>
      </c>
      <c r="C243" s="632" t="s">
        <v>555</v>
      </c>
      <c r="D243" s="633" t="s">
        <v>1980</v>
      </c>
      <c r="E243" s="632" t="s">
        <v>573</v>
      </c>
      <c r="F243" s="633" t="s">
        <v>1985</v>
      </c>
      <c r="G243" s="632" t="s">
        <v>574</v>
      </c>
      <c r="H243" s="632" t="s">
        <v>1368</v>
      </c>
      <c r="I243" s="632" t="s">
        <v>1369</v>
      </c>
      <c r="J243" s="632" t="s">
        <v>758</v>
      </c>
      <c r="K243" s="632" t="s">
        <v>1370</v>
      </c>
      <c r="L243" s="634">
        <v>118.65</v>
      </c>
      <c r="M243" s="634">
        <v>1</v>
      </c>
      <c r="N243" s="635">
        <v>118.65</v>
      </c>
    </row>
    <row r="244" spans="1:14" ht="14.4" customHeight="1" x14ac:dyDescent="0.3">
      <c r="A244" s="630" t="s">
        <v>545</v>
      </c>
      <c r="B244" s="631" t="s">
        <v>1978</v>
      </c>
      <c r="C244" s="632" t="s">
        <v>555</v>
      </c>
      <c r="D244" s="633" t="s">
        <v>1980</v>
      </c>
      <c r="E244" s="632" t="s">
        <v>573</v>
      </c>
      <c r="F244" s="633" t="s">
        <v>1985</v>
      </c>
      <c r="G244" s="632" t="s">
        <v>574</v>
      </c>
      <c r="H244" s="632" t="s">
        <v>1371</v>
      </c>
      <c r="I244" s="632" t="s">
        <v>1372</v>
      </c>
      <c r="J244" s="632" t="s">
        <v>1373</v>
      </c>
      <c r="K244" s="632" t="s">
        <v>1374</v>
      </c>
      <c r="L244" s="634">
        <v>90.97</v>
      </c>
      <c r="M244" s="634">
        <v>2</v>
      </c>
      <c r="N244" s="635">
        <v>181.94</v>
      </c>
    </row>
    <row r="245" spans="1:14" ht="14.4" customHeight="1" x14ac:dyDescent="0.3">
      <c r="A245" s="630" t="s">
        <v>545</v>
      </c>
      <c r="B245" s="631" t="s">
        <v>1978</v>
      </c>
      <c r="C245" s="632" t="s">
        <v>555</v>
      </c>
      <c r="D245" s="633" t="s">
        <v>1980</v>
      </c>
      <c r="E245" s="632" t="s">
        <v>573</v>
      </c>
      <c r="F245" s="633" t="s">
        <v>1985</v>
      </c>
      <c r="G245" s="632" t="s">
        <v>574</v>
      </c>
      <c r="H245" s="632" t="s">
        <v>1375</v>
      </c>
      <c r="I245" s="632" t="s">
        <v>1376</v>
      </c>
      <c r="J245" s="632" t="s">
        <v>1377</v>
      </c>
      <c r="K245" s="632" t="s">
        <v>1022</v>
      </c>
      <c r="L245" s="634">
        <v>942.16704290875123</v>
      </c>
      <c r="M245" s="634">
        <v>2</v>
      </c>
      <c r="N245" s="635">
        <v>1884.3340858175025</v>
      </c>
    </row>
    <row r="246" spans="1:14" ht="14.4" customHeight="1" x14ac:dyDescent="0.3">
      <c r="A246" s="630" t="s">
        <v>545</v>
      </c>
      <c r="B246" s="631" t="s">
        <v>1978</v>
      </c>
      <c r="C246" s="632" t="s">
        <v>555</v>
      </c>
      <c r="D246" s="633" t="s">
        <v>1980</v>
      </c>
      <c r="E246" s="632" t="s">
        <v>573</v>
      </c>
      <c r="F246" s="633" t="s">
        <v>1985</v>
      </c>
      <c r="G246" s="632" t="s">
        <v>574</v>
      </c>
      <c r="H246" s="632" t="s">
        <v>1378</v>
      </c>
      <c r="I246" s="632" t="s">
        <v>1379</v>
      </c>
      <c r="J246" s="632" t="s">
        <v>1380</v>
      </c>
      <c r="K246" s="632" t="s">
        <v>1381</v>
      </c>
      <c r="L246" s="634">
        <v>369.22</v>
      </c>
      <c r="M246" s="634">
        <v>52</v>
      </c>
      <c r="N246" s="635">
        <v>19199.440000000002</v>
      </c>
    </row>
    <row r="247" spans="1:14" ht="14.4" customHeight="1" x14ac:dyDescent="0.3">
      <c r="A247" s="630" t="s">
        <v>545</v>
      </c>
      <c r="B247" s="631" t="s">
        <v>1978</v>
      </c>
      <c r="C247" s="632" t="s">
        <v>555</v>
      </c>
      <c r="D247" s="633" t="s">
        <v>1980</v>
      </c>
      <c r="E247" s="632" t="s">
        <v>573</v>
      </c>
      <c r="F247" s="633" t="s">
        <v>1985</v>
      </c>
      <c r="G247" s="632" t="s">
        <v>574</v>
      </c>
      <c r="H247" s="632" t="s">
        <v>1382</v>
      </c>
      <c r="I247" s="632" t="s">
        <v>238</v>
      </c>
      <c r="J247" s="632" t="s">
        <v>1383</v>
      </c>
      <c r="K247" s="632" t="s">
        <v>1384</v>
      </c>
      <c r="L247" s="634">
        <v>38.340000000000018</v>
      </c>
      <c r="M247" s="634">
        <v>4</v>
      </c>
      <c r="N247" s="635">
        <v>153.36000000000007</v>
      </c>
    </row>
    <row r="248" spans="1:14" ht="14.4" customHeight="1" x14ac:dyDescent="0.3">
      <c r="A248" s="630" t="s">
        <v>545</v>
      </c>
      <c r="B248" s="631" t="s">
        <v>1978</v>
      </c>
      <c r="C248" s="632" t="s">
        <v>555</v>
      </c>
      <c r="D248" s="633" t="s">
        <v>1980</v>
      </c>
      <c r="E248" s="632" t="s">
        <v>573</v>
      </c>
      <c r="F248" s="633" t="s">
        <v>1985</v>
      </c>
      <c r="G248" s="632" t="s">
        <v>574</v>
      </c>
      <c r="H248" s="632" t="s">
        <v>1385</v>
      </c>
      <c r="I248" s="632" t="s">
        <v>1386</v>
      </c>
      <c r="J248" s="632" t="s">
        <v>1387</v>
      </c>
      <c r="K248" s="632" t="s">
        <v>1388</v>
      </c>
      <c r="L248" s="634">
        <v>321.33</v>
      </c>
      <c r="M248" s="634">
        <v>1</v>
      </c>
      <c r="N248" s="635">
        <v>321.33</v>
      </c>
    </row>
    <row r="249" spans="1:14" ht="14.4" customHeight="1" x14ac:dyDescent="0.3">
      <c r="A249" s="630" t="s">
        <v>545</v>
      </c>
      <c r="B249" s="631" t="s">
        <v>1978</v>
      </c>
      <c r="C249" s="632" t="s">
        <v>555</v>
      </c>
      <c r="D249" s="633" t="s">
        <v>1980</v>
      </c>
      <c r="E249" s="632" t="s">
        <v>573</v>
      </c>
      <c r="F249" s="633" t="s">
        <v>1985</v>
      </c>
      <c r="G249" s="632" t="s">
        <v>574</v>
      </c>
      <c r="H249" s="632" t="s">
        <v>1389</v>
      </c>
      <c r="I249" s="632" t="s">
        <v>1390</v>
      </c>
      <c r="J249" s="632" t="s">
        <v>1391</v>
      </c>
      <c r="K249" s="632" t="s">
        <v>1392</v>
      </c>
      <c r="L249" s="634">
        <v>19.350000000000001</v>
      </c>
      <c r="M249" s="634">
        <v>1</v>
      </c>
      <c r="N249" s="635">
        <v>19.350000000000001</v>
      </c>
    </row>
    <row r="250" spans="1:14" ht="14.4" customHeight="1" x14ac:dyDescent="0.3">
      <c r="A250" s="630" t="s">
        <v>545</v>
      </c>
      <c r="B250" s="631" t="s">
        <v>1978</v>
      </c>
      <c r="C250" s="632" t="s">
        <v>555</v>
      </c>
      <c r="D250" s="633" t="s">
        <v>1980</v>
      </c>
      <c r="E250" s="632" t="s">
        <v>573</v>
      </c>
      <c r="F250" s="633" t="s">
        <v>1985</v>
      </c>
      <c r="G250" s="632" t="s">
        <v>574</v>
      </c>
      <c r="H250" s="632" t="s">
        <v>1393</v>
      </c>
      <c r="I250" s="632" t="s">
        <v>1393</v>
      </c>
      <c r="J250" s="632" t="s">
        <v>1394</v>
      </c>
      <c r="K250" s="632" t="s">
        <v>1079</v>
      </c>
      <c r="L250" s="634">
        <v>379.11</v>
      </c>
      <c r="M250" s="634">
        <v>19</v>
      </c>
      <c r="N250" s="635">
        <v>7203.09</v>
      </c>
    </row>
    <row r="251" spans="1:14" ht="14.4" customHeight="1" x14ac:dyDescent="0.3">
      <c r="A251" s="630" t="s">
        <v>545</v>
      </c>
      <c r="B251" s="631" t="s">
        <v>1978</v>
      </c>
      <c r="C251" s="632" t="s">
        <v>555</v>
      </c>
      <c r="D251" s="633" t="s">
        <v>1980</v>
      </c>
      <c r="E251" s="632" t="s">
        <v>573</v>
      </c>
      <c r="F251" s="633" t="s">
        <v>1985</v>
      </c>
      <c r="G251" s="632" t="s">
        <v>574</v>
      </c>
      <c r="H251" s="632" t="s">
        <v>1395</v>
      </c>
      <c r="I251" s="632" t="s">
        <v>1396</v>
      </c>
      <c r="J251" s="632" t="s">
        <v>1397</v>
      </c>
      <c r="K251" s="632" t="s">
        <v>1398</v>
      </c>
      <c r="L251" s="634">
        <v>354.32071321443146</v>
      </c>
      <c r="M251" s="634">
        <v>1</v>
      </c>
      <c r="N251" s="635">
        <v>354.32071321443146</v>
      </c>
    </row>
    <row r="252" spans="1:14" ht="14.4" customHeight="1" x14ac:dyDescent="0.3">
      <c r="A252" s="630" t="s">
        <v>545</v>
      </c>
      <c r="B252" s="631" t="s">
        <v>1978</v>
      </c>
      <c r="C252" s="632" t="s">
        <v>555</v>
      </c>
      <c r="D252" s="633" t="s">
        <v>1980</v>
      </c>
      <c r="E252" s="632" t="s">
        <v>573</v>
      </c>
      <c r="F252" s="633" t="s">
        <v>1985</v>
      </c>
      <c r="G252" s="632" t="s">
        <v>574</v>
      </c>
      <c r="H252" s="632" t="s">
        <v>1399</v>
      </c>
      <c r="I252" s="632" t="s">
        <v>1400</v>
      </c>
      <c r="J252" s="632" t="s">
        <v>1401</v>
      </c>
      <c r="K252" s="632" t="s">
        <v>1402</v>
      </c>
      <c r="L252" s="634">
        <v>162.36000000000007</v>
      </c>
      <c r="M252" s="634">
        <v>1</v>
      </c>
      <c r="N252" s="635">
        <v>162.36000000000007</v>
      </c>
    </row>
    <row r="253" spans="1:14" ht="14.4" customHeight="1" x14ac:dyDescent="0.3">
      <c r="A253" s="630" t="s">
        <v>545</v>
      </c>
      <c r="B253" s="631" t="s">
        <v>1978</v>
      </c>
      <c r="C253" s="632" t="s">
        <v>555</v>
      </c>
      <c r="D253" s="633" t="s">
        <v>1980</v>
      </c>
      <c r="E253" s="632" t="s">
        <v>573</v>
      </c>
      <c r="F253" s="633" t="s">
        <v>1985</v>
      </c>
      <c r="G253" s="632" t="s">
        <v>574</v>
      </c>
      <c r="H253" s="632" t="s">
        <v>1403</v>
      </c>
      <c r="I253" s="632" t="s">
        <v>1404</v>
      </c>
      <c r="J253" s="632" t="s">
        <v>1323</v>
      </c>
      <c r="K253" s="632" t="s">
        <v>1405</v>
      </c>
      <c r="L253" s="634">
        <v>223.17521656628151</v>
      </c>
      <c r="M253" s="634">
        <v>6</v>
      </c>
      <c r="N253" s="635">
        <v>1339.051299397689</v>
      </c>
    </row>
    <row r="254" spans="1:14" ht="14.4" customHeight="1" x14ac:dyDescent="0.3">
      <c r="A254" s="630" t="s">
        <v>545</v>
      </c>
      <c r="B254" s="631" t="s">
        <v>1978</v>
      </c>
      <c r="C254" s="632" t="s">
        <v>555</v>
      </c>
      <c r="D254" s="633" t="s">
        <v>1980</v>
      </c>
      <c r="E254" s="632" t="s">
        <v>573</v>
      </c>
      <c r="F254" s="633" t="s">
        <v>1985</v>
      </c>
      <c r="G254" s="632" t="s">
        <v>574</v>
      </c>
      <c r="H254" s="632" t="s">
        <v>1406</v>
      </c>
      <c r="I254" s="632" t="s">
        <v>1407</v>
      </c>
      <c r="J254" s="632" t="s">
        <v>1408</v>
      </c>
      <c r="K254" s="632" t="s">
        <v>1409</v>
      </c>
      <c r="L254" s="634">
        <v>387.6</v>
      </c>
      <c r="M254" s="634">
        <v>2</v>
      </c>
      <c r="N254" s="635">
        <v>775.2</v>
      </c>
    </row>
    <row r="255" spans="1:14" ht="14.4" customHeight="1" x14ac:dyDescent="0.3">
      <c r="A255" s="630" t="s">
        <v>545</v>
      </c>
      <c r="B255" s="631" t="s">
        <v>1978</v>
      </c>
      <c r="C255" s="632" t="s">
        <v>555</v>
      </c>
      <c r="D255" s="633" t="s">
        <v>1980</v>
      </c>
      <c r="E255" s="632" t="s">
        <v>573</v>
      </c>
      <c r="F255" s="633" t="s">
        <v>1985</v>
      </c>
      <c r="G255" s="632" t="s">
        <v>574</v>
      </c>
      <c r="H255" s="632" t="s">
        <v>1410</v>
      </c>
      <c r="I255" s="632" t="s">
        <v>238</v>
      </c>
      <c r="J255" s="632" t="s">
        <v>1411</v>
      </c>
      <c r="K255" s="632"/>
      <c r="L255" s="634">
        <v>93.250000000000014</v>
      </c>
      <c r="M255" s="634">
        <v>3</v>
      </c>
      <c r="N255" s="635">
        <v>279.75000000000006</v>
      </c>
    </row>
    <row r="256" spans="1:14" ht="14.4" customHeight="1" x14ac:dyDescent="0.3">
      <c r="A256" s="630" t="s">
        <v>545</v>
      </c>
      <c r="B256" s="631" t="s">
        <v>1978</v>
      </c>
      <c r="C256" s="632" t="s">
        <v>555</v>
      </c>
      <c r="D256" s="633" t="s">
        <v>1980</v>
      </c>
      <c r="E256" s="632" t="s">
        <v>573</v>
      </c>
      <c r="F256" s="633" t="s">
        <v>1985</v>
      </c>
      <c r="G256" s="632" t="s">
        <v>574</v>
      </c>
      <c r="H256" s="632" t="s">
        <v>1412</v>
      </c>
      <c r="I256" s="632" t="s">
        <v>1413</v>
      </c>
      <c r="J256" s="632" t="s">
        <v>1414</v>
      </c>
      <c r="K256" s="632" t="s">
        <v>1415</v>
      </c>
      <c r="L256" s="634">
        <v>1003.06</v>
      </c>
      <c r="M256" s="634">
        <v>1</v>
      </c>
      <c r="N256" s="635">
        <v>1003.06</v>
      </c>
    </row>
    <row r="257" spans="1:14" ht="14.4" customHeight="1" x14ac:dyDescent="0.3">
      <c r="A257" s="630" t="s">
        <v>545</v>
      </c>
      <c r="B257" s="631" t="s">
        <v>1978</v>
      </c>
      <c r="C257" s="632" t="s">
        <v>555</v>
      </c>
      <c r="D257" s="633" t="s">
        <v>1980</v>
      </c>
      <c r="E257" s="632" t="s">
        <v>573</v>
      </c>
      <c r="F257" s="633" t="s">
        <v>1985</v>
      </c>
      <c r="G257" s="632" t="s">
        <v>574</v>
      </c>
      <c r="H257" s="632" t="s">
        <v>1416</v>
      </c>
      <c r="I257" s="632" t="s">
        <v>1416</v>
      </c>
      <c r="J257" s="632" t="s">
        <v>1417</v>
      </c>
      <c r="K257" s="632" t="s">
        <v>1418</v>
      </c>
      <c r="L257" s="634">
        <v>4491.0236863632535</v>
      </c>
      <c r="M257" s="634">
        <v>5</v>
      </c>
      <c r="N257" s="635">
        <v>22455.118431816267</v>
      </c>
    </row>
    <row r="258" spans="1:14" ht="14.4" customHeight="1" x14ac:dyDescent="0.3">
      <c r="A258" s="630" t="s">
        <v>545</v>
      </c>
      <c r="B258" s="631" t="s">
        <v>1978</v>
      </c>
      <c r="C258" s="632" t="s">
        <v>555</v>
      </c>
      <c r="D258" s="633" t="s">
        <v>1980</v>
      </c>
      <c r="E258" s="632" t="s">
        <v>573</v>
      </c>
      <c r="F258" s="633" t="s">
        <v>1985</v>
      </c>
      <c r="G258" s="632" t="s">
        <v>574</v>
      </c>
      <c r="H258" s="632" t="s">
        <v>1419</v>
      </c>
      <c r="I258" s="632" t="s">
        <v>1420</v>
      </c>
      <c r="J258" s="632" t="s">
        <v>1421</v>
      </c>
      <c r="K258" s="632" t="s">
        <v>1422</v>
      </c>
      <c r="L258" s="634">
        <v>229.78932034680446</v>
      </c>
      <c r="M258" s="634">
        <v>1</v>
      </c>
      <c r="N258" s="635">
        <v>229.78932034680446</v>
      </c>
    </row>
    <row r="259" spans="1:14" ht="14.4" customHeight="1" x14ac:dyDescent="0.3">
      <c r="A259" s="630" t="s">
        <v>545</v>
      </c>
      <c r="B259" s="631" t="s">
        <v>1978</v>
      </c>
      <c r="C259" s="632" t="s">
        <v>555</v>
      </c>
      <c r="D259" s="633" t="s">
        <v>1980</v>
      </c>
      <c r="E259" s="632" t="s">
        <v>573</v>
      </c>
      <c r="F259" s="633" t="s">
        <v>1985</v>
      </c>
      <c r="G259" s="632" t="s">
        <v>574</v>
      </c>
      <c r="H259" s="632" t="s">
        <v>1423</v>
      </c>
      <c r="I259" s="632" t="s">
        <v>1423</v>
      </c>
      <c r="J259" s="632" t="s">
        <v>1424</v>
      </c>
      <c r="K259" s="632" t="s">
        <v>1425</v>
      </c>
      <c r="L259" s="634">
        <v>3643.37</v>
      </c>
      <c r="M259" s="634">
        <v>1</v>
      </c>
      <c r="N259" s="635">
        <v>3643.37</v>
      </c>
    </row>
    <row r="260" spans="1:14" ht="14.4" customHeight="1" x14ac:dyDescent="0.3">
      <c r="A260" s="630" t="s">
        <v>545</v>
      </c>
      <c r="B260" s="631" t="s">
        <v>1978</v>
      </c>
      <c r="C260" s="632" t="s">
        <v>555</v>
      </c>
      <c r="D260" s="633" t="s">
        <v>1980</v>
      </c>
      <c r="E260" s="632" t="s">
        <v>573</v>
      </c>
      <c r="F260" s="633" t="s">
        <v>1985</v>
      </c>
      <c r="G260" s="632" t="s">
        <v>574</v>
      </c>
      <c r="H260" s="632" t="s">
        <v>1426</v>
      </c>
      <c r="I260" s="632" t="s">
        <v>238</v>
      </c>
      <c r="J260" s="632" t="s">
        <v>1427</v>
      </c>
      <c r="K260" s="632"/>
      <c r="L260" s="634">
        <v>266.91531770476473</v>
      </c>
      <c r="M260" s="634">
        <v>13</v>
      </c>
      <c r="N260" s="635">
        <v>3469.8991301619417</v>
      </c>
    </row>
    <row r="261" spans="1:14" ht="14.4" customHeight="1" x14ac:dyDescent="0.3">
      <c r="A261" s="630" t="s">
        <v>545</v>
      </c>
      <c r="B261" s="631" t="s">
        <v>1978</v>
      </c>
      <c r="C261" s="632" t="s">
        <v>555</v>
      </c>
      <c r="D261" s="633" t="s">
        <v>1980</v>
      </c>
      <c r="E261" s="632" t="s">
        <v>573</v>
      </c>
      <c r="F261" s="633" t="s">
        <v>1985</v>
      </c>
      <c r="G261" s="632" t="s">
        <v>574</v>
      </c>
      <c r="H261" s="632" t="s">
        <v>1428</v>
      </c>
      <c r="I261" s="632" t="s">
        <v>1428</v>
      </c>
      <c r="J261" s="632" t="s">
        <v>655</v>
      </c>
      <c r="K261" s="632" t="s">
        <v>1429</v>
      </c>
      <c r="L261" s="634">
        <v>60.127076507920435</v>
      </c>
      <c r="M261" s="634">
        <v>140</v>
      </c>
      <c r="N261" s="635">
        <v>8417.7907111088607</v>
      </c>
    </row>
    <row r="262" spans="1:14" ht="14.4" customHeight="1" x14ac:dyDescent="0.3">
      <c r="A262" s="630" t="s">
        <v>545</v>
      </c>
      <c r="B262" s="631" t="s">
        <v>1978</v>
      </c>
      <c r="C262" s="632" t="s">
        <v>555</v>
      </c>
      <c r="D262" s="633" t="s">
        <v>1980</v>
      </c>
      <c r="E262" s="632" t="s">
        <v>573</v>
      </c>
      <c r="F262" s="633" t="s">
        <v>1985</v>
      </c>
      <c r="G262" s="632" t="s">
        <v>574</v>
      </c>
      <c r="H262" s="632" t="s">
        <v>1430</v>
      </c>
      <c r="I262" s="632" t="s">
        <v>238</v>
      </c>
      <c r="J262" s="632" t="s">
        <v>1431</v>
      </c>
      <c r="K262" s="632"/>
      <c r="L262" s="634">
        <v>166.07432771091536</v>
      </c>
      <c r="M262" s="634">
        <v>9</v>
      </c>
      <c r="N262" s="635">
        <v>1494.6689493982383</v>
      </c>
    </row>
    <row r="263" spans="1:14" ht="14.4" customHeight="1" x14ac:dyDescent="0.3">
      <c r="A263" s="630" t="s">
        <v>545</v>
      </c>
      <c r="B263" s="631" t="s">
        <v>1978</v>
      </c>
      <c r="C263" s="632" t="s">
        <v>555</v>
      </c>
      <c r="D263" s="633" t="s">
        <v>1980</v>
      </c>
      <c r="E263" s="632" t="s">
        <v>573</v>
      </c>
      <c r="F263" s="633" t="s">
        <v>1985</v>
      </c>
      <c r="G263" s="632" t="s">
        <v>574</v>
      </c>
      <c r="H263" s="632" t="s">
        <v>1432</v>
      </c>
      <c r="I263" s="632" t="s">
        <v>1433</v>
      </c>
      <c r="J263" s="632" t="s">
        <v>1434</v>
      </c>
      <c r="K263" s="632" t="s">
        <v>1435</v>
      </c>
      <c r="L263" s="634">
        <v>56.525921970726088</v>
      </c>
      <c r="M263" s="634">
        <v>10</v>
      </c>
      <c r="N263" s="635">
        <v>565.25921970726085</v>
      </c>
    </row>
    <row r="264" spans="1:14" ht="14.4" customHeight="1" x14ac:dyDescent="0.3">
      <c r="A264" s="630" t="s">
        <v>545</v>
      </c>
      <c r="B264" s="631" t="s">
        <v>1978</v>
      </c>
      <c r="C264" s="632" t="s">
        <v>555</v>
      </c>
      <c r="D264" s="633" t="s">
        <v>1980</v>
      </c>
      <c r="E264" s="632" t="s">
        <v>573</v>
      </c>
      <c r="F264" s="633" t="s">
        <v>1985</v>
      </c>
      <c r="G264" s="632" t="s">
        <v>574</v>
      </c>
      <c r="H264" s="632" t="s">
        <v>1436</v>
      </c>
      <c r="I264" s="632" t="s">
        <v>238</v>
      </c>
      <c r="J264" s="632" t="s">
        <v>1437</v>
      </c>
      <c r="K264" s="632"/>
      <c r="L264" s="634">
        <v>64.818299191449938</v>
      </c>
      <c r="M264" s="634">
        <v>18</v>
      </c>
      <c r="N264" s="635">
        <v>1166.7293854460988</v>
      </c>
    </row>
    <row r="265" spans="1:14" ht="14.4" customHeight="1" x14ac:dyDescent="0.3">
      <c r="A265" s="630" t="s">
        <v>545</v>
      </c>
      <c r="B265" s="631" t="s">
        <v>1978</v>
      </c>
      <c r="C265" s="632" t="s">
        <v>555</v>
      </c>
      <c r="D265" s="633" t="s">
        <v>1980</v>
      </c>
      <c r="E265" s="632" t="s">
        <v>573</v>
      </c>
      <c r="F265" s="633" t="s">
        <v>1985</v>
      </c>
      <c r="G265" s="632" t="s">
        <v>1438</v>
      </c>
      <c r="H265" s="632" t="s">
        <v>1439</v>
      </c>
      <c r="I265" s="632" t="s">
        <v>1440</v>
      </c>
      <c r="J265" s="632" t="s">
        <v>1441</v>
      </c>
      <c r="K265" s="632" t="s">
        <v>1442</v>
      </c>
      <c r="L265" s="634">
        <v>207.5200509719823</v>
      </c>
      <c r="M265" s="634">
        <v>1</v>
      </c>
      <c r="N265" s="635">
        <v>207.5200509719823</v>
      </c>
    </row>
    <row r="266" spans="1:14" ht="14.4" customHeight="1" x14ac:dyDescent="0.3">
      <c r="A266" s="630" t="s">
        <v>545</v>
      </c>
      <c r="B266" s="631" t="s">
        <v>1978</v>
      </c>
      <c r="C266" s="632" t="s">
        <v>555</v>
      </c>
      <c r="D266" s="633" t="s">
        <v>1980</v>
      </c>
      <c r="E266" s="632" t="s">
        <v>573</v>
      </c>
      <c r="F266" s="633" t="s">
        <v>1985</v>
      </c>
      <c r="G266" s="632" t="s">
        <v>1438</v>
      </c>
      <c r="H266" s="632" t="s">
        <v>1443</v>
      </c>
      <c r="I266" s="632" t="s">
        <v>1444</v>
      </c>
      <c r="J266" s="632" t="s">
        <v>1445</v>
      </c>
      <c r="K266" s="632" t="s">
        <v>1446</v>
      </c>
      <c r="L266" s="634">
        <v>36.329999999999991</v>
      </c>
      <c r="M266" s="634">
        <v>50</v>
      </c>
      <c r="N266" s="635">
        <v>1816.4999999999995</v>
      </c>
    </row>
    <row r="267" spans="1:14" ht="14.4" customHeight="1" x14ac:dyDescent="0.3">
      <c r="A267" s="630" t="s">
        <v>545</v>
      </c>
      <c r="B267" s="631" t="s">
        <v>1978</v>
      </c>
      <c r="C267" s="632" t="s">
        <v>555</v>
      </c>
      <c r="D267" s="633" t="s">
        <v>1980</v>
      </c>
      <c r="E267" s="632" t="s">
        <v>573</v>
      </c>
      <c r="F267" s="633" t="s">
        <v>1985</v>
      </c>
      <c r="G267" s="632" t="s">
        <v>1438</v>
      </c>
      <c r="H267" s="632" t="s">
        <v>1447</v>
      </c>
      <c r="I267" s="632" t="s">
        <v>1448</v>
      </c>
      <c r="J267" s="632" t="s">
        <v>1449</v>
      </c>
      <c r="K267" s="632" t="s">
        <v>1450</v>
      </c>
      <c r="L267" s="634">
        <v>94.670342981448201</v>
      </c>
      <c r="M267" s="634">
        <v>3</v>
      </c>
      <c r="N267" s="635">
        <v>284.01102894434462</v>
      </c>
    </row>
    <row r="268" spans="1:14" ht="14.4" customHeight="1" x14ac:dyDescent="0.3">
      <c r="A268" s="630" t="s">
        <v>545</v>
      </c>
      <c r="B268" s="631" t="s">
        <v>1978</v>
      </c>
      <c r="C268" s="632" t="s">
        <v>555</v>
      </c>
      <c r="D268" s="633" t="s">
        <v>1980</v>
      </c>
      <c r="E268" s="632" t="s">
        <v>573</v>
      </c>
      <c r="F268" s="633" t="s">
        <v>1985</v>
      </c>
      <c r="G268" s="632" t="s">
        <v>1438</v>
      </c>
      <c r="H268" s="632" t="s">
        <v>1451</v>
      </c>
      <c r="I268" s="632" t="s">
        <v>1452</v>
      </c>
      <c r="J268" s="632" t="s">
        <v>1453</v>
      </c>
      <c r="K268" s="632" t="s">
        <v>1454</v>
      </c>
      <c r="L268" s="634">
        <v>61.939999999999962</v>
      </c>
      <c r="M268" s="634">
        <v>2</v>
      </c>
      <c r="N268" s="635">
        <v>123.87999999999992</v>
      </c>
    </row>
    <row r="269" spans="1:14" ht="14.4" customHeight="1" x14ac:dyDescent="0.3">
      <c r="A269" s="630" t="s">
        <v>545</v>
      </c>
      <c r="B269" s="631" t="s">
        <v>1978</v>
      </c>
      <c r="C269" s="632" t="s">
        <v>555</v>
      </c>
      <c r="D269" s="633" t="s">
        <v>1980</v>
      </c>
      <c r="E269" s="632" t="s">
        <v>573</v>
      </c>
      <c r="F269" s="633" t="s">
        <v>1985</v>
      </c>
      <c r="G269" s="632" t="s">
        <v>1438</v>
      </c>
      <c r="H269" s="632" t="s">
        <v>1455</v>
      </c>
      <c r="I269" s="632" t="s">
        <v>1456</v>
      </c>
      <c r="J269" s="632" t="s">
        <v>1457</v>
      </c>
      <c r="K269" s="632" t="s">
        <v>1458</v>
      </c>
      <c r="L269" s="634">
        <v>45.640000000000008</v>
      </c>
      <c r="M269" s="634">
        <v>2</v>
      </c>
      <c r="N269" s="635">
        <v>91.280000000000015</v>
      </c>
    </row>
    <row r="270" spans="1:14" ht="14.4" customHeight="1" x14ac:dyDescent="0.3">
      <c r="A270" s="630" t="s">
        <v>545</v>
      </c>
      <c r="B270" s="631" t="s">
        <v>1978</v>
      </c>
      <c r="C270" s="632" t="s">
        <v>555</v>
      </c>
      <c r="D270" s="633" t="s">
        <v>1980</v>
      </c>
      <c r="E270" s="632" t="s">
        <v>573</v>
      </c>
      <c r="F270" s="633" t="s">
        <v>1985</v>
      </c>
      <c r="G270" s="632" t="s">
        <v>1438</v>
      </c>
      <c r="H270" s="632" t="s">
        <v>1459</v>
      </c>
      <c r="I270" s="632" t="s">
        <v>1460</v>
      </c>
      <c r="J270" s="632" t="s">
        <v>1461</v>
      </c>
      <c r="K270" s="632" t="s">
        <v>1462</v>
      </c>
      <c r="L270" s="634">
        <v>3449.9992332624279</v>
      </c>
      <c r="M270" s="634">
        <v>12</v>
      </c>
      <c r="N270" s="635">
        <v>41399.990799149135</v>
      </c>
    </row>
    <row r="271" spans="1:14" ht="14.4" customHeight="1" x14ac:dyDescent="0.3">
      <c r="A271" s="630" t="s">
        <v>545</v>
      </c>
      <c r="B271" s="631" t="s">
        <v>1978</v>
      </c>
      <c r="C271" s="632" t="s">
        <v>555</v>
      </c>
      <c r="D271" s="633" t="s">
        <v>1980</v>
      </c>
      <c r="E271" s="632" t="s">
        <v>573</v>
      </c>
      <c r="F271" s="633" t="s">
        <v>1985</v>
      </c>
      <c r="G271" s="632" t="s">
        <v>1438</v>
      </c>
      <c r="H271" s="632" t="s">
        <v>1463</v>
      </c>
      <c r="I271" s="632" t="s">
        <v>1464</v>
      </c>
      <c r="J271" s="632" t="s">
        <v>1465</v>
      </c>
      <c r="K271" s="632" t="s">
        <v>1466</v>
      </c>
      <c r="L271" s="634">
        <v>85.479999999999976</v>
      </c>
      <c r="M271" s="634">
        <v>10</v>
      </c>
      <c r="N271" s="635">
        <v>854.79999999999973</v>
      </c>
    </row>
    <row r="272" spans="1:14" ht="14.4" customHeight="1" x14ac:dyDescent="0.3">
      <c r="A272" s="630" t="s">
        <v>545</v>
      </c>
      <c r="B272" s="631" t="s">
        <v>1978</v>
      </c>
      <c r="C272" s="632" t="s">
        <v>555</v>
      </c>
      <c r="D272" s="633" t="s">
        <v>1980</v>
      </c>
      <c r="E272" s="632" t="s">
        <v>573</v>
      </c>
      <c r="F272" s="633" t="s">
        <v>1985</v>
      </c>
      <c r="G272" s="632" t="s">
        <v>1438</v>
      </c>
      <c r="H272" s="632" t="s">
        <v>1467</v>
      </c>
      <c r="I272" s="632" t="s">
        <v>1468</v>
      </c>
      <c r="J272" s="632" t="s">
        <v>1449</v>
      </c>
      <c r="K272" s="632" t="s">
        <v>1469</v>
      </c>
      <c r="L272" s="634">
        <v>135.36649905038644</v>
      </c>
      <c r="M272" s="634">
        <v>163</v>
      </c>
      <c r="N272" s="635">
        <v>22064.739345212987</v>
      </c>
    </row>
    <row r="273" spans="1:14" ht="14.4" customHeight="1" x14ac:dyDescent="0.3">
      <c r="A273" s="630" t="s">
        <v>545</v>
      </c>
      <c r="B273" s="631" t="s">
        <v>1978</v>
      </c>
      <c r="C273" s="632" t="s">
        <v>555</v>
      </c>
      <c r="D273" s="633" t="s">
        <v>1980</v>
      </c>
      <c r="E273" s="632" t="s">
        <v>573</v>
      </c>
      <c r="F273" s="633" t="s">
        <v>1985</v>
      </c>
      <c r="G273" s="632" t="s">
        <v>1438</v>
      </c>
      <c r="H273" s="632" t="s">
        <v>1470</v>
      </c>
      <c r="I273" s="632" t="s">
        <v>1471</v>
      </c>
      <c r="J273" s="632" t="s">
        <v>1472</v>
      </c>
      <c r="K273" s="632" t="s">
        <v>1473</v>
      </c>
      <c r="L273" s="634">
        <v>26.060000000000006</v>
      </c>
      <c r="M273" s="634">
        <v>1</v>
      </c>
      <c r="N273" s="635">
        <v>26.060000000000006</v>
      </c>
    </row>
    <row r="274" spans="1:14" ht="14.4" customHeight="1" x14ac:dyDescent="0.3">
      <c r="A274" s="630" t="s">
        <v>545</v>
      </c>
      <c r="B274" s="631" t="s">
        <v>1978</v>
      </c>
      <c r="C274" s="632" t="s">
        <v>555</v>
      </c>
      <c r="D274" s="633" t="s">
        <v>1980</v>
      </c>
      <c r="E274" s="632" t="s">
        <v>573</v>
      </c>
      <c r="F274" s="633" t="s">
        <v>1985</v>
      </c>
      <c r="G274" s="632" t="s">
        <v>1438</v>
      </c>
      <c r="H274" s="632" t="s">
        <v>1474</v>
      </c>
      <c r="I274" s="632" t="s">
        <v>1475</v>
      </c>
      <c r="J274" s="632" t="s">
        <v>1476</v>
      </c>
      <c r="K274" s="632" t="s">
        <v>1353</v>
      </c>
      <c r="L274" s="634">
        <v>473.13910700525361</v>
      </c>
      <c r="M274" s="634">
        <v>53</v>
      </c>
      <c r="N274" s="635">
        <v>25076.372671278441</v>
      </c>
    </row>
    <row r="275" spans="1:14" ht="14.4" customHeight="1" x14ac:dyDescent="0.3">
      <c r="A275" s="630" t="s">
        <v>545</v>
      </c>
      <c r="B275" s="631" t="s">
        <v>1978</v>
      </c>
      <c r="C275" s="632" t="s">
        <v>555</v>
      </c>
      <c r="D275" s="633" t="s">
        <v>1980</v>
      </c>
      <c r="E275" s="632" t="s">
        <v>573</v>
      </c>
      <c r="F275" s="633" t="s">
        <v>1985</v>
      </c>
      <c r="G275" s="632" t="s">
        <v>1438</v>
      </c>
      <c r="H275" s="632" t="s">
        <v>1477</v>
      </c>
      <c r="I275" s="632" t="s">
        <v>1478</v>
      </c>
      <c r="J275" s="632" t="s">
        <v>1479</v>
      </c>
      <c r="K275" s="632" t="s">
        <v>1480</v>
      </c>
      <c r="L275" s="634">
        <v>74.219951242299032</v>
      </c>
      <c r="M275" s="634">
        <v>18</v>
      </c>
      <c r="N275" s="635">
        <v>1335.9591223613825</v>
      </c>
    </row>
    <row r="276" spans="1:14" ht="14.4" customHeight="1" x14ac:dyDescent="0.3">
      <c r="A276" s="630" t="s">
        <v>545</v>
      </c>
      <c r="B276" s="631" t="s">
        <v>1978</v>
      </c>
      <c r="C276" s="632" t="s">
        <v>555</v>
      </c>
      <c r="D276" s="633" t="s">
        <v>1980</v>
      </c>
      <c r="E276" s="632" t="s">
        <v>573</v>
      </c>
      <c r="F276" s="633" t="s">
        <v>1985</v>
      </c>
      <c r="G276" s="632" t="s">
        <v>1438</v>
      </c>
      <c r="H276" s="632" t="s">
        <v>1481</v>
      </c>
      <c r="I276" s="632" t="s">
        <v>1482</v>
      </c>
      <c r="J276" s="632" t="s">
        <v>1483</v>
      </c>
      <c r="K276" s="632" t="s">
        <v>1484</v>
      </c>
      <c r="L276" s="634">
        <v>70.938771925226476</v>
      </c>
      <c r="M276" s="634">
        <v>1000</v>
      </c>
      <c r="N276" s="635">
        <v>70938.77192522648</v>
      </c>
    </row>
    <row r="277" spans="1:14" ht="14.4" customHeight="1" x14ac:dyDescent="0.3">
      <c r="A277" s="630" t="s">
        <v>545</v>
      </c>
      <c r="B277" s="631" t="s">
        <v>1978</v>
      </c>
      <c r="C277" s="632" t="s">
        <v>555</v>
      </c>
      <c r="D277" s="633" t="s">
        <v>1980</v>
      </c>
      <c r="E277" s="632" t="s">
        <v>573</v>
      </c>
      <c r="F277" s="633" t="s">
        <v>1985</v>
      </c>
      <c r="G277" s="632" t="s">
        <v>1438</v>
      </c>
      <c r="H277" s="632" t="s">
        <v>1485</v>
      </c>
      <c r="I277" s="632" t="s">
        <v>1486</v>
      </c>
      <c r="J277" s="632" t="s">
        <v>1487</v>
      </c>
      <c r="K277" s="632" t="s">
        <v>1488</v>
      </c>
      <c r="L277" s="634">
        <v>890.09998117823841</v>
      </c>
      <c r="M277" s="634">
        <v>54</v>
      </c>
      <c r="N277" s="635">
        <v>48065.398983624873</v>
      </c>
    </row>
    <row r="278" spans="1:14" ht="14.4" customHeight="1" x14ac:dyDescent="0.3">
      <c r="A278" s="630" t="s">
        <v>545</v>
      </c>
      <c r="B278" s="631" t="s">
        <v>1978</v>
      </c>
      <c r="C278" s="632" t="s">
        <v>555</v>
      </c>
      <c r="D278" s="633" t="s">
        <v>1980</v>
      </c>
      <c r="E278" s="632" t="s">
        <v>573</v>
      </c>
      <c r="F278" s="633" t="s">
        <v>1985</v>
      </c>
      <c r="G278" s="632" t="s">
        <v>1438</v>
      </c>
      <c r="H278" s="632" t="s">
        <v>1489</v>
      </c>
      <c r="I278" s="632" t="s">
        <v>1490</v>
      </c>
      <c r="J278" s="632" t="s">
        <v>1491</v>
      </c>
      <c r="K278" s="632" t="s">
        <v>1492</v>
      </c>
      <c r="L278" s="634">
        <v>147.42989958474539</v>
      </c>
      <c r="M278" s="634">
        <v>2</v>
      </c>
      <c r="N278" s="635">
        <v>294.85979916949077</v>
      </c>
    </row>
    <row r="279" spans="1:14" ht="14.4" customHeight="1" x14ac:dyDescent="0.3">
      <c r="A279" s="630" t="s">
        <v>545</v>
      </c>
      <c r="B279" s="631" t="s">
        <v>1978</v>
      </c>
      <c r="C279" s="632" t="s">
        <v>555</v>
      </c>
      <c r="D279" s="633" t="s">
        <v>1980</v>
      </c>
      <c r="E279" s="632" t="s">
        <v>573</v>
      </c>
      <c r="F279" s="633" t="s">
        <v>1985</v>
      </c>
      <c r="G279" s="632" t="s">
        <v>1438</v>
      </c>
      <c r="H279" s="632" t="s">
        <v>1493</v>
      </c>
      <c r="I279" s="632" t="s">
        <v>1494</v>
      </c>
      <c r="J279" s="632" t="s">
        <v>1495</v>
      </c>
      <c r="K279" s="632" t="s">
        <v>1496</v>
      </c>
      <c r="L279" s="634">
        <v>139.66749999999999</v>
      </c>
      <c r="M279" s="634">
        <v>3</v>
      </c>
      <c r="N279" s="635">
        <v>419.00249999999994</v>
      </c>
    </row>
    <row r="280" spans="1:14" ht="14.4" customHeight="1" x14ac:dyDescent="0.3">
      <c r="A280" s="630" t="s">
        <v>545</v>
      </c>
      <c r="B280" s="631" t="s">
        <v>1978</v>
      </c>
      <c r="C280" s="632" t="s">
        <v>555</v>
      </c>
      <c r="D280" s="633" t="s">
        <v>1980</v>
      </c>
      <c r="E280" s="632" t="s">
        <v>573</v>
      </c>
      <c r="F280" s="633" t="s">
        <v>1985</v>
      </c>
      <c r="G280" s="632" t="s">
        <v>1438</v>
      </c>
      <c r="H280" s="632" t="s">
        <v>1497</v>
      </c>
      <c r="I280" s="632" t="s">
        <v>1498</v>
      </c>
      <c r="J280" s="632" t="s">
        <v>1445</v>
      </c>
      <c r="K280" s="632" t="s">
        <v>1499</v>
      </c>
      <c r="L280" s="634">
        <v>224.46000000000004</v>
      </c>
      <c r="M280" s="634">
        <v>6</v>
      </c>
      <c r="N280" s="635">
        <v>1346.7600000000002</v>
      </c>
    </row>
    <row r="281" spans="1:14" ht="14.4" customHeight="1" x14ac:dyDescent="0.3">
      <c r="A281" s="630" t="s">
        <v>545</v>
      </c>
      <c r="B281" s="631" t="s">
        <v>1978</v>
      </c>
      <c r="C281" s="632" t="s">
        <v>555</v>
      </c>
      <c r="D281" s="633" t="s">
        <v>1980</v>
      </c>
      <c r="E281" s="632" t="s">
        <v>573</v>
      </c>
      <c r="F281" s="633" t="s">
        <v>1985</v>
      </c>
      <c r="G281" s="632" t="s">
        <v>1438</v>
      </c>
      <c r="H281" s="632" t="s">
        <v>1500</v>
      </c>
      <c r="I281" s="632" t="s">
        <v>1501</v>
      </c>
      <c r="J281" s="632" t="s">
        <v>1502</v>
      </c>
      <c r="K281" s="632" t="s">
        <v>1503</v>
      </c>
      <c r="L281" s="634">
        <v>62.009999999999977</v>
      </c>
      <c r="M281" s="634">
        <v>1</v>
      </c>
      <c r="N281" s="635">
        <v>62.009999999999977</v>
      </c>
    </row>
    <row r="282" spans="1:14" ht="14.4" customHeight="1" x14ac:dyDescent="0.3">
      <c r="A282" s="630" t="s">
        <v>545</v>
      </c>
      <c r="B282" s="631" t="s">
        <v>1978</v>
      </c>
      <c r="C282" s="632" t="s">
        <v>555</v>
      </c>
      <c r="D282" s="633" t="s">
        <v>1980</v>
      </c>
      <c r="E282" s="632" t="s">
        <v>573</v>
      </c>
      <c r="F282" s="633" t="s">
        <v>1985</v>
      </c>
      <c r="G282" s="632" t="s">
        <v>1438</v>
      </c>
      <c r="H282" s="632" t="s">
        <v>1504</v>
      </c>
      <c r="I282" s="632" t="s">
        <v>1505</v>
      </c>
      <c r="J282" s="632" t="s">
        <v>1506</v>
      </c>
      <c r="K282" s="632" t="s">
        <v>1507</v>
      </c>
      <c r="L282" s="634">
        <v>136.54</v>
      </c>
      <c r="M282" s="634">
        <v>2</v>
      </c>
      <c r="N282" s="635">
        <v>273.08</v>
      </c>
    </row>
    <row r="283" spans="1:14" ht="14.4" customHeight="1" x14ac:dyDescent="0.3">
      <c r="A283" s="630" t="s">
        <v>545</v>
      </c>
      <c r="B283" s="631" t="s">
        <v>1978</v>
      </c>
      <c r="C283" s="632" t="s">
        <v>555</v>
      </c>
      <c r="D283" s="633" t="s">
        <v>1980</v>
      </c>
      <c r="E283" s="632" t="s">
        <v>573</v>
      </c>
      <c r="F283" s="633" t="s">
        <v>1985</v>
      </c>
      <c r="G283" s="632" t="s">
        <v>1438</v>
      </c>
      <c r="H283" s="632" t="s">
        <v>1508</v>
      </c>
      <c r="I283" s="632" t="s">
        <v>1509</v>
      </c>
      <c r="J283" s="632" t="s">
        <v>1495</v>
      </c>
      <c r="K283" s="632" t="s">
        <v>1510</v>
      </c>
      <c r="L283" s="634">
        <v>177.97</v>
      </c>
      <c r="M283" s="634">
        <v>2</v>
      </c>
      <c r="N283" s="635">
        <v>355.94</v>
      </c>
    </row>
    <row r="284" spans="1:14" ht="14.4" customHeight="1" x14ac:dyDescent="0.3">
      <c r="A284" s="630" t="s">
        <v>545</v>
      </c>
      <c r="B284" s="631" t="s">
        <v>1978</v>
      </c>
      <c r="C284" s="632" t="s">
        <v>555</v>
      </c>
      <c r="D284" s="633" t="s">
        <v>1980</v>
      </c>
      <c r="E284" s="632" t="s">
        <v>573</v>
      </c>
      <c r="F284" s="633" t="s">
        <v>1985</v>
      </c>
      <c r="G284" s="632" t="s">
        <v>1438</v>
      </c>
      <c r="H284" s="632" t="s">
        <v>1511</v>
      </c>
      <c r="I284" s="632" t="s">
        <v>1512</v>
      </c>
      <c r="J284" s="632" t="s">
        <v>1513</v>
      </c>
      <c r="K284" s="632" t="s">
        <v>1514</v>
      </c>
      <c r="L284" s="634">
        <v>192.28</v>
      </c>
      <c r="M284" s="634">
        <v>40</v>
      </c>
      <c r="N284" s="635">
        <v>7691.2</v>
      </c>
    </row>
    <row r="285" spans="1:14" ht="14.4" customHeight="1" x14ac:dyDescent="0.3">
      <c r="A285" s="630" t="s">
        <v>545</v>
      </c>
      <c r="B285" s="631" t="s">
        <v>1978</v>
      </c>
      <c r="C285" s="632" t="s">
        <v>555</v>
      </c>
      <c r="D285" s="633" t="s">
        <v>1980</v>
      </c>
      <c r="E285" s="632" t="s">
        <v>573</v>
      </c>
      <c r="F285" s="633" t="s">
        <v>1985</v>
      </c>
      <c r="G285" s="632" t="s">
        <v>1438</v>
      </c>
      <c r="H285" s="632" t="s">
        <v>1515</v>
      </c>
      <c r="I285" s="632" t="s">
        <v>1516</v>
      </c>
      <c r="J285" s="632" t="s">
        <v>1517</v>
      </c>
      <c r="K285" s="632" t="s">
        <v>1518</v>
      </c>
      <c r="L285" s="634">
        <v>1449.576</v>
      </c>
      <c r="M285" s="634">
        <v>5</v>
      </c>
      <c r="N285" s="635">
        <v>7247.88</v>
      </c>
    </row>
    <row r="286" spans="1:14" ht="14.4" customHeight="1" x14ac:dyDescent="0.3">
      <c r="A286" s="630" t="s">
        <v>545</v>
      </c>
      <c r="B286" s="631" t="s">
        <v>1978</v>
      </c>
      <c r="C286" s="632" t="s">
        <v>555</v>
      </c>
      <c r="D286" s="633" t="s">
        <v>1980</v>
      </c>
      <c r="E286" s="632" t="s">
        <v>573</v>
      </c>
      <c r="F286" s="633" t="s">
        <v>1985</v>
      </c>
      <c r="G286" s="632" t="s">
        <v>1438</v>
      </c>
      <c r="H286" s="632" t="s">
        <v>1519</v>
      </c>
      <c r="I286" s="632" t="s">
        <v>1520</v>
      </c>
      <c r="J286" s="632" t="s">
        <v>1521</v>
      </c>
      <c r="K286" s="632" t="s">
        <v>1522</v>
      </c>
      <c r="L286" s="634">
        <v>722.87927982249903</v>
      </c>
      <c r="M286" s="634">
        <v>180</v>
      </c>
      <c r="N286" s="635">
        <v>130118.27036804982</v>
      </c>
    </row>
    <row r="287" spans="1:14" ht="14.4" customHeight="1" x14ac:dyDescent="0.3">
      <c r="A287" s="630" t="s">
        <v>545</v>
      </c>
      <c r="B287" s="631" t="s">
        <v>1978</v>
      </c>
      <c r="C287" s="632" t="s">
        <v>555</v>
      </c>
      <c r="D287" s="633" t="s">
        <v>1980</v>
      </c>
      <c r="E287" s="632" t="s">
        <v>573</v>
      </c>
      <c r="F287" s="633" t="s">
        <v>1985</v>
      </c>
      <c r="G287" s="632" t="s">
        <v>1438</v>
      </c>
      <c r="H287" s="632" t="s">
        <v>1523</v>
      </c>
      <c r="I287" s="632" t="s">
        <v>1524</v>
      </c>
      <c r="J287" s="632" t="s">
        <v>1525</v>
      </c>
      <c r="K287" s="632" t="s">
        <v>1526</v>
      </c>
      <c r="L287" s="634">
        <v>1004.5487504535708</v>
      </c>
      <c r="M287" s="634">
        <v>119</v>
      </c>
      <c r="N287" s="635">
        <v>119541.30130397493</v>
      </c>
    </row>
    <row r="288" spans="1:14" ht="14.4" customHeight="1" x14ac:dyDescent="0.3">
      <c r="A288" s="630" t="s">
        <v>545</v>
      </c>
      <c r="B288" s="631" t="s">
        <v>1978</v>
      </c>
      <c r="C288" s="632" t="s">
        <v>555</v>
      </c>
      <c r="D288" s="633" t="s">
        <v>1980</v>
      </c>
      <c r="E288" s="632" t="s">
        <v>573</v>
      </c>
      <c r="F288" s="633" t="s">
        <v>1985</v>
      </c>
      <c r="G288" s="632" t="s">
        <v>1438</v>
      </c>
      <c r="H288" s="632" t="s">
        <v>1527</v>
      </c>
      <c r="I288" s="632" t="s">
        <v>1528</v>
      </c>
      <c r="J288" s="632" t="s">
        <v>1529</v>
      </c>
      <c r="K288" s="632" t="s">
        <v>1530</v>
      </c>
      <c r="L288" s="634">
        <v>1040.1604183836146</v>
      </c>
      <c r="M288" s="634">
        <v>5</v>
      </c>
      <c r="N288" s="635">
        <v>5200.8020919180726</v>
      </c>
    </row>
    <row r="289" spans="1:14" ht="14.4" customHeight="1" x14ac:dyDescent="0.3">
      <c r="A289" s="630" t="s">
        <v>545</v>
      </c>
      <c r="B289" s="631" t="s">
        <v>1978</v>
      </c>
      <c r="C289" s="632" t="s">
        <v>555</v>
      </c>
      <c r="D289" s="633" t="s">
        <v>1980</v>
      </c>
      <c r="E289" s="632" t="s">
        <v>573</v>
      </c>
      <c r="F289" s="633" t="s">
        <v>1985</v>
      </c>
      <c r="G289" s="632" t="s">
        <v>1438</v>
      </c>
      <c r="H289" s="632" t="s">
        <v>1531</v>
      </c>
      <c r="I289" s="632" t="s">
        <v>1532</v>
      </c>
      <c r="J289" s="632" t="s">
        <v>1533</v>
      </c>
      <c r="K289" s="632" t="s">
        <v>1534</v>
      </c>
      <c r="L289" s="634">
        <v>337.43</v>
      </c>
      <c r="M289" s="634">
        <v>2</v>
      </c>
      <c r="N289" s="635">
        <v>674.86</v>
      </c>
    </row>
    <row r="290" spans="1:14" ht="14.4" customHeight="1" x14ac:dyDescent="0.3">
      <c r="A290" s="630" t="s">
        <v>545</v>
      </c>
      <c r="B290" s="631" t="s">
        <v>1978</v>
      </c>
      <c r="C290" s="632" t="s">
        <v>555</v>
      </c>
      <c r="D290" s="633" t="s">
        <v>1980</v>
      </c>
      <c r="E290" s="632" t="s">
        <v>573</v>
      </c>
      <c r="F290" s="633" t="s">
        <v>1985</v>
      </c>
      <c r="G290" s="632" t="s">
        <v>1438</v>
      </c>
      <c r="H290" s="632" t="s">
        <v>1535</v>
      </c>
      <c r="I290" s="632" t="s">
        <v>1536</v>
      </c>
      <c r="J290" s="632" t="s">
        <v>1537</v>
      </c>
      <c r="K290" s="632" t="s">
        <v>1538</v>
      </c>
      <c r="L290" s="634">
        <v>1062.7399999999998</v>
      </c>
      <c r="M290" s="634">
        <v>1</v>
      </c>
      <c r="N290" s="635">
        <v>1062.7399999999998</v>
      </c>
    </row>
    <row r="291" spans="1:14" ht="14.4" customHeight="1" x14ac:dyDescent="0.3">
      <c r="A291" s="630" t="s">
        <v>545</v>
      </c>
      <c r="B291" s="631" t="s">
        <v>1978</v>
      </c>
      <c r="C291" s="632" t="s">
        <v>555</v>
      </c>
      <c r="D291" s="633" t="s">
        <v>1980</v>
      </c>
      <c r="E291" s="632" t="s">
        <v>573</v>
      </c>
      <c r="F291" s="633" t="s">
        <v>1985</v>
      </c>
      <c r="G291" s="632" t="s">
        <v>1438</v>
      </c>
      <c r="H291" s="632" t="s">
        <v>1539</v>
      </c>
      <c r="I291" s="632" t="s">
        <v>1539</v>
      </c>
      <c r="J291" s="632" t="s">
        <v>1540</v>
      </c>
      <c r="K291" s="632" t="s">
        <v>1541</v>
      </c>
      <c r="L291" s="634">
        <v>32293.805</v>
      </c>
      <c r="M291" s="634">
        <v>14</v>
      </c>
      <c r="N291" s="635">
        <v>452113.27</v>
      </c>
    </row>
    <row r="292" spans="1:14" ht="14.4" customHeight="1" x14ac:dyDescent="0.3">
      <c r="A292" s="630" t="s">
        <v>545</v>
      </c>
      <c r="B292" s="631" t="s">
        <v>1978</v>
      </c>
      <c r="C292" s="632" t="s">
        <v>555</v>
      </c>
      <c r="D292" s="633" t="s">
        <v>1980</v>
      </c>
      <c r="E292" s="632" t="s">
        <v>1542</v>
      </c>
      <c r="F292" s="633" t="s">
        <v>1986</v>
      </c>
      <c r="G292" s="632"/>
      <c r="H292" s="632" t="s">
        <v>1543</v>
      </c>
      <c r="I292" s="632" t="s">
        <v>1543</v>
      </c>
      <c r="J292" s="632" t="s">
        <v>1544</v>
      </c>
      <c r="K292" s="632" t="s">
        <v>606</v>
      </c>
      <c r="L292" s="634">
        <v>112.59000000000002</v>
      </c>
      <c r="M292" s="634">
        <v>60</v>
      </c>
      <c r="N292" s="635">
        <v>6755.4000000000015</v>
      </c>
    </row>
    <row r="293" spans="1:14" ht="14.4" customHeight="1" x14ac:dyDescent="0.3">
      <c r="A293" s="630" t="s">
        <v>545</v>
      </c>
      <c r="B293" s="631" t="s">
        <v>1978</v>
      </c>
      <c r="C293" s="632" t="s">
        <v>555</v>
      </c>
      <c r="D293" s="633" t="s">
        <v>1980</v>
      </c>
      <c r="E293" s="632" t="s">
        <v>1542</v>
      </c>
      <c r="F293" s="633" t="s">
        <v>1986</v>
      </c>
      <c r="G293" s="632"/>
      <c r="H293" s="632" t="s">
        <v>1545</v>
      </c>
      <c r="I293" s="632" t="s">
        <v>1545</v>
      </c>
      <c r="J293" s="632" t="s">
        <v>1546</v>
      </c>
      <c r="K293" s="632" t="s">
        <v>606</v>
      </c>
      <c r="L293" s="634">
        <v>157.52000000000001</v>
      </c>
      <c r="M293" s="634">
        <v>30</v>
      </c>
      <c r="N293" s="635">
        <v>4725.6000000000004</v>
      </c>
    </row>
    <row r="294" spans="1:14" ht="14.4" customHeight="1" x14ac:dyDescent="0.3">
      <c r="A294" s="630" t="s">
        <v>545</v>
      </c>
      <c r="B294" s="631" t="s">
        <v>1978</v>
      </c>
      <c r="C294" s="632" t="s">
        <v>555</v>
      </c>
      <c r="D294" s="633" t="s">
        <v>1980</v>
      </c>
      <c r="E294" s="632" t="s">
        <v>1542</v>
      </c>
      <c r="F294" s="633" t="s">
        <v>1986</v>
      </c>
      <c r="G294" s="632"/>
      <c r="H294" s="632" t="s">
        <v>1547</v>
      </c>
      <c r="I294" s="632" t="s">
        <v>1548</v>
      </c>
      <c r="J294" s="632" t="s">
        <v>1549</v>
      </c>
      <c r="K294" s="632" t="s">
        <v>606</v>
      </c>
      <c r="L294" s="634">
        <v>1133.52</v>
      </c>
      <c r="M294" s="634">
        <v>7</v>
      </c>
      <c r="N294" s="635">
        <v>7934.6399999999994</v>
      </c>
    </row>
    <row r="295" spans="1:14" ht="14.4" customHeight="1" x14ac:dyDescent="0.3">
      <c r="A295" s="630" t="s">
        <v>545</v>
      </c>
      <c r="B295" s="631" t="s">
        <v>1978</v>
      </c>
      <c r="C295" s="632" t="s">
        <v>555</v>
      </c>
      <c r="D295" s="633" t="s">
        <v>1980</v>
      </c>
      <c r="E295" s="632" t="s">
        <v>1542</v>
      </c>
      <c r="F295" s="633" t="s">
        <v>1986</v>
      </c>
      <c r="G295" s="632"/>
      <c r="H295" s="632" t="s">
        <v>1550</v>
      </c>
      <c r="I295" s="632" t="s">
        <v>1550</v>
      </c>
      <c r="J295" s="632" t="s">
        <v>1551</v>
      </c>
      <c r="K295" s="632" t="s">
        <v>606</v>
      </c>
      <c r="L295" s="634">
        <v>442.78</v>
      </c>
      <c r="M295" s="634">
        <v>30</v>
      </c>
      <c r="N295" s="635">
        <v>13283.4</v>
      </c>
    </row>
    <row r="296" spans="1:14" ht="14.4" customHeight="1" x14ac:dyDescent="0.3">
      <c r="A296" s="630" t="s">
        <v>545</v>
      </c>
      <c r="B296" s="631" t="s">
        <v>1978</v>
      </c>
      <c r="C296" s="632" t="s">
        <v>555</v>
      </c>
      <c r="D296" s="633" t="s">
        <v>1980</v>
      </c>
      <c r="E296" s="632" t="s">
        <v>1542</v>
      </c>
      <c r="F296" s="633" t="s">
        <v>1986</v>
      </c>
      <c r="G296" s="632"/>
      <c r="H296" s="632" t="s">
        <v>1552</v>
      </c>
      <c r="I296" s="632" t="s">
        <v>1552</v>
      </c>
      <c r="J296" s="632" t="s">
        <v>1553</v>
      </c>
      <c r="K296" s="632" t="s">
        <v>606</v>
      </c>
      <c r="L296" s="634">
        <v>128.97999999999999</v>
      </c>
      <c r="M296" s="634">
        <v>30</v>
      </c>
      <c r="N296" s="635">
        <v>3869.3999999999996</v>
      </c>
    </row>
    <row r="297" spans="1:14" ht="14.4" customHeight="1" x14ac:dyDescent="0.3">
      <c r="A297" s="630" t="s">
        <v>545</v>
      </c>
      <c r="B297" s="631" t="s">
        <v>1978</v>
      </c>
      <c r="C297" s="632" t="s">
        <v>555</v>
      </c>
      <c r="D297" s="633" t="s">
        <v>1980</v>
      </c>
      <c r="E297" s="632" t="s">
        <v>1542</v>
      </c>
      <c r="F297" s="633" t="s">
        <v>1986</v>
      </c>
      <c r="G297" s="632" t="s">
        <v>574</v>
      </c>
      <c r="H297" s="632" t="s">
        <v>1554</v>
      </c>
      <c r="I297" s="632" t="s">
        <v>1555</v>
      </c>
      <c r="J297" s="632" t="s">
        <v>1556</v>
      </c>
      <c r="K297" s="632" t="s">
        <v>1557</v>
      </c>
      <c r="L297" s="634">
        <v>3959.31</v>
      </c>
      <c r="M297" s="634">
        <v>4</v>
      </c>
      <c r="N297" s="635">
        <v>15837.24</v>
      </c>
    </row>
    <row r="298" spans="1:14" ht="14.4" customHeight="1" x14ac:dyDescent="0.3">
      <c r="A298" s="630" t="s">
        <v>545</v>
      </c>
      <c r="B298" s="631" t="s">
        <v>1978</v>
      </c>
      <c r="C298" s="632" t="s">
        <v>555</v>
      </c>
      <c r="D298" s="633" t="s">
        <v>1980</v>
      </c>
      <c r="E298" s="632" t="s">
        <v>1542</v>
      </c>
      <c r="F298" s="633" t="s">
        <v>1986</v>
      </c>
      <c r="G298" s="632" t="s">
        <v>574</v>
      </c>
      <c r="H298" s="632" t="s">
        <v>1558</v>
      </c>
      <c r="I298" s="632" t="s">
        <v>1559</v>
      </c>
      <c r="J298" s="632" t="s">
        <v>1560</v>
      </c>
      <c r="K298" s="632" t="s">
        <v>1561</v>
      </c>
      <c r="L298" s="634">
        <v>2175.8000000000002</v>
      </c>
      <c r="M298" s="634">
        <v>10</v>
      </c>
      <c r="N298" s="635">
        <v>21758.000000000004</v>
      </c>
    </row>
    <row r="299" spans="1:14" ht="14.4" customHeight="1" x14ac:dyDescent="0.3">
      <c r="A299" s="630" t="s">
        <v>545</v>
      </c>
      <c r="B299" s="631" t="s">
        <v>1978</v>
      </c>
      <c r="C299" s="632" t="s">
        <v>555</v>
      </c>
      <c r="D299" s="633" t="s">
        <v>1980</v>
      </c>
      <c r="E299" s="632" t="s">
        <v>1542</v>
      </c>
      <c r="F299" s="633" t="s">
        <v>1986</v>
      </c>
      <c r="G299" s="632" t="s">
        <v>574</v>
      </c>
      <c r="H299" s="632" t="s">
        <v>1562</v>
      </c>
      <c r="I299" s="632" t="s">
        <v>1563</v>
      </c>
      <c r="J299" s="632" t="s">
        <v>1564</v>
      </c>
      <c r="K299" s="632" t="s">
        <v>1030</v>
      </c>
      <c r="L299" s="634">
        <v>323.98</v>
      </c>
      <c r="M299" s="634">
        <v>40</v>
      </c>
      <c r="N299" s="635">
        <v>12959.2</v>
      </c>
    </row>
    <row r="300" spans="1:14" ht="14.4" customHeight="1" x14ac:dyDescent="0.3">
      <c r="A300" s="630" t="s">
        <v>545</v>
      </c>
      <c r="B300" s="631" t="s">
        <v>1978</v>
      </c>
      <c r="C300" s="632" t="s">
        <v>555</v>
      </c>
      <c r="D300" s="633" t="s">
        <v>1980</v>
      </c>
      <c r="E300" s="632" t="s">
        <v>1542</v>
      </c>
      <c r="F300" s="633" t="s">
        <v>1986</v>
      </c>
      <c r="G300" s="632" t="s">
        <v>574</v>
      </c>
      <c r="H300" s="632" t="s">
        <v>1565</v>
      </c>
      <c r="I300" s="632" t="s">
        <v>238</v>
      </c>
      <c r="J300" s="632" t="s">
        <v>1566</v>
      </c>
      <c r="K300" s="632"/>
      <c r="L300" s="634">
        <v>1161.1645979395191</v>
      </c>
      <c r="M300" s="634">
        <v>4.9988333333333346</v>
      </c>
      <c r="N300" s="635">
        <v>5804.4682976666672</v>
      </c>
    </row>
    <row r="301" spans="1:14" ht="14.4" customHeight="1" x14ac:dyDescent="0.3">
      <c r="A301" s="630" t="s">
        <v>545</v>
      </c>
      <c r="B301" s="631" t="s">
        <v>1978</v>
      </c>
      <c r="C301" s="632" t="s">
        <v>555</v>
      </c>
      <c r="D301" s="633" t="s">
        <v>1980</v>
      </c>
      <c r="E301" s="632" t="s">
        <v>1542</v>
      </c>
      <c r="F301" s="633" t="s">
        <v>1986</v>
      </c>
      <c r="G301" s="632" t="s">
        <v>574</v>
      </c>
      <c r="H301" s="632" t="s">
        <v>1567</v>
      </c>
      <c r="I301" s="632" t="s">
        <v>238</v>
      </c>
      <c r="J301" s="632" t="s">
        <v>1568</v>
      </c>
      <c r="K301" s="632" t="s">
        <v>1569</v>
      </c>
      <c r="L301" s="634">
        <v>211.91998444283132</v>
      </c>
      <c r="M301" s="634">
        <v>54</v>
      </c>
      <c r="N301" s="635">
        <v>11443.679159912892</v>
      </c>
    </row>
    <row r="302" spans="1:14" ht="14.4" customHeight="1" x14ac:dyDescent="0.3">
      <c r="A302" s="630" t="s">
        <v>545</v>
      </c>
      <c r="B302" s="631" t="s">
        <v>1978</v>
      </c>
      <c r="C302" s="632" t="s">
        <v>555</v>
      </c>
      <c r="D302" s="633" t="s">
        <v>1980</v>
      </c>
      <c r="E302" s="632" t="s">
        <v>1542</v>
      </c>
      <c r="F302" s="633" t="s">
        <v>1986</v>
      </c>
      <c r="G302" s="632" t="s">
        <v>574</v>
      </c>
      <c r="H302" s="632" t="s">
        <v>1570</v>
      </c>
      <c r="I302" s="632" t="s">
        <v>1571</v>
      </c>
      <c r="J302" s="632" t="s">
        <v>1572</v>
      </c>
      <c r="K302" s="632" t="s">
        <v>1573</v>
      </c>
      <c r="L302" s="634">
        <v>2223.34</v>
      </c>
      <c r="M302" s="634">
        <v>5.8</v>
      </c>
      <c r="N302" s="635">
        <v>12895.372000000001</v>
      </c>
    </row>
    <row r="303" spans="1:14" ht="14.4" customHeight="1" x14ac:dyDescent="0.3">
      <c r="A303" s="630" t="s">
        <v>545</v>
      </c>
      <c r="B303" s="631" t="s">
        <v>1978</v>
      </c>
      <c r="C303" s="632" t="s">
        <v>555</v>
      </c>
      <c r="D303" s="633" t="s">
        <v>1980</v>
      </c>
      <c r="E303" s="632" t="s">
        <v>1542</v>
      </c>
      <c r="F303" s="633" t="s">
        <v>1986</v>
      </c>
      <c r="G303" s="632" t="s">
        <v>574</v>
      </c>
      <c r="H303" s="632" t="s">
        <v>1574</v>
      </c>
      <c r="I303" s="632" t="s">
        <v>1575</v>
      </c>
      <c r="J303" s="632" t="s">
        <v>1576</v>
      </c>
      <c r="K303" s="632" t="s">
        <v>1573</v>
      </c>
      <c r="L303" s="634">
        <v>2416.0039999999999</v>
      </c>
      <c r="M303" s="634">
        <v>5</v>
      </c>
      <c r="N303" s="635">
        <v>12080.02</v>
      </c>
    </row>
    <row r="304" spans="1:14" ht="14.4" customHeight="1" x14ac:dyDescent="0.3">
      <c r="A304" s="630" t="s">
        <v>545</v>
      </c>
      <c r="B304" s="631" t="s">
        <v>1978</v>
      </c>
      <c r="C304" s="632" t="s">
        <v>555</v>
      </c>
      <c r="D304" s="633" t="s">
        <v>1980</v>
      </c>
      <c r="E304" s="632" t="s">
        <v>1542</v>
      </c>
      <c r="F304" s="633" t="s">
        <v>1986</v>
      </c>
      <c r="G304" s="632" t="s">
        <v>574</v>
      </c>
      <c r="H304" s="632" t="s">
        <v>1577</v>
      </c>
      <c r="I304" s="632" t="s">
        <v>1577</v>
      </c>
      <c r="J304" s="632" t="s">
        <v>1578</v>
      </c>
      <c r="K304" s="632" t="s">
        <v>1579</v>
      </c>
      <c r="L304" s="634">
        <v>3681.0109624098814</v>
      </c>
      <c r="M304" s="634">
        <v>25</v>
      </c>
      <c r="N304" s="635">
        <v>92025.274060247029</v>
      </c>
    </row>
    <row r="305" spans="1:14" ht="14.4" customHeight="1" x14ac:dyDescent="0.3">
      <c r="A305" s="630" t="s">
        <v>545</v>
      </c>
      <c r="B305" s="631" t="s">
        <v>1978</v>
      </c>
      <c r="C305" s="632" t="s">
        <v>555</v>
      </c>
      <c r="D305" s="633" t="s">
        <v>1980</v>
      </c>
      <c r="E305" s="632" t="s">
        <v>1542</v>
      </c>
      <c r="F305" s="633" t="s">
        <v>1986</v>
      </c>
      <c r="G305" s="632" t="s">
        <v>574</v>
      </c>
      <c r="H305" s="632" t="s">
        <v>1580</v>
      </c>
      <c r="I305" s="632" t="s">
        <v>1581</v>
      </c>
      <c r="J305" s="632" t="s">
        <v>1582</v>
      </c>
      <c r="K305" s="632" t="s">
        <v>1583</v>
      </c>
      <c r="L305" s="634">
        <v>2206.31</v>
      </c>
      <c r="M305" s="634">
        <v>2</v>
      </c>
      <c r="N305" s="635">
        <v>4412.62</v>
      </c>
    </row>
    <row r="306" spans="1:14" ht="14.4" customHeight="1" x14ac:dyDescent="0.3">
      <c r="A306" s="630" t="s">
        <v>545</v>
      </c>
      <c r="B306" s="631" t="s">
        <v>1978</v>
      </c>
      <c r="C306" s="632" t="s">
        <v>555</v>
      </c>
      <c r="D306" s="633" t="s">
        <v>1980</v>
      </c>
      <c r="E306" s="632" t="s">
        <v>1542</v>
      </c>
      <c r="F306" s="633" t="s">
        <v>1986</v>
      </c>
      <c r="G306" s="632" t="s">
        <v>574</v>
      </c>
      <c r="H306" s="632" t="s">
        <v>1584</v>
      </c>
      <c r="I306" s="632" t="s">
        <v>1585</v>
      </c>
      <c r="J306" s="632" t="s">
        <v>1586</v>
      </c>
      <c r="K306" s="632" t="s">
        <v>1587</v>
      </c>
      <c r="L306" s="634">
        <v>2605.4423076923076</v>
      </c>
      <c r="M306" s="634">
        <v>13</v>
      </c>
      <c r="N306" s="635">
        <v>33870.75</v>
      </c>
    </row>
    <row r="307" spans="1:14" ht="14.4" customHeight="1" x14ac:dyDescent="0.3">
      <c r="A307" s="630" t="s">
        <v>545</v>
      </c>
      <c r="B307" s="631" t="s">
        <v>1978</v>
      </c>
      <c r="C307" s="632" t="s">
        <v>555</v>
      </c>
      <c r="D307" s="633" t="s">
        <v>1980</v>
      </c>
      <c r="E307" s="632" t="s">
        <v>1542</v>
      </c>
      <c r="F307" s="633" t="s">
        <v>1986</v>
      </c>
      <c r="G307" s="632" t="s">
        <v>574</v>
      </c>
      <c r="H307" s="632" t="s">
        <v>1588</v>
      </c>
      <c r="I307" s="632" t="s">
        <v>1589</v>
      </c>
      <c r="J307" s="632" t="s">
        <v>1590</v>
      </c>
      <c r="K307" s="632" t="s">
        <v>1591</v>
      </c>
      <c r="L307" s="634">
        <v>2322.3071464942545</v>
      </c>
      <c r="M307" s="634">
        <v>11</v>
      </c>
      <c r="N307" s="635">
        <v>25545.378611436801</v>
      </c>
    </row>
    <row r="308" spans="1:14" ht="14.4" customHeight="1" x14ac:dyDescent="0.3">
      <c r="A308" s="630" t="s">
        <v>545</v>
      </c>
      <c r="B308" s="631" t="s">
        <v>1978</v>
      </c>
      <c r="C308" s="632" t="s">
        <v>555</v>
      </c>
      <c r="D308" s="633" t="s">
        <v>1980</v>
      </c>
      <c r="E308" s="632" t="s">
        <v>1542</v>
      </c>
      <c r="F308" s="633" t="s">
        <v>1986</v>
      </c>
      <c r="G308" s="632" t="s">
        <v>574</v>
      </c>
      <c r="H308" s="632" t="s">
        <v>1592</v>
      </c>
      <c r="I308" s="632" t="s">
        <v>1593</v>
      </c>
      <c r="J308" s="632" t="s">
        <v>1594</v>
      </c>
      <c r="K308" s="632" t="s">
        <v>1595</v>
      </c>
      <c r="L308" s="634">
        <v>1214.6299999999999</v>
      </c>
      <c r="M308" s="634">
        <v>10</v>
      </c>
      <c r="N308" s="635">
        <v>12146.3</v>
      </c>
    </row>
    <row r="309" spans="1:14" ht="14.4" customHeight="1" x14ac:dyDescent="0.3">
      <c r="A309" s="630" t="s">
        <v>545</v>
      </c>
      <c r="B309" s="631" t="s">
        <v>1978</v>
      </c>
      <c r="C309" s="632" t="s">
        <v>555</v>
      </c>
      <c r="D309" s="633" t="s">
        <v>1980</v>
      </c>
      <c r="E309" s="632" t="s">
        <v>1542</v>
      </c>
      <c r="F309" s="633" t="s">
        <v>1986</v>
      </c>
      <c r="G309" s="632" t="s">
        <v>574</v>
      </c>
      <c r="H309" s="632" t="s">
        <v>1596</v>
      </c>
      <c r="I309" s="632" t="s">
        <v>1597</v>
      </c>
      <c r="J309" s="632" t="s">
        <v>1598</v>
      </c>
      <c r="K309" s="632" t="s">
        <v>1599</v>
      </c>
      <c r="L309" s="634">
        <v>2760</v>
      </c>
      <c r="M309" s="634">
        <v>8</v>
      </c>
      <c r="N309" s="635">
        <v>22080</v>
      </c>
    </row>
    <row r="310" spans="1:14" ht="14.4" customHeight="1" x14ac:dyDescent="0.3">
      <c r="A310" s="630" t="s">
        <v>545</v>
      </c>
      <c r="B310" s="631" t="s">
        <v>1978</v>
      </c>
      <c r="C310" s="632" t="s">
        <v>555</v>
      </c>
      <c r="D310" s="633" t="s">
        <v>1980</v>
      </c>
      <c r="E310" s="632" t="s">
        <v>1542</v>
      </c>
      <c r="F310" s="633" t="s">
        <v>1986</v>
      </c>
      <c r="G310" s="632" t="s">
        <v>1438</v>
      </c>
      <c r="H310" s="632" t="s">
        <v>1600</v>
      </c>
      <c r="I310" s="632" t="s">
        <v>1600</v>
      </c>
      <c r="J310" s="632" t="s">
        <v>1601</v>
      </c>
      <c r="K310" s="632" t="s">
        <v>1602</v>
      </c>
      <c r="L310" s="634">
        <v>252.96985745473592</v>
      </c>
      <c r="M310" s="634">
        <v>50</v>
      </c>
      <c r="N310" s="635">
        <v>12648.492872736795</v>
      </c>
    </row>
    <row r="311" spans="1:14" ht="14.4" customHeight="1" x14ac:dyDescent="0.3">
      <c r="A311" s="630" t="s">
        <v>545</v>
      </c>
      <c r="B311" s="631" t="s">
        <v>1978</v>
      </c>
      <c r="C311" s="632" t="s">
        <v>555</v>
      </c>
      <c r="D311" s="633" t="s">
        <v>1980</v>
      </c>
      <c r="E311" s="632" t="s">
        <v>1542</v>
      </c>
      <c r="F311" s="633" t="s">
        <v>1986</v>
      </c>
      <c r="G311" s="632" t="s">
        <v>1438</v>
      </c>
      <c r="H311" s="632" t="s">
        <v>1603</v>
      </c>
      <c r="I311" s="632" t="s">
        <v>1604</v>
      </c>
      <c r="J311" s="632" t="s">
        <v>1605</v>
      </c>
      <c r="K311" s="632" t="s">
        <v>1606</v>
      </c>
      <c r="L311" s="634">
        <v>206.9997748047405</v>
      </c>
      <c r="M311" s="634">
        <v>62</v>
      </c>
      <c r="N311" s="635">
        <v>12833.98603789391</v>
      </c>
    </row>
    <row r="312" spans="1:14" ht="14.4" customHeight="1" x14ac:dyDescent="0.3">
      <c r="A312" s="630" t="s">
        <v>545</v>
      </c>
      <c r="B312" s="631" t="s">
        <v>1978</v>
      </c>
      <c r="C312" s="632" t="s">
        <v>555</v>
      </c>
      <c r="D312" s="633" t="s">
        <v>1980</v>
      </c>
      <c r="E312" s="632" t="s">
        <v>1542</v>
      </c>
      <c r="F312" s="633" t="s">
        <v>1986</v>
      </c>
      <c r="G312" s="632" t="s">
        <v>1438</v>
      </c>
      <c r="H312" s="632" t="s">
        <v>1607</v>
      </c>
      <c r="I312" s="632" t="s">
        <v>1608</v>
      </c>
      <c r="J312" s="632" t="s">
        <v>1609</v>
      </c>
      <c r="K312" s="632" t="s">
        <v>1610</v>
      </c>
      <c r="L312" s="634">
        <v>216.2197591722493</v>
      </c>
      <c r="M312" s="634">
        <v>34</v>
      </c>
      <c r="N312" s="635">
        <v>7351.4718118564761</v>
      </c>
    </row>
    <row r="313" spans="1:14" ht="14.4" customHeight="1" x14ac:dyDescent="0.3">
      <c r="A313" s="630" t="s">
        <v>545</v>
      </c>
      <c r="B313" s="631" t="s">
        <v>1978</v>
      </c>
      <c r="C313" s="632" t="s">
        <v>555</v>
      </c>
      <c r="D313" s="633" t="s">
        <v>1980</v>
      </c>
      <c r="E313" s="632" t="s">
        <v>1542</v>
      </c>
      <c r="F313" s="633" t="s">
        <v>1986</v>
      </c>
      <c r="G313" s="632" t="s">
        <v>1438</v>
      </c>
      <c r="H313" s="632" t="s">
        <v>1611</v>
      </c>
      <c r="I313" s="632" t="s">
        <v>1612</v>
      </c>
      <c r="J313" s="632" t="s">
        <v>1613</v>
      </c>
      <c r="K313" s="632" t="s">
        <v>1614</v>
      </c>
      <c r="L313" s="634">
        <v>198.25998761276304</v>
      </c>
      <c r="M313" s="634">
        <v>1</v>
      </c>
      <c r="N313" s="635">
        <v>198.25998761276304</v>
      </c>
    </row>
    <row r="314" spans="1:14" ht="14.4" customHeight="1" x14ac:dyDescent="0.3">
      <c r="A314" s="630" t="s">
        <v>545</v>
      </c>
      <c r="B314" s="631" t="s">
        <v>1978</v>
      </c>
      <c r="C314" s="632" t="s">
        <v>555</v>
      </c>
      <c r="D314" s="633" t="s">
        <v>1980</v>
      </c>
      <c r="E314" s="632" t="s">
        <v>1542</v>
      </c>
      <c r="F314" s="633" t="s">
        <v>1986</v>
      </c>
      <c r="G314" s="632" t="s">
        <v>1438</v>
      </c>
      <c r="H314" s="632" t="s">
        <v>1615</v>
      </c>
      <c r="I314" s="632" t="s">
        <v>1615</v>
      </c>
      <c r="J314" s="632" t="s">
        <v>1616</v>
      </c>
      <c r="K314" s="632" t="s">
        <v>1602</v>
      </c>
      <c r="L314" s="634">
        <v>424.97997340345182</v>
      </c>
      <c r="M314" s="634">
        <v>32</v>
      </c>
      <c r="N314" s="635">
        <v>13599.359148910458</v>
      </c>
    </row>
    <row r="315" spans="1:14" ht="14.4" customHeight="1" x14ac:dyDescent="0.3">
      <c r="A315" s="630" t="s">
        <v>545</v>
      </c>
      <c r="B315" s="631" t="s">
        <v>1978</v>
      </c>
      <c r="C315" s="632" t="s">
        <v>555</v>
      </c>
      <c r="D315" s="633" t="s">
        <v>1980</v>
      </c>
      <c r="E315" s="632" t="s">
        <v>1542</v>
      </c>
      <c r="F315" s="633" t="s">
        <v>1986</v>
      </c>
      <c r="G315" s="632" t="s">
        <v>1438</v>
      </c>
      <c r="H315" s="632" t="s">
        <v>1617</v>
      </c>
      <c r="I315" s="632" t="s">
        <v>1617</v>
      </c>
      <c r="J315" s="632" t="s">
        <v>1618</v>
      </c>
      <c r="K315" s="632" t="s">
        <v>1602</v>
      </c>
      <c r="L315" s="634">
        <v>183.36993069401754</v>
      </c>
      <c r="M315" s="634">
        <v>101</v>
      </c>
      <c r="N315" s="635">
        <v>18520.363000095771</v>
      </c>
    </row>
    <row r="316" spans="1:14" ht="14.4" customHeight="1" x14ac:dyDescent="0.3">
      <c r="A316" s="630" t="s">
        <v>545</v>
      </c>
      <c r="B316" s="631" t="s">
        <v>1978</v>
      </c>
      <c r="C316" s="632" t="s">
        <v>555</v>
      </c>
      <c r="D316" s="633" t="s">
        <v>1980</v>
      </c>
      <c r="E316" s="632" t="s">
        <v>1542</v>
      </c>
      <c r="F316" s="633" t="s">
        <v>1986</v>
      </c>
      <c r="G316" s="632" t="s">
        <v>1438</v>
      </c>
      <c r="H316" s="632" t="s">
        <v>1619</v>
      </c>
      <c r="I316" s="632" t="s">
        <v>1620</v>
      </c>
      <c r="J316" s="632" t="s">
        <v>1621</v>
      </c>
      <c r="K316" s="632" t="s">
        <v>1622</v>
      </c>
      <c r="L316" s="634">
        <v>217.49977408070458</v>
      </c>
      <c r="M316" s="634">
        <v>78</v>
      </c>
      <c r="N316" s="635">
        <v>16964.982378294957</v>
      </c>
    </row>
    <row r="317" spans="1:14" ht="14.4" customHeight="1" x14ac:dyDescent="0.3">
      <c r="A317" s="630" t="s">
        <v>545</v>
      </c>
      <c r="B317" s="631" t="s">
        <v>1978</v>
      </c>
      <c r="C317" s="632" t="s">
        <v>555</v>
      </c>
      <c r="D317" s="633" t="s">
        <v>1980</v>
      </c>
      <c r="E317" s="632" t="s">
        <v>1542</v>
      </c>
      <c r="F317" s="633" t="s">
        <v>1986</v>
      </c>
      <c r="G317" s="632" t="s">
        <v>1438</v>
      </c>
      <c r="H317" s="632" t="s">
        <v>1623</v>
      </c>
      <c r="I317" s="632" t="s">
        <v>1624</v>
      </c>
      <c r="J317" s="632" t="s">
        <v>1625</v>
      </c>
      <c r="K317" s="632" t="s">
        <v>1626</v>
      </c>
      <c r="L317" s="634">
        <v>390.47020605939741</v>
      </c>
      <c r="M317" s="634">
        <v>96</v>
      </c>
      <c r="N317" s="635">
        <v>37485.13978170215</v>
      </c>
    </row>
    <row r="318" spans="1:14" ht="14.4" customHeight="1" x14ac:dyDescent="0.3">
      <c r="A318" s="630" t="s">
        <v>545</v>
      </c>
      <c r="B318" s="631" t="s">
        <v>1978</v>
      </c>
      <c r="C318" s="632" t="s">
        <v>555</v>
      </c>
      <c r="D318" s="633" t="s">
        <v>1980</v>
      </c>
      <c r="E318" s="632" t="s">
        <v>1627</v>
      </c>
      <c r="F318" s="633" t="s">
        <v>1987</v>
      </c>
      <c r="G318" s="632" t="s">
        <v>574</v>
      </c>
      <c r="H318" s="632" t="s">
        <v>1628</v>
      </c>
      <c r="I318" s="632" t="s">
        <v>1629</v>
      </c>
      <c r="J318" s="632" t="s">
        <v>1630</v>
      </c>
      <c r="K318" s="632" t="s">
        <v>1631</v>
      </c>
      <c r="L318" s="634">
        <v>10869.17818951468</v>
      </c>
      <c r="M318" s="634">
        <v>2</v>
      </c>
      <c r="N318" s="635">
        <v>21738.356379029359</v>
      </c>
    </row>
    <row r="319" spans="1:14" ht="14.4" customHeight="1" x14ac:dyDescent="0.3">
      <c r="A319" s="630" t="s">
        <v>545</v>
      </c>
      <c r="B319" s="631" t="s">
        <v>1978</v>
      </c>
      <c r="C319" s="632" t="s">
        <v>555</v>
      </c>
      <c r="D319" s="633" t="s">
        <v>1980</v>
      </c>
      <c r="E319" s="632" t="s">
        <v>1632</v>
      </c>
      <c r="F319" s="633" t="s">
        <v>1988</v>
      </c>
      <c r="G319" s="632" t="s">
        <v>574</v>
      </c>
      <c r="H319" s="632" t="s">
        <v>1633</v>
      </c>
      <c r="I319" s="632" t="s">
        <v>1634</v>
      </c>
      <c r="J319" s="632" t="s">
        <v>1635</v>
      </c>
      <c r="K319" s="632" t="s">
        <v>1304</v>
      </c>
      <c r="L319" s="634">
        <v>35.260000000000005</v>
      </c>
      <c r="M319" s="634">
        <v>40</v>
      </c>
      <c r="N319" s="635">
        <v>1410.4</v>
      </c>
    </row>
    <row r="320" spans="1:14" ht="14.4" customHeight="1" x14ac:dyDescent="0.3">
      <c r="A320" s="630" t="s">
        <v>545</v>
      </c>
      <c r="B320" s="631" t="s">
        <v>1978</v>
      </c>
      <c r="C320" s="632" t="s">
        <v>555</v>
      </c>
      <c r="D320" s="633" t="s">
        <v>1980</v>
      </c>
      <c r="E320" s="632" t="s">
        <v>1632</v>
      </c>
      <c r="F320" s="633" t="s">
        <v>1988</v>
      </c>
      <c r="G320" s="632" t="s">
        <v>574</v>
      </c>
      <c r="H320" s="632" t="s">
        <v>1636</v>
      </c>
      <c r="I320" s="632" t="s">
        <v>1636</v>
      </c>
      <c r="J320" s="632" t="s">
        <v>1637</v>
      </c>
      <c r="K320" s="632" t="s">
        <v>1638</v>
      </c>
      <c r="L320" s="634">
        <v>72.840044293265208</v>
      </c>
      <c r="M320" s="634">
        <v>9</v>
      </c>
      <c r="N320" s="635">
        <v>655.5603986393869</v>
      </c>
    </row>
    <row r="321" spans="1:14" ht="14.4" customHeight="1" x14ac:dyDescent="0.3">
      <c r="A321" s="630" t="s">
        <v>545</v>
      </c>
      <c r="B321" s="631" t="s">
        <v>1978</v>
      </c>
      <c r="C321" s="632" t="s">
        <v>555</v>
      </c>
      <c r="D321" s="633" t="s">
        <v>1980</v>
      </c>
      <c r="E321" s="632" t="s">
        <v>1632</v>
      </c>
      <c r="F321" s="633" t="s">
        <v>1988</v>
      </c>
      <c r="G321" s="632" t="s">
        <v>574</v>
      </c>
      <c r="H321" s="632" t="s">
        <v>1639</v>
      </c>
      <c r="I321" s="632" t="s">
        <v>1640</v>
      </c>
      <c r="J321" s="632" t="s">
        <v>1641</v>
      </c>
      <c r="K321" s="632" t="s">
        <v>1642</v>
      </c>
      <c r="L321" s="634">
        <v>39.350049762069197</v>
      </c>
      <c r="M321" s="634">
        <v>2</v>
      </c>
      <c r="N321" s="635">
        <v>78.700099524138395</v>
      </c>
    </row>
    <row r="322" spans="1:14" ht="14.4" customHeight="1" x14ac:dyDescent="0.3">
      <c r="A322" s="630" t="s">
        <v>545</v>
      </c>
      <c r="B322" s="631" t="s">
        <v>1978</v>
      </c>
      <c r="C322" s="632" t="s">
        <v>555</v>
      </c>
      <c r="D322" s="633" t="s">
        <v>1980</v>
      </c>
      <c r="E322" s="632" t="s">
        <v>1632</v>
      </c>
      <c r="F322" s="633" t="s">
        <v>1988</v>
      </c>
      <c r="G322" s="632" t="s">
        <v>574</v>
      </c>
      <c r="H322" s="632" t="s">
        <v>1643</v>
      </c>
      <c r="I322" s="632" t="s">
        <v>1644</v>
      </c>
      <c r="J322" s="632" t="s">
        <v>1645</v>
      </c>
      <c r="K322" s="632" t="s">
        <v>659</v>
      </c>
      <c r="L322" s="634">
        <v>66.177948001785268</v>
      </c>
      <c r="M322" s="634">
        <v>10</v>
      </c>
      <c r="N322" s="635">
        <v>661.77948001785262</v>
      </c>
    </row>
    <row r="323" spans="1:14" ht="14.4" customHeight="1" x14ac:dyDescent="0.3">
      <c r="A323" s="630" t="s">
        <v>545</v>
      </c>
      <c r="B323" s="631" t="s">
        <v>1978</v>
      </c>
      <c r="C323" s="632" t="s">
        <v>555</v>
      </c>
      <c r="D323" s="633" t="s">
        <v>1980</v>
      </c>
      <c r="E323" s="632" t="s">
        <v>1632</v>
      </c>
      <c r="F323" s="633" t="s">
        <v>1988</v>
      </c>
      <c r="G323" s="632" t="s">
        <v>574</v>
      </c>
      <c r="H323" s="632" t="s">
        <v>1646</v>
      </c>
      <c r="I323" s="632" t="s">
        <v>1647</v>
      </c>
      <c r="J323" s="632" t="s">
        <v>1648</v>
      </c>
      <c r="K323" s="632" t="s">
        <v>1146</v>
      </c>
      <c r="L323" s="634">
        <v>26.819999999999986</v>
      </c>
      <c r="M323" s="634">
        <v>5</v>
      </c>
      <c r="N323" s="635">
        <v>134.09999999999994</v>
      </c>
    </row>
    <row r="324" spans="1:14" ht="14.4" customHeight="1" x14ac:dyDescent="0.3">
      <c r="A324" s="630" t="s">
        <v>545</v>
      </c>
      <c r="B324" s="631" t="s">
        <v>1978</v>
      </c>
      <c r="C324" s="632" t="s">
        <v>555</v>
      </c>
      <c r="D324" s="633" t="s">
        <v>1980</v>
      </c>
      <c r="E324" s="632" t="s">
        <v>1632</v>
      </c>
      <c r="F324" s="633" t="s">
        <v>1988</v>
      </c>
      <c r="G324" s="632" t="s">
        <v>574</v>
      </c>
      <c r="H324" s="632" t="s">
        <v>1649</v>
      </c>
      <c r="I324" s="632" t="s">
        <v>1650</v>
      </c>
      <c r="J324" s="632" t="s">
        <v>1651</v>
      </c>
      <c r="K324" s="632" t="s">
        <v>1652</v>
      </c>
      <c r="L324" s="634">
        <v>33.410000000000004</v>
      </c>
      <c r="M324" s="634">
        <v>2</v>
      </c>
      <c r="N324" s="635">
        <v>66.820000000000007</v>
      </c>
    </row>
    <row r="325" spans="1:14" ht="14.4" customHeight="1" x14ac:dyDescent="0.3">
      <c r="A325" s="630" t="s">
        <v>545</v>
      </c>
      <c r="B325" s="631" t="s">
        <v>1978</v>
      </c>
      <c r="C325" s="632" t="s">
        <v>555</v>
      </c>
      <c r="D325" s="633" t="s">
        <v>1980</v>
      </c>
      <c r="E325" s="632" t="s">
        <v>1632</v>
      </c>
      <c r="F325" s="633" t="s">
        <v>1988</v>
      </c>
      <c r="G325" s="632" t="s">
        <v>574</v>
      </c>
      <c r="H325" s="632" t="s">
        <v>1653</v>
      </c>
      <c r="I325" s="632" t="s">
        <v>1654</v>
      </c>
      <c r="J325" s="632" t="s">
        <v>1655</v>
      </c>
      <c r="K325" s="632" t="s">
        <v>1656</v>
      </c>
      <c r="L325" s="634">
        <v>432.07367816215458</v>
      </c>
      <c r="M325" s="634">
        <v>21.599999999999998</v>
      </c>
      <c r="N325" s="635">
        <v>9332.7914483025379</v>
      </c>
    </row>
    <row r="326" spans="1:14" ht="14.4" customHeight="1" x14ac:dyDescent="0.3">
      <c r="A326" s="630" t="s">
        <v>545</v>
      </c>
      <c r="B326" s="631" t="s">
        <v>1978</v>
      </c>
      <c r="C326" s="632" t="s">
        <v>555</v>
      </c>
      <c r="D326" s="633" t="s">
        <v>1980</v>
      </c>
      <c r="E326" s="632" t="s">
        <v>1632</v>
      </c>
      <c r="F326" s="633" t="s">
        <v>1988</v>
      </c>
      <c r="G326" s="632" t="s">
        <v>574</v>
      </c>
      <c r="H326" s="632" t="s">
        <v>1657</v>
      </c>
      <c r="I326" s="632" t="s">
        <v>1658</v>
      </c>
      <c r="J326" s="632" t="s">
        <v>1659</v>
      </c>
      <c r="K326" s="632" t="s">
        <v>1660</v>
      </c>
      <c r="L326" s="634">
        <v>1112.0199337814879</v>
      </c>
      <c r="M326" s="634">
        <v>46.166666666666671</v>
      </c>
      <c r="N326" s="635">
        <v>51338.2536095787</v>
      </c>
    </row>
    <row r="327" spans="1:14" ht="14.4" customHeight="1" x14ac:dyDescent="0.3">
      <c r="A327" s="630" t="s">
        <v>545</v>
      </c>
      <c r="B327" s="631" t="s">
        <v>1978</v>
      </c>
      <c r="C327" s="632" t="s">
        <v>555</v>
      </c>
      <c r="D327" s="633" t="s">
        <v>1980</v>
      </c>
      <c r="E327" s="632" t="s">
        <v>1632</v>
      </c>
      <c r="F327" s="633" t="s">
        <v>1988</v>
      </c>
      <c r="G327" s="632" t="s">
        <v>574</v>
      </c>
      <c r="H327" s="632" t="s">
        <v>1661</v>
      </c>
      <c r="I327" s="632" t="s">
        <v>1662</v>
      </c>
      <c r="J327" s="632" t="s">
        <v>1663</v>
      </c>
      <c r="K327" s="632" t="s">
        <v>1664</v>
      </c>
      <c r="L327" s="634">
        <v>641.9900825677222</v>
      </c>
      <c r="M327" s="634">
        <v>43</v>
      </c>
      <c r="N327" s="635">
        <v>27605.573550412057</v>
      </c>
    </row>
    <row r="328" spans="1:14" ht="14.4" customHeight="1" x14ac:dyDescent="0.3">
      <c r="A328" s="630" t="s">
        <v>545</v>
      </c>
      <c r="B328" s="631" t="s">
        <v>1978</v>
      </c>
      <c r="C328" s="632" t="s">
        <v>555</v>
      </c>
      <c r="D328" s="633" t="s">
        <v>1980</v>
      </c>
      <c r="E328" s="632" t="s">
        <v>1632</v>
      </c>
      <c r="F328" s="633" t="s">
        <v>1988</v>
      </c>
      <c r="G328" s="632" t="s">
        <v>574</v>
      </c>
      <c r="H328" s="632" t="s">
        <v>1665</v>
      </c>
      <c r="I328" s="632" t="s">
        <v>1665</v>
      </c>
      <c r="J328" s="632" t="s">
        <v>1666</v>
      </c>
      <c r="K328" s="632" t="s">
        <v>1667</v>
      </c>
      <c r="L328" s="634">
        <v>610.95000000000005</v>
      </c>
      <c r="M328" s="634">
        <v>1</v>
      </c>
      <c r="N328" s="635">
        <v>610.95000000000005</v>
      </c>
    </row>
    <row r="329" spans="1:14" ht="14.4" customHeight="1" x14ac:dyDescent="0.3">
      <c r="A329" s="630" t="s">
        <v>545</v>
      </c>
      <c r="B329" s="631" t="s">
        <v>1978</v>
      </c>
      <c r="C329" s="632" t="s">
        <v>555</v>
      </c>
      <c r="D329" s="633" t="s">
        <v>1980</v>
      </c>
      <c r="E329" s="632" t="s">
        <v>1632</v>
      </c>
      <c r="F329" s="633" t="s">
        <v>1988</v>
      </c>
      <c r="G329" s="632" t="s">
        <v>574</v>
      </c>
      <c r="H329" s="632" t="s">
        <v>1668</v>
      </c>
      <c r="I329" s="632" t="s">
        <v>1669</v>
      </c>
      <c r="J329" s="632" t="s">
        <v>1670</v>
      </c>
      <c r="K329" s="632" t="s">
        <v>1671</v>
      </c>
      <c r="L329" s="634">
        <v>2899.2115413748807</v>
      </c>
      <c r="M329" s="634">
        <v>57</v>
      </c>
      <c r="N329" s="635">
        <v>165255.05785836821</v>
      </c>
    </row>
    <row r="330" spans="1:14" ht="14.4" customHeight="1" x14ac:dyDescent="0.3">
      <c r="A330" s="630" t="s">
        <v>545</v>
      </c>
      <c r="B330" s="631" t="s">
        <v>1978</v>
      </c>
      <c r="C330" s="632" t="s">
        <v>555</v>
      </c>
      <c r="D330" s="633" t="s">
        <v>1980</v>
      </c>
      <c r="E330" s="632" t="s">
        <v>1632</v>
      </c>
      <c r="F330" s="633" t="s">
        <v>1988</v>
      </c>
      <c r="G330" s="632" t="s">
        <v>574</v>
      </c>
      <c r="H330" s="632" t="s">
        <v>1672</v>
      </c>
      <c r="I330" s="632" t="s">
        <v>1673</v>
      </c>
      <c r="J330" s="632" t="s">
        <v>1674</v>
      </c>
      <c r="K330" s="632" t="s">
        <v>1675</v>
      </c>
      <c r="L330" s="634">
        <v>58.751669457006955</v>
      </c>
      <c r="M330" s="634">
        <v>133</v>
      </c>
      <c r="N330" s="635">
        <v>7813.9720377819249</v>
      </c>
    </row>
    <row r="331" spans="1:14" ht="14.4" customHeight="1" x14ac:dyDescent="0.3">
      <c r="A331" s="630" t="s">
        <v>545</v>
      </c>
      <c r="B331" s="631" t="s">
        <v>1978</v>
      </c>
      <c r="C331" s="632" t="s">
        <v>555</v>
      </c>
      <c r="D331" s="633" t="s">
        <v>1980</v>
      </c>
      <c r="E331" s="632" t="s">
        <v>1632</v>
      </c>
      <c r="F331" s="633" t="s">
        <v>1988</v>
      </c>
      <c r="G331" s="632" t="s">
        <v>574</v>
      </c>
      <c r="H331" s="632" t="s">
        <v>1676</v>
      </c>
      <c r="I331" s="632" t="s">
        <v>1677</v>
      </c>
      <c r="J331" s="632" t="s">
        <v>1678</v>
      </c>
      <c r="K331" s="632" t="s">
        <v>1679</v>
      </c>
      <c r="L331" s="634">
        <v>103.57770905994188</v>
      </c>
      <c r="M331" s="634">
        <v>108</v>
      </c>
      <c r="N331" s="635">
        <v>11186.392578473724</v>
      </c>
    </row>
    <row r="332" spans="1:14" ht="14.4" customHeight="1" x14ac:dyDescent="0.3">
      <c r="A332" s="630" t="s">
        <v>545</v>
      </c>
      <c r="B332" s="631" t="s">
        <v>1978</v>
      </c>
      <c r="C332" s="632" t="s">
        <v>555</v>
      </c>
      <c r="D332" s="633" t="s">
        <v>1980</v>
      </c>
      <c r="E332" s="632" t="s">
        <v>1632</v>
      </c>
      <c r="F332" s="633" t="s">
        <v>1988</v>
      </c>
      <c r="G332" s="632" t="s">
        <v>574</v>
      </c>
      <c r="H332" s="632" t="s">
        <v>1680</v>
      </c>
      <c r="I332" s="632" t="s">
        <v>1681</v>
      </c>
      <c r="J332" s="632" t="s">
        <v>1682</v>
      </c>
      <c r="K332" s="632" t="s">
        <v>1683</v>
      </c>
      <c r="L332" s="634">
        <v>678.11999999999989</v>
      </c>
      <c r="M332" s="634">
        <v>2</v>
      </c>
      <c r="N332" s="635">
        <v>1356.2399999999998</v>
      </c>
    </row>
    <row r="333" spans="1:14" ht="14.4" customHeight="1" x14ac:dyDescent="0.3">
      <c r="A333" s="630" t="s">
        <v>545</v>
      </c>
      <c r="B333" s="631" t="s">
        <v>1978</v>
      </c>
      <c r="C333" s="632" t="s">
        <v>555</v>
      </c>
      <c r="D333" s="633" t="s">
        <v>1980</v>
      </c>
      <c r="E333" s="632" t="s">
        <v>1632</v>
      </c>
      <c r="F333" s="633" t="s">
        <v>1988</v>
      </c>
      <c r="G333" s="632" t="s">
        <v>574</v>
      </c>
      <c r="H333" s="632" t="s">
        <v>1684</v>
      </c>
      <c r="I333" s="632" t="s">
        <v>1685</v>
      </c>
      <c r="J333" s="632" t="s">
        <v>1686</v>
      </c>
      <c r="K333" s="632" t="s">
        <v>1687</v>
      </c>
      <c r="L333" s="634">
        <v>605.26809213060812</v>
      </c>
      <c r="M333" s="634">
        <v>9.3499999999999979</v>
      </c>
      <c r="N333" s="635">
        <v>5659.2566614211846</v>
      </c>
    </row>
    <row r="334" spans="1:14" ht="14.4" customHeight="1" x14ac:dyDescent="0.3">
      <c r="A334" s="630" t="s">
        <v>545</v>
      </c>
      <c r="B334" s="631" t="s">
        <v>1978</v>
      </c>
      <c r="C334" s="632" t="s">
        <v>555</v>
      </c>
      <c r="D334" s="633" t="s">
        <v>1980</v>
      </c>
      <c r="E334" s="632" t="s">
        <v>1632</v>
      </c>
      <c r="F334" s="633" t="s">
        <v>1988</v>
      </c>
      <c r="G334" s="632" t="s">
        <v>574</v>
      </c>
      <c r="H334" s="632" t="s">
        <v>1688</v>
      </c>
      <c r="I334" s="632" t="s">
        <v>1689</v>
      </c>
      <c r="J334" s="632" t="s">
        <v>1690</v>
      </c>
      <c r="K334" s="632" t="s">
        <v>1691</v>
      </c>
      <c r="L334" s="634">
        <v>517.49999551344945</v>
      </c>
      <c r="M334" s="634">
        <v>19.400000000000002</v>
      </c>
      <c r="N334" s="635">
        <v>10039.49991296092</v>
      </c>
    </row>
    <row r="335" spans="1:14" ht="14.4" customHeight="1" x14ac:dyDescent="0.3">
      <c r="A335" s="630" t="s">
        <v>545</v>
      </c>
      <c r="B335" s="631" t="s">
        <v>1978</v>
      </c>
      <c r="C335" s="632" t="s">
        <v>555</v>
      </c>
      <c r="D335" s="633" t="s">
        <v>1980</v>
      </c>
      <c r="E335" s="632" t="s">
        <v>1632</v>
      </c>
      <c r="F335" s="633" t="s">
        <v>1988</v>
      </c>
      <c r="G335" s="632" t="s">
        <v>574</v>
      </c>
      <c r="H335" s="632" t="s">
        <v>1692</v>
      </c>
      <c r="I335" s="632" t="s">
        <v>1692</v>
      </c>
      <c r="J335" s="632" t="s">
        <v>1693</v>
      </c>
      <c r="K335" s="632" t="s">
        <v>1694</v>
      </c>
      <c r="L335" s="634">
        <v>814.63006630245184</v>
      </c>
      <c r="M335" s="634">
        <v>7</v>
      </c>
      <c r="N335" s="635">
        <v>5702.4104641171625</v>
      </c>
    </row>
    <row r="336" spans="1:14" ht="14.4" customHeight="1" x14ac:dyDescent="0.3">
      <c r="A336" s="630" t="s">
        <v>545</v>
      </c>
      <c r="B336" s="631" t="s">
        <v>1978</v>
      </c>
      <c r="C336" s="632" t="s">
        <v>555</v>
      </c>
      <c r="D336" s="633" t="s">
        <v>1980</v>
      </c>
      <c r="E336" s="632" t="s">
        <v>1632</v>
      </c>
      <c r="F336" s="633" t="s">
        <v>1988</v>
      </c>
      <c r="G336" s="632" t="s">
        <v>574</v>
      </c>
      <c r="H336" s="632" t="s">
        <v>1695</v>
      </c>
      <c r="I336" s="632" t="s">
        <v>238</v>
      </c>
      <c r="J336" s="632" t="s">
        <v>1696</v>
      </c>
      <c r="K336" s="632" t="s">
        <v>1697</v>
      </c>
      <c r="L336" s="634">
        <v>1440.952853610205</v>
      </c>
      <c r="M336" s="634">
        <v>0.6</v>
      </c>
      <c r="N336" s="635">
        <v>864.57171216612301</v>
      </c>
    </row>
    <row r="337" spans="1:14" ht="14.4" customHeight="1" x14ac:dyDescent="0.3">
      <c r="A337" s="630" t="s">
        <v>545</v>
      </c>
      <c r="B337" s="631" t="s">
        <v>1978</v>
      </c>
      <c r="C337" s="632" t="s">
        <v>555</v>
      </c>
      <c r="D337" s="633" t="s">
        <v>1980</v>
      </c>
      <c r="E337" s="632" t="s">
        <v>1632</v>
      </c>
      <c r="F337" s="633" t="s">
        <v>1988</v>
      </c>
      <c r="G337" s="632" t="s">
        <v>574</v>
      </c>
      <c r="H337" s="632" t="s">
        <v>1698</v>
      </c>
      <c r="I337" s="632" t="s">
        <v>1699</v>
      </c>
      <c r="J337" s="632" t="s">
        <v>1700</v>
      </c>
      <c r="K337" s="632" t="s">
        <v>1701</v>
      </c>
      <c r="L337" s="634">
        <v>955.04</v>
      </c>
      <c r="M337" s="634">
        <v>1</v>
      </c>
      <c r="N337" s="635">
        <v>955.04</v>
      </c>
    </row>
    <row r="338" spans="1:14" ht="14.4" customHeight="1" x14ac:dyDescent="0.3">
      <c r="A338" s="630" t="s">
        <v>545</v>
      </c>
      <c r="B338" s="631" t="s">
        <v>1978</v>
      </c>
      <c r="C338" s="632" t="s">
        <v>555</v>
      </c>
      <c r="D338" s="633" t="s">
        <v>1980</v>
      </c>
      <c r="E338" s="632" t="s">
        <v>1632</v>
      </c>
      <c r="F338" s="633" t="s">
        <v>1988</v>
      </c>
      <c r="G338" s="632" t="s">
        <v>574</v>
      </c>
      <c r="H338" s="632" t="s">
        <v>1702</v>
      </c>
      <c r="I338" s="632" t="s">
        <v>1703</v>
      </c>
      <c r="J338" s="632" t="s">
        <v>1704</v>
      </c>
      <c r="K338" s="632"/>
      <c r="L338" s="634">
        <v>730.62</v>
      </c>
      <c r="M338" s="634">
        <v>6</v>
      </c>
      <c r="N338" s="635">
        <v>4383.72</v>
      </c>
    </row>
    <row r="339" spans="1:14" ht="14.4" customHeight="1" x14ac:dyDescent="0.3">
      <c r="A339" s="630" t="s">
        <v>545</v>
      </c>
      <c r="B339" s="631" t="s">
        <v>1978</v>
      </c>
      <c r="C339" s="632" t="s">
        <v>555</v>
      </c>
      <c r="D339" s="633" t="s">
        <v>1980</v>
      </c>
      <c r="E339" s="632" t="s">
        <v>1632</v>
      </c>
      <c r="F339" s="633" t="s">
        <v>1988</v>
      </c>
      <c r="G339" s="632" t="s">
        <v>574</v>
      </c>
      <c r="H339" s="632" t="s">
        <v>1705</v>
      </c>
      <c r="I339" s="632" t="s">
        <v>1705</v>
      </c>
      <c r="J339" s="632" t="s">
        <v>1706</v>
      </c>
      <c r="K339" s="632" t="s">
        <v>1707</v>
      </c>
      <c r="L339" s="634">
        <v>1079.0999999999999</v>
      </c>
      <c r="M339" s="634">
        <v>5</v>
      </c>
      <c r="N339" s="635">
        <v>5395.5</v>
      </c>
    </row>
    <row r="340" spans="1:14" ht="14.4" customHeight="1" x14ac:dyDescent="0.3">
      <c r="A340" s="630" t="s">
        <v>545</v>
      </c>
      <c r="B340" s="631" t="s">
        <v>1978</v>
      </c>
      <c r="C340" s="632" t="s">
        <v>555</v>
      </c>
      <c r="D340" s="633" t="s">
        <v>1980</v>
      </c>
      <c r="E340" s="632" t="s">
        <v>1632</v>
      </c>
      <c r="F340" s="633" t="s">
        <v>1988</v>
      </c>
      <c r="G340" s="632" t="s">
        <v>574</v>
      </c>
      <c r="H340" s="632" t="s">
        <v>1708</v>
      </c>
      <c r="I340" s="632" t="s">
        <v>1709</v>
      </c>
      <c r="J340" s="632" t="s">
        <v>1710</v>
      </c>
      <c r="K340" s="632" t="s">
        <v>1711</v>
      </c>
      <c r="L340" s="634">
        <v>82.830003400907188</v>
      </c>
      <c r="M340" s="634">
        <v>104</v>
      </c>
      <c r="N340" s="635">
        <v>8614.3203536943474</v>
      </c>
    </row>
    <row r="341" spans="1:14" ht="14.4" customHeight="1" x14ac:dyDescent="0.3">
      <c r="A341" s="630" t="s">
        <v>545</v>
      </c>
      <c r="B341" s="631" t="s">
        <v>1978</v>
      </c>
      <c r="C341" s="632" t="s">
        <v>555</v>
      </c>
      <c r="D341" s="633" t="s">
        <v>1980</v>
      </c>
      <c r="E341" s="632" t="s">
        <v>1632</v>
      </c>
      <c r="F341" s="633" t="s">
        <v>1988</v>
      </c>
      <c r="G341" s="632" t="s">
        <v>574</v>
      </c>
      <c r="H341" s="632" t="s">
        <v>1712</v>
      </c>
      <c r="I341" s="632" t="s">
        <v>1713</v>
      </c>
      <c r="J341" s="632" t="s">
        <v>1714</v>
      </c>
      <c r="K341" s="632" t="s">
        <v>899</v>
      </c>
      <c r="L341" s="634">
        <v>246.18437977499113</v>
      </c>
      <c r="M341" s="634">
        <v>22</v>
      </c>
      <c r="N341" s="635">
        <v>5416.0563550498046</v>
      </c>
    </row>
    <row r="342" spans="1:14" ht="14.4" customHeight="1" x14ac:dyDescent="0.3">
      <c r="A342" s="630" t="s">
        <v>545</v>
      </c>
      <c r="B342" s="631" t="s">
        <v>1978</v>
      </c>
      <c r="C342" s="632" t="s">
        <v>555</v>
      </c>
      <c r="D342" s="633" t="s">
        <v>1980</v>
      </c>
      <c r="E342" s="632" t="s">
        <v>1632</v>
      </c>
      <c r="F342" s="633" t="s">
        <v>1988</v>
      </c>
      <c r="G342" s="632" t="s">
        <v>574</v>
      </c>
      <c r="H342" s="632" t="s">
        <v>1715</v>
      </c>
      <c r="I342" s="632" t="s">
        <v>1715</v>
      </c>
      <c r="J342" s="632" t="s">
        <v>1716</v>
      </c>
      <c r="K342" s="632" t="s">
        <v>1717</v>
      </c>
      <c r="L342" s="634">
        <v>1851.4999999999995</v>
      </c>
      <c r="M342" s="634">
        <v>3.5999999999999996</v>
      </c>
      <c r="N342" s="635">
        <v>6665.3999999999978</v>
      </c>
    </row>
    <row r="343" spans="1:14" ht="14.4" customHeight="1" x14ac:dyDescent="0.3">
      <c r="A343" s="630" t="s">
        <v>545</v>
      </c>
      <c r="B343" s="631" t="s">
        <v>1978</v>
      </c>
      <c r="C343" s="632" t="s">
        <v>555</v>
      </c>
      <c r="D343" s="633" t="s">
        <v>1980</v>
      </c>
      <c r="E343" s="632" t="s">
        <v>1632</v>
      </c>
      <c r="F343" s="633" t="s">
        <v>1988</v>
      </c>
      <c r="G343" s="632" t="s">
        <v>574</v>
      </c>
      <c r="H343" s="632" t="s">
        <v>1718</v>
      </c>
      <c r="I343" s="632" t="s">
        <v>1718</v>
      </c>
      <c r="J343" s="632" t="s">
        <v>1719</v>
      </c>
      <c r="K343" s="632" t="s">
        <v>1720</v>
      </c>
      <c r="L343" s="634">
        <v>1907.61</v>
      </c>
      <c r="M343" s="634">
        <v>2</v>
      </c>
      <c r="N343" s="635">
        <v>3815.22</v>
      </c>
    </row>
    <row r="344" spans="1:14" ht="14.4" customHeight="1" x14ac:dyDescent="0.3">
      <c r="A344" s="630" t="s">
        <v>545</v>
      </c>
      <c r="B344" s="631" t="s">
        <v>1978</v>
      </c>
      <c r="C344" s="632" t="s">
        <v>555</v>
      </c>
      <c r="D344" s="633" t="s">
        <v>1980</v>
      </c>
      <c r="E344" s="632" t="s">
        <v>1632</v>
      </c>
      <c r="F344" s="633" t="s">
        <v>1988</v>
      </c>
      <c r="G344" s="632" t="s">
        <v>574</v>
      </c>
      <c r="H344" s="632" t="s">
        <v>1721</v>
      </c>
      <c r="I344" s="632" t="s">
        <v>238</v>
      </c>
      <c r="J344" s="632" t="s">
        <v>1722</v>
      </c>
      <c r="K344" s="632" t="s">
        <v>1697</v>
      </c>
      <c r="L344" s="634">
        <v>819.95</v>
      </c>
      <c r="M344" s="634">
        <v>1</v>
      </c>
      <c r="N344" s="635">
        <v>819.95</v>
      </c>
    </row>
    <row r="345" spans="1:14" ht="14.4" customHeight="1" x14ac:dyDescent="0.3">
      <c r="A345" s="630" t="s">
        <v>545</v>
      </c>
      <c r="B345" s="631" t="s">
        <v>1978</v>
      </c>
      <c r="C345" s="632" t="s">
        <v>555</v>
      </c>
      <c r="D345" s="633" t="s">
        <v>1980</v>
      </c>
      <c r="E345" s="632" t="s">
        <v>1632</v>
      </c>
      <c r="F345" s="633" t="s">
        <v>1988</v>
      </c>
      <c r="G345" s="632" t="s">
        <v>574</v>
      </c>
      <c r="H345" s="632" t="s">
        <v>1723</v>
      </c>
      <c r="I345" s="632" t="s">
        <v>1723</v>
      </c>
      <c r="J345" s="632" t="s">
        <v>1724</v>
      </c>
      <c r="K345" s="632" t="s">
        <v>1725</v>
      </c>
      <c r="L345" s="634">
        <v>920.00000000000023</v>
      </c>
      <c r="M345" s="634">
        <v>13.4</v>
      </c>
      <c r="N345" s="635">
        <v>12328.000000000004</v>
      </c>
    </row>
    <row r="346" spans="1:14" ht="14.4" customHeight="1" x14ac:dyDescent="0.3">
      <c r="A346" s="630" t="s">
        <v>545</v>
      </c>
      <c r="B346" s="631" t="s">
        <v>1978</v>
      </c>
      <c r="C346" s="632" t="s">
        <v>555</v>
      </c>
      <c r="D346" s="633" t="s">
        <v>1980</v>
      </c>
      <c r="E346" s="632" t="s">
        <v>1632</v>
      </c>
      <c r="F346" s="633" t="s">
        <v>1988</v>
      </c>
      <c r="G346" s="632" t="s">
        <v>574</v>
      </c>
      <c r="H346" s="632" t="s">
        <v>1726</v>
      </c>
      <c r="I346" s="632" t="s">
        <v>1726</v>
      </c>
      <c r="J346" s="632" t="s">
        <v>1635</v>
      </c>
      <c r="K346" s="632" t="s">
        <v>1304</v>
      </c>
      <c r="L346" s="634">
        <v>35.260003349799788</v>
      </c>
      <c r="M346" s="634">
        <v>34</v>
      </c>
      <c r="N346" s="635">
        <v>1198.8401138931929</v>
      </c>
    </row>
    <row r="347" spans="1:14" ht="14.4" customHeight="1" x14ac:dyDescent="0.3">
      <c r="A347" s="630" t="s">
        <v>545</v>
      </c>
      <c r="B347" s="631" t="s">
        <v>1978</v>
      </c>
      <c r="C347" s="632" t="s">
        <v>555</v>
      </c>
      <c r="D347" s="633" t="s">
        <v>1980</v>
      </c>
      <c r="E347" s="632" t="s">
        <v>1632</v>
      </c>
      <c r="F347" s="633" t="s">
        <v>1988</v>
      </c>
      <c r="G347" s="632" t="s">
        <v>574</v>
      </c>
      <c r="H347" s="632" t="s">
        <v>1727</v>
      </c>
      <c r="I347" s="632" t="s">
        <v>1728</v>
      </c>
      <c r="J347" s="632" t="s">
        <v>1729</v>
      </c>
      <c r="K347" s="632" t="s">
        <v>1730</v>
      </c>
      <c r="L347" s="634">
        <v>862.87000000000012</v>
      </c>
      <c r="M347" s="634">
        <v>10</v>
      </c>
      <c r="N347" s="635">
        <v>8628.7000000000007</v>
      </c>
    </row>
    <row r="348" spans="1:14" ht="14.4" customHeight="1" x14ac:dyDescent="0.3">
      <c r="A348" s="630" t="s">
        <v>545</v>
      </c>
      <c r="B348" s="631" t="s">
        <v>1978</v>
      </c>
      <c r="C348" s="632" t="s">
        <v>555</v>
      </c>
      <c r="D348" s="633" t="s">
        <v>1980</v>
      </c>
      <c r="E348" s="632" t="s">
        <v>1632</v>
      </c>
      <c r="F348" s="633" t="s">
        <v>1988</v>
      </c>
      <c r="G348" s="632" t="s">
        <v>1438</v>
      </c>
      <c r="H348" s="632" t="s">
        <v>1731</v>
      </c>
      <c r="I348" s="632" t="s">
        <v>1732</v>
      </c>
      <c r="J348" s="632" t="s">
        <v>1733</v>
      </c>
      <c r="K348" s="632" t="s">
        <v>1734</v>
      </c>
      <c r="L348" s="634">
        <v>88.547104917050916</v>
      </c>
      <c r="M348" s="634">
        <v>62</v>
      </c>
      <c r="N348" s="635">
        <v>5489.9205048571566</v>
      </c>
    </row>
    <row r="349" spans="1:14" ht="14.4" customHeight="1" x14ac:dyDescent="0.3">
      <c r="A349" s="630" t="s">
        <v>545</v>
      </c>
      <c r="B349" s="631" t="s">
        <v>1978</v>
      </c>
      <c r="C349" s="632" t="s">
        <v>555</v>
      </c>
      <c r="D349" s="633" t="s">
        <v>1980</v>
      </c>
      <c r="E349" s="632" t="s">
        <v>1632</v>
      </c>
      <c r="F349" s="633" t="s">
        <v>1988</v>
      </c>
      <c r="G349" s="632" t="s">
        <v>1438</v>
      </c>
      <c r="H349" s="632" t="s">
        <v>1735</v>
      </c>
      <c r="I349" s="632" t="s">
        <v>1736</v>
      </c>
      <c r="J349" s="632" t="s">
        <v>1737</v>
      </c>
      <c r="K349" s="632" t="s">
        <v>1738</v>
      </c>
      <c r="L349" s="634">
        <v>45.847327268283522</v>
      </c>
      <c r="M349" s="634">
        <v>348</v>
      </c>
      <c r="N349" s="635">
        <v>15954.869889362666</v>
      </c>
    </row>
    <row r="350" spans="1:14" ht="14.4" customHeight="1" x14ac:dyDescent="0.3">
      <c r="A350" s="630" t="s">
        <v>545</v>
      </c>
      <c r="B350" s="631" t="s">
        <v>1978</v>
      </c>
      <c r="C350" s="632" t="s">
        <v>555</v>
      </c>
      <c r="D350" s="633" t="s">
        <v>1980</v>
      </c>
      <c r="E350" s="632" t="s">
        <v>1632</v>
      </c>
      <c r="F350" s="633" t="s">
        <v>1988</v>
      </c>
      <c r="G350" s="632" t="s">
        <v>1438</v>
      </c>
      <c r="H350" s="632" t="s">
        <v>1739</v>
      </c>
      <c r="I350" s="632" t="s">
        <v>1740</v>
      </c>
      <c r="J350" s="632" t="s">
        <v>1741</v>
      </c>
      <c r="K350" s="632" t="s">
        <v>1742</v>
      </c>
      <c r="L350" s="634">
        <v>74.700198224303065</v>
      </c>
      <c r="M350" s="634">
        <v>10</v>
      </c>
      <c r="N350" s="635">
        <v>747.00198224303062</v>
      </c>
    </row>
    <row r="351" spans="1:14" ht="14.4" customHeight="1" x14ac:dyDescent="0.3">
      <c r="A351" s="630" t="s">
        <v>545</v>
      </c>
      <c r="B351" s="631" t="s">
        <v>1978</v>
      </c>
      <c r="C351" s="632" t="s">
        <v>555</v>
      </c>
      <c r="D351" s="633" t="s">
        <v>1980</v>
      </c>
      <c r="E351" s="632" t="s">
        <v>1632</v>
      </c>
      <c r="F351" s="633" t="s">
        <v>1988</v>
      </c>
      <c r="G351" s="632" t="s">
        <v>1438</v>
      </c>
      <c r="H351" s="632" t="s">
        <v>1743</v>
      </c>
      <c r="I351" s="632" t="s">
        <v>1744</v>
      </c>
      <c r="J351" s="632" t="s">
        <v>1745</v>
      </c>
      <c r="K351" s="632" t="s">
        <v>1746</v>
      </c>
      <c r="L351" s="634">
        <v>261.76583333333338</v>
      </c>
      <c r="M351" s="634">
        <v>468</v>
      </c>
      <c r="N351" s="635">
        <v>122506.41000000002</v>
      </c>
    </row>
    <row r="352" spans="1:14" ht="14.4" customHeight="1" x14ac:dyDescent="0.3">
      <c r="A352" s="630" t="s">
        <v>545</v>
      </c>
      <c r="B352" s="631" t="s">
        <v>1978</v>
      </c>
      <c r="C352" s="632" t="s">
        <v>555</v>
      </c>
      <c r="D352" s="633" t="s">
        <v>1980</v>
      </c>
      <c r="E352" s="632" t="s">
        <v>1632</v>
      </c>
      <c r="F352" s="633" t="s">
        <v>1988</v>
      </c>
      <c r="G352" s="632" t="s">
        <v>1438</v>
      </c>
      <c r="H352" s="632" t="s">
        <v>1747</v>
      </c>
      <c r="I352" s="632" t="s">
        <v>1748</v>
      </c>
      <c r="J352" s="632" t="s">
        <v>1749</v>
      </c>
      <c r="K352" s="632" t="s">
        <v>1671</v>
      </c>
      <c r="L352" s="634">
        <v>207.00000000000003</v>
      </c>
      <c r="M352" s="634">
        <v>6.8</v>
      </c>
      <c r="N352" s="635">
        <v>1407.6000000000001</v>
      </c>
    </row>
    <row r="353" spans="1:14" ht="14.4" customHeight="1" x14ac:dyDescent="0.3">
      <c r="A353" s="630" t="s">
        <v>545</v>
      </c>
      <c r="B353" s="631" t="s">
        <v>1978</v>
      </c>
      <c r="C353" s="632" t="s">
        <v>555</v>
      </c>
      <c r="D353" s="633" t="s">
        <v>1980</v>
      </c>
      <c r="E353" s="632" t="s">
        <v>1632</v>
      </c>
      <c r="F353" s="633" t="s">
        <v>1988</v>
      </c>
      <c r="G353" s="632" t="s">
        <v>1438</v>
      </c>
      <c r="H353" s="632" t="s">
        <v>1750</v>
      </c>
      <c r="I353" s="632" t="s">
        <v>1751</v>
      </c>
      <c r="J353" s="632" t="s">
        <v>1752</v>
      </c>
      <c r="K353" s="632" t="s">
        <v>1753</v>
      </c>
      <c r="L353" s="634">
        <v>94.370472514351817</v>
      </c>
      <c r="M353" s="634">
        <v>114.4</v>
      </c>
      <c r="N353" s="635">
        <v>10795.982055641849</v>
      </c>
    </row>
    <row r="354" spans="1:14" ht="14.4" customHeight="1" x14ac:dyDescent="0.3">
      <c r="A354" s="630" t="s">
        <v>545</v>
      </c>
      <c r="B354" s="631" t="s">
        <v>1978</v>
      </c>
      <c r="C354" s="632" t="s">
        <v>555</v>
      </c>
      <c r="D354" s="633" t="s">
        <v>1980</v>
      </c>
      <c r="E354" s="632" t="s">
        <v>1632</v>
      </c>
      <c r="F354" s="633" t="s">
        <v>1988</v>
      </c>
      <c r="G354" s="632" t="s">
        <v>1438</v>
      </c>
      <c r="H354" s="632" t="s">
        <v>1754</v>
      </c>
      <c r="I354" s="632" t="s">
        <v>1755</v>
      </c>
      <c r="J354" s="632" t="s">
        <v>1756</v>
      </c>
      <c r="K354" s="632" t="s">
        <v>1757</v>
      </c>
      <c r="L354" s="634">
        <v>75.22016073028712</v>
      </c>
      <c r="M354" s="634">
        <v>62</v>
      </c>
      <c r="N354" s="635">
        <v>4663.6499652778011</v>
      </c>
    </row>
    <row r="355" spans="1:14" ht="14.4" customHeight="1" x14ac:dyDescent="0.3">
      <c r="A355" s="630" t="s">
        <v>545</v>
      </c>
      <c r="B355" s="631" t="s">
        <v>1978</v>
      </c>
      <c r="C355" s="632" t="s">
        <v>555</v>
      </c>
      <c r="D355" s="633" t="s">
        <v>1980</v>
      </c>
      <c r="E355" s="632" t="s">
        <v>1632</v>
      </c>
      <c r="F355" s="633" t="s">
        <v>1988</v>
      </c>
      <c r="G355" s="632" t="s">
        <v>1438</v>
      </c>
      <c r="H355" s="632" t="s">
        <v>1758</v>
      </c>
      <c r="I355" s="632" t="s">
        <v>1759</v>
      </c>
      <c r="J355" s="632" t="s">
        <v>1760</v>
      </c>
      <c r="K355" s="632" t="s">
        <v>1761</v>
      </c>
      <c r="L355" s="634">
        <v>154.05279999999999</v>
      </c>
      <c r="M355" s="634">
        <v>10</v>
      </c>
      <c r="N355" s="635">
        <v>1540.5279999999998</v>
      </c>
    </row>
    <row r="356" spans="1:14" ht="14.4" customHeight="1" x14ac:dyDescent="0.3">
      <c r="A356" s="630" t="s">
        <v>545</v>
      </c>
      <c r="B356" s="631" t="s">
        <v>1978</v>
      </c>
      <c r="C356" s="632" t="s">
        <v>555</v>
      </c>
      <c r="D356" s="633" t="s">
        <v>1980</v>
      </c>
      <c r="E356" s="632" t="s">
        <v>1632</v>
      </c>
      <c r="F356" s="633" t="s">
        <v>1988</v>
      </c>
      <c r="G356" s="632" t="s">
        <v>1438</v>
      </c>
      <c r="H356" s="632" t="s">
        <v>1762</v>
      </c>
      <c r="I356" s="632" t="s">
        <v>1763</v>
      </c>
      <c r="J356" s="632" t="s">
        <v>1764</v>
      </c>
      <c r="K356" s="632" t="s">
        <v>1742</v>
      </c>
      <c r="L356" s="634">
        <v>54.429966356313869</v>
      </c>
      <c r="M356" s="634">
        <v>102</v>
      </c>
      <c r="N356" s="635">
        <v>5551.8565683440147</v>
      </c>
    </row>
    <row r="357" spans="1:14" ht="14.4" customHeight="1" x14ac:dyDescent="0.3">
      <c r="A357" s="630" t="s">
        <v>545</v>
      </c>
      <c r="B357" s="631" t="s">
        <v>1978</v>
      </c>
      <c r="C357" s="632" t="s">
        <v>555</v>
      </c>
      <c r="D357" s="633" t="s">
        <v>1980</v>
      </c>
      <c r="E357" s="632" t="s">
        <v>1632</v>
      </c>
      <c r="F357" s="633" t="s">
        <v>1988</v>
      </c>
      <c r="G357" s="632" t="s">
        <v>1438</v>
      </c>
      <c r="H357" s="632" t="s">
        <v>1765</v>
      </c>
      <c r="I357" s="632" t="s">
        <v>1766</v>
      </c>
      <c r="J357" s="632" t="s">
        <v>1767</v>
      </c>
      <c r="K357" s="632" t="s">
        <v>1768</v>
      </c>
      <c r="L357" s="634">
        <v>59.789869387606494</v>
      </c>
      <c r="M357" s="634">
        <v>10</v>
      </c>
      <c r="N357" s="635">
        <v>597.89869387606495</v>
      </c>
    </row>
    <row r="358" spans="1:14" ht="14.4" customHeight="1" x14ac:dyDescent="0.3">
      <c r="A358" s="630" t="s">
        <v>545</v>
      </c>
      <c r="B358" s="631" t="s">
        <v>1978</v>
      </c>
      <c r="C358" s="632" t="s">
        <v>555</v>
      </c>
      <c r="D358" s="633" t="s">
        <v>1980</v>
      </c>
      <c r="E358" s="632" t="s">
        <v>1632</v>
      </c>
      <c r="F358" s="633" t="s">
        <v>1988</v>
      </c>
      <c r="G358" s="632" t="s">
        <v>1438</v>
      </c>
      <c r="H358" s="632" t="s">
        <v>1769</v>
      </c>
      <c r="I358" s="632" t="s">
        <v>1770</v>
      </c>
      <c r="J358" s="632" t="s">
        <v>1771</v>
      </c>
      <c r="K358" s="632" t="s">
        <v>1772</v>
      </c>
      <c r="L358" s="634">
        <v>12572.465454545454</v>
      </c>
      <c r="M358" s="634">
        <v>11</v>
      </c>
      <c r="N358" s="635">
        <v>138297.12</v>
      </c>
    </row>
    <row r="359" spans="1:14" ht="14.4" customHeight="1" x14ac:dyDescent="0.3">
      <c r="A359" s="630" t="s">
        <v>545</v>
      </c>
      <c r="B359" s="631" t="s">
        <v>1978</v>
      </c>
      <c r="C359" s="632" t="s">
        <v>555</v>
      </c>
      <c r="D359" s="633" t="s">
        <v>1980</v>
      </c>
      <c r="E359" s="632" t="s">
        <v>1632</v>
      </c>
      <c r="F359" s="633" t="s">
        <v>1988</v>
      </c>
      <c r="G359" s="632" t="s">
        <v>1438</v>
      </c>
      <c r="H359" s="632" t="s">
        <v>1773</v>
      </c>
      <c r="I359" s="632" t="s">
        <v>1773</v>
      </c>
      <c r="J359" s="632" t="s">
        <v>1774</v>
      </c>
      <c r="K359" s="632" t="s">
        <v>1775</v>
      </c>
      <c r="L359" s="634">
        <v>1809.0703946083447</v>
      </c>
      <c r="M359" s="634">
        <v>30</v>
      </c>
      <c r="N359" s="635">
        <v>54272.111838250341</v>
      </c>
    </row>
    <row r="360" spans="1:14" ht="14.4" customHeight="1" x14ac:dyDescent="0.3">
      <c r="A360" s="630" t="s">
        <v>545</v>
      </c>
      <c r="B360" s="631" t="s">
        <v>1978</v>
      </c>
      <c r="C360" s="632" t="s">
        <v>555</v>
      </c>
      <c r="D360" s="633" t="s">
        <v>1980</v>
      </c>
      <c r="E360" s="632" t="s">
        <v>1776</v>
      </c>
      <c r="F360" s="633" t="s">
        <v>1989</v>
      </c>
      <c r="G360" s="632" t="s">
        <v>574</v>
      </c>
      <c r="H360" s="632" t="s">
        <v>1777</v>
      </c>
      <c r="I360" s="632" t="s">
        <v>1778</v>
      </c>
      <c r="J360" s="632" t="s">
        <v>1779</v>
      </c>
      <c r="K360" s="632" t="s">
        <v>1780</v>
      </c>
      <c r="L360" s="634">
        <v>78.790000000000006</v>
      </c>
      <c r="M360" s="634">
        <v>4</v>
      </c>
      <c r="N360" s="635">
        <v>315.16000000000003</v>
      </c>
    </row>
    <row r="361" spans="1:14" ht="14.4" customHeight="1" x14ac:dyDescent="0.3">
      <c r="A361" s="630" t="s">
        <v>545</v>
      </c>
      <c r="B361" s="631" t="s">
        <v>1978</v>
      </c>
      <c r="C361" s="632" t="s">
        <v>555</v>
      </c>
      <c r="D361" s="633" t="s">
        <v>1980</v>
      </c>
      <c r="E361" s="632" t="s">
        <v>1776</v>
      </c>
      <c r="F361" s="633" t="s">
        <v>1989</v>
      </c>
      <c r="G361" s="632" t="s">
        <v>574</v>
      </c>
      <c r="H361" s="632" t="s">
        <v>1781</v>
      </c>
      <c r="I361" s="632" t="s">
        <v>1782</v>
      </c>
      <c r="J361" s="632" t="s">
        <v>1783</v>
      </c>
      <c r="K361" s="632" t="s">
        <v>1784</v>
      </c>
      <c r="L361" s="634">
        <v>80.510000000000005</v>
      </c>
      <c r="M361" s="634">
        <v>2</v>
      </c>
      <c r="N361" s="635">
        <v>161.02000000000001</v>
      </c>
    </row>
    <row r="362" spans="1:14" ht="14.4" customHeight="1" x14ac:dyDescent="0.3">
      <c r="A362" s="630" t="s">
        <v>545</v>
      </c>
      <c r="B362" s="631" t="s">
        <v>1978</v>
      </c>
      <c r="C362" s="632" t="s">
        <v>555</v>
      </c>
      <c r="D362" s="633" t="s">
        <v>1980</v>
      </c>
      <c r="E362" s="632" t="s">
        <v>1776</v>
      </c>
      <c r="F362" s="633" t="s">
        <v>1989</v>
      </c>
      <c r="G362" s="632" t="s">
        <v>574</v>
      </c>
      <c r="H362" s="632" t="s">
        <v>1785</v>
      </c>
      <c r="I362" s="632" t="s">
        <v>1786</v>
      </c>
      <c r="J362" s="632" t="s">
        <v>1787</v>
      </c>
      <c r="K362" s="632" t="s">
        <v>1788</v>
      </c>
      <c r="L362" s="634">
        <v>7691.7800000000016</v>
      </c>
      <c r="M362" s="634">
        <v>10</v>
      </c>
      <c r="N362" s="635">
        <v>76917.800000000017</v>
      </c>
    </row>
    <row r="363" spans="1:14" ht="14.4" customHeight="1" x14ac:dyDescent="0.3">
      <c r="A363" s="630" t="s">
        <v>545</v>
      </c>
      <c r="B363" s="631" t="s">
        <v>1978</v>
      </c>
      <c r="C363" s="632" t="s">
        <v>555</v>
      </c>
      <c r="D363" s="633" t="s">
        <v>1980</v>
      </c>
      <c r="E363" s="632" t="s">
        <v>1776</v>
      </c>
      <c r="F363" s="633" t="s">
        <v>1989</v>
      </c>
      <c r="G363" s="632" t="s">
        <v>574</v>
      </c>
      <c r="H363" s="632" t="s">
        <v>1789</v>
      </c>
      <c r="I363" s="632" t="s">
        <v>1790</v>
      </c>
      <c r="J363" s="632" t="s">
        <v>1791</v>
      </c>
      <c r="K363" s="632" t="s">
        <v>1792</v>
      </c>
      <c r="L363" s="634">
        <v>7690</v>
      </c>
      <c r="M363" s="634">
        <v>23</v>
      </c>
      <c r="N363" s="635">
        <v>176870</v>
      </c>
    </row>
    <row r="364" spans="1:14" ht="14.4" customHeight="1" x14ac:dyDescent="0.3">
      <c r="A364" s="630" t="s">
        <v>545</v>
      </c>
      <c r="B364" s="631" t="s">
        <v>1978</v>
      </c>
      <c r="C364" s="632" t="s">
        <v>555</v>
      </c>
      <c r="D364" s="633" t="s">
        <v>1980</v>
      </c>
      <c r="E364" s="632" t="s">
        <v>1776</v>
      </c>
      <c r="F364" s="633" t="s">
        <v>1989</v>
      </c>
      <c r="G364" s="632" t="s">
        <v>574</v>
      </c>
      <c r="H364" s="632" t="s">
        <v>1793</v>
      </c>
      <c r="I364" s="632" t="s">
        <v>1793</v>
      </c>
      <c r="J364" s="632" t="s">
        <v>1794</v>
      </c>
      <c r="K364" s="632" t="s">
        <v>1795</v>
      </c>
      <c r="L364" s="634">
        <v>9614.7200000000012</v>
      </c>
      <c r="M364" s="634">
        <v>3</v>
      </c>
      <c r="N364" s="635">
        <v>28844.160000000003</v>
      </c>
    </row>
    <row r="365" spans="1:14" ht="14.4" customHeight="1" x14ac:dyDescent="0.3">
      <c r="A365" s="630" t="s">
        <v>545</v>
      </c>
      <c r="B365" s="631" t="s">
        <v>1978</v>
      </c>
      <c r="C365" s="632" t="s">
        <v>555</v>
      </c>
      <c r="D365" s="633" t="s">
        <v>1980</v>
      </c>
      <c r="E365" s="632" t="s">
        <v>1776</v>
      </c>
      <c r="F365" s="633" t="s">
        <v>1989</v>
      </c>
      <c r="G365" s="632" t="s">
        <v>1438</v>
      </c>
      <c r="H365" s="632" t="s">
        <v>1796</v>
      </c>
      <c r="I365" s="632" t="s">
        <v>1797</v>
      </c>
      <c r="J365" s="632" t="s">
        <v>1798</v>
      </c>
      <c r="K365" s="632"/>
      <c r="L365" s="634">
        <v>48.814114754991365</v>
      </c>
      <c r="M365" s="634">
        <v>733</v>
      </c>
      <c r="N365" s="635">
        <v>35780.74611540867</v>
      </c>
    </row>
    <row r="366" spans="1:14" ht="14.4" customHeight="1" x14ac:dyDescent="0.3">
      <c r="A366" s="630" t="s">
        <v>545</v>
      </c>
      <c r="B366" s="631" t="s">
        <v>1978</v>
      </c>
      <c r="C366" s="632" t="s">
        <v>555</v>
      </c>
      <c r="D366" s="633" t="s">
        <v>1980</v>
      </c>
      <c r="E366" s="632" t="s">
        <v>1776</v>
      </c>
      <c r="F366" s="633" t="s">
        <v>1989</v>
      </c>
      <c r="G366" s="632" t="s">
        <v>1438</v>
      </c>
      <c r="H366" s="632" t="s">
        <v>1799</v>
      </c>
      <c r="I366" s="632" t="s">
        <v>1800</v>
      </c>
      <c r="J366" s="632" t="s">
        <v>1801</v>
      </c>
      <c r="K366" s="632" t="s">
        <v>1802</v>
      </c>
      <c r="L366" s="634">
        <v>2976.7851596425417</v>
      </c>
      <c r="M366" s="634">
        <v>86</v>
      </c>
      <c r="N366" s="635">
        <v>256003.52372925857</v>
      </c>
    </row>
    <row r="367" spans="1:14" ht="14.4" customHeight="1" x14ac:dyDescent="0.3">
      <c r="A367" s="630" t="s">
        <v>545</v>
      </c>
      <c r="B367" s="631" t="s">
        <v>1978</v>
      </c>
      <c r="C367" s="632" t="s">
        <v>555</v>
      </c>
      <c r="D367" s="633" t="s">
        <v>1980</v>
      </c>
      <c r="E367" s="632" t="s">
        <v>1776</v>
      </c>
      <c r="F367" s="633" t="s">
        <v>1989</v>
      </c>
      <c r="G367" s="632" t="s">
        <v>1438</v>
      </c>
      <c r="H367" s="632" t="s">
        <v>1803</v>
      </c>
      <c r="I367" s="632" t="s">
        <v>1804</v>
      </c>
      <c r="J367" s="632" t="s">
        <v>1805</v>
      </c>
      <c r="K367" s="632" t="s">
        <v>1806</v>
      </c>
      <c r="L367" s="634">
        <v>7840.9111313267131</v>
      </c>
      <c r="M367" s="634">
        <v>27</v>
      </c>
      <c r="N367" s="635">
        <v>211704.60054582125</v>
      </c>
    </row>
    <row r="368" spans="1:14" ht="14.4" customHeight="1" x14ac:dyDescent="0.3">
      <c r="A368" s="630" t="s">
        <v>545</v>
      </c>
      <c r="B368" s="631" t="s">
        <v>1978</v>
      </c>
      <c r="C368" s="632" t="s">
        <v>555</v>
      </c>
      <c r="D368" s="633" t="s">
        <v>1980</v>
      </c>
      <c r="E368" s="632" t="s">
        <v>1807</v>
      </c>
      <c r="F368" s="633" t="s">
        <v>1990</v>
      </c>
      <c r="G368" s="632"/>
      <c r="H368" s="632"/>
      <c r="I368" s="632" t="s">
        <v>1808</v>
      </c>
      <c r="J368" s="632" t="s">
        <v>1809</v>
      </c>
      <c r="K368" s="632"/>
      <c r="L368" s="634">
        <v>2561.36</v>
      </c>
      <c r="M368" s="634">
        <v>6</v>
      </c>
      <c r="N368" s="635">
        <v>15368.16</v>
      </c>
    </row>
    <row r="369" spans="1:14" ht="14.4" customHeight="1" x14ac:dyDescent="0.3">
      <c r="A369" s="630" t="s">
        <v>545</v>
      </c>
      <c r="B369" s="631" t="s">
        <v>1978</v>
      </c>
      <c r="C369" s="632" t="s">
        <v>555</v>
      </c>
      <c r="D369" s="633" t="s">
        <v>1980</v>
      </c>
      <c r="E369" s="632" t="s">
        <v>1807</v>
      </c>
      <c r="F369" s="633" t="s">
        <v>1990</v>
      </c>
      <c r="G369" s="632"/>
      <c r="H369" s="632"/>
      <c r="I369" s="632" t="s">
        <v>1810</v>
      </c>
      <c r="J369" s="632" t="s">
        <v>1811</v>
      </c>
      <c r="K369" s="632"/>
      <c r="L369" s="634">
        <v>1407.5400000000006</v>
      </c>
      <c r="M369" s="634">
        <v>34</v>
      </c>
      <c r="N369" s="635">
        <v>47856.360000000022</v>
      </c>
    </row>
    <row r="370" spans="1:14" ht="14.4" customHeight="1" x14ac:dyDescent="0.3">
      <c r="A370" s="630" t="s">
        <v>545</v>
      </c>
      <c r="B370" s="631" t="s">
        <v>1978</v>
      </c>
      <c r="C370" s="632" t="s">
        <v>555</v>
      </c>
      <c r="D370" s="633" t="s">
        <v>1980</v>
      </c>
      <c r="E370" s="632" t="s">
        <v>1807</v>
      </c>
      <c r="F370" s="633" t="s">
        <v>1990</v>
      </c>
      <c r="G370" s="632"/>
      <c r="H370" s="632"/>
      <c r="I370" s="632" t="s">
        <v>1812</v>
      </c>
      <c r="J370" s="632" t="s">
        <v>1813</v>
      </c>
      <c r="K370" s="632"/>
      <c r="L370" s="634">
        <v>10465</v>
      </c>
      <c r="M370" s="634">
        <v>1</v>
      </c>
      <c r="N370" s="635">
        <v>10465</v>
      </c>
    </row>
    <row r="371" spans="1:14" ht="14.4" customHeight="1" x14ac:dyDescent="0.3">
      <c r="A371" s="630" t="s">
        <v>545</v>
      </c>
      <c r="B371" s="631" t="s">
        <v>1978</v>
      </c>
      <c r="C371" s="632" t="s">
        <v>555</v>
      </c>
      <c r="D371" s="633" t="s">
        <v>1980</v>
      </c>
      <c r="E371" s="632" t="s">
        <v>1807</v>
      </c>
      <c r="F371" s="633" t="s">
        <v>1990</v>
      </c>
      <c r="G371" s="632"/>
      <c r="H371" s="632"/>
      <c r="I371" s="632" t="s">
        <v>1814</v>
      </c>
      <c r="J371" s="632" t="s">
        <v>1815</v>
      </c>
      <c r="K371" s="632"/>
      <c r="L371" s="634">
        <v>2187.3000000000002</v>
      </c>
      <c r="M371" s="634">
        <v>10</v>
      </c>
      <c r="N371" s="635">
        <v>21873</v>
      </c>
    </row>
    <row r="372" spans="1:14" ht="14.4" customHeight="1" x14ac:dyDescent="0.3">
      <c r="A372" s="630" t="s">
        <v>545</v>
      </c>
      <c r="B372" s="631" t="s">
        <v>1978</v>
      </c>
      <c r="C372" s="632" t="s">
        <v>555</v>
      </c>
      <c r="D372" s="633" t="s">
        <v>1980</v>
      </c>
      <c r="E372" s="632" t="s">
        <v>1807</v>
      </c>
      <c r="F372" s="633" t="s">
        <v>1990</v>
      </c>
      <c r="G372" s="632"/>
      <c r="H372" s="632"/>
      <c r="I372" s="632" t="s">
        <v>1816</v>
      </c>
      <c r="J372" s="632" t="s">
        <v>1817</v>
      </c>
      <c r="K372" s="632"/>
      <c r="L372" s="634">
        <v>8608.8999999999978</v>
      </c>
      <c r="M372" s="634">
        <v>28</v>
      </c>
      <c r="N372" s="635">
        <v>241049.19999999992</v>
      </c>
    </row>
    <row r="373" spans="1:14" ht="14.4" customHeight="1" x14ac:dyDescent="0.3">
      <c r="A373" s="630" t="s">
        <v>545</v>
      </c>
      <c r="B373" s="631" t="s">
        <v>1978</v>
      </c>
      <c r="C373" s="632" t="s">
        <v>555</v>
      </c>
      <c r="D373" s="633" t="s">
        <v>1980</v>
      </c>
      <c r="E373" s="632" t="s">
        <v>1807</v>
      </c>
      <c r="F373" s="633" t="s">
        <v>1990</v>
      </c>
      <c r="G373" s="632"/>
      <c r="H373" s="632"/>
      <c r="I373" s="632" t="s">
        <v>1818</v>
      </c>
      <c r="J373" s="632" t="s">
        <v>1819</v>
      </c>
      <c r="K373" s="632"/>
      <c r="L373" s="634">
        <v>684</v>
      </c>
      <c r="M373" s="634">
        <v>2</v>
      </c>
      <c r="N373" s="635">
        <v>1368</v>
      </c>
    </row>
    <row r="374" spans="1:14" ht="14.4" customHeight="1" x14ac:dyDescent="0.3">
      <c r="A374" s="630" t="s">
        <v>545</v>
      </c>
      <c r="B374" s="631" t="s">
        <v>1978</v>
      </c>
      <c r="C374" s="632" t="s">
        <v>555</v>
      </c>
      <c r="D374" s="633" t="s">
        <v>1980</v>
      </c>
      <c r="E374" s="632" t="s">
        <v>1807</v>
      </c>
      <c r="F374" s="633" t="s">
        <v>1990</v>
      </c>
      <c r="G374" s="632"/>
      <c r="H374" s="632"/>
      <c r="I374" s="632" t="s">
        <v>1820</v>
      </c>
      <c r="J374" s="632" t="s">
        <v>1821</v>
      </c>
      <c r="K374" s="632" t="s">
        <v>1822</v>
      </c>
      <c r="L374" s="634">
        <v>3565</v>
      </c>
      <c r="M374" s="634">
        <v>1</v>
      </c>
      <c r="N374" s="635">
        <v>3565</v>
      </c>
    </row>
    <row r="375" spans="1:14" ht="14.4" customHeight="1" x14ac:dyDescent="0.3">
      <c r="A375" s="630" t="s">
        <v>545</v>
      </c>
      <c r="B375" s="631" t="s">
        <v>1978</v>
      </c>
      <c r="C375" s="632" t="s">
        <v>558</v>
      </c>
      <c r="D375" s="633" t="s">
        <v>1981</v>
      </c>
      <c r="E375" s="632" t="s">
        <v>573</v>
      </c>
      <c r="F375" s="633" t="s">
        <v>1985</v>
      </c>
      <c r="G375" s="632"/>
      <c r="H375" s="632" t="s">
        <v>1823</v>
      </c>
      <c r="I375" s="632" t="s">
        <v>1823</v>
      </c>
      <c r="J375" s="632" t="s">
        <v>1824</v>
      </c>
      <c r="K375" s="632" t="s">
        <v>1825</v>
      </c>
      <c r="L375" s="634">
        <v>900.00070203790301</v>
      </c>
      <c r="M375" s="634">
        <v>1</v>
      </c>
      <c r="N375" s="635">
        <v>900.00070203790301</v>
      </c>
    </row>
    <row r="376" spans="1:14" ht="14.4" customHeight="1" x14ac:dyDescent="0.3">
      <c r="A376" s="630" t="s">
        <v>545</v>
      </c>
      <c r="B376" s="631" t="s">
        <v>1978</v>
      </c>
      <c r="C376" s="632" t="s">
        <v>558</v>
      </c>
      <c r="D376" s="633" t="s">
        <v>1981</v>
      </c>
      <c r="E376" s="632" t="s">
        <v>573</v>
      </c>
      <c r="F376" s="633" t="s">
        <v>1985</v>
      </c>
      <c r="G376" s="632"/>
      <c r="H376" s="632" t="s">
        <v>1826</v>
      </c>
      <c r="I376" s="632" t="s">
        <v>1827</v>
      </c>
      <c r="J376" s="632" t="s">
        <v>1828</v>
      </c>
      <c r="K376" s="632" t="s">
        <v>1829</v>
      </c>
      <c r="L376" s="634">
        <v>227.87358681567446</v>
      </c>
      <c r="M376" s="634">
        <v>1</v>
      </c>
      <c r="N376" s="635">
        <v>227.87358681567446</v>
      </c>
    </row>
    <row r="377" spans="1:14" ht="14.4" customHeight="1" x14ac:dyDescent="0.3">
      <c r="A377" s="630" t="s">
        <v>545</v>
      </c>
      <c r="B377" s="631" t="s">
        <v>1978</v>
      </c>
      <c r="C377" s="632" t="s">
        <v>558</v>
      </c>
      <c r="D377" s="633" t="s">
        <v>1981</v>
      </c>
      <c r="E377" s="632" t="s">
        <v>573</v>
      </c>
      <c r="F377" s="633" t="s">
        <v>1985</v>
      </c>
      <c r="G377" s="632" t="s">
        <v>574</v>
      </c>
      <c r="H377" s="632" t="s">
        <v>624</v>
      </c>
      <c r="I377" s="632" t="s">
        <v>624</v>
      </c>
      <c r="J377" s="632" t="s">
        <v>576</v>
      </c>
      <c r="K377" s="632" t="s">
        <v>625</v>
      </c>
      <c r="L377" s="634">
        <v>179.40000000000003</v>
      </c>
      <c r="M377" s="634">
        <v>7</v>
      </c>
      <c r="N377" s="635">
        <v>1255.8000000000002</v>
      </c>
    </row>
    <row r="378" spans="1:14" ht="14.4" customHeight="1" x14ac:dyDescent="0.3">
      <c r="A378" s="630" t="s">
        <v>545</v>
      </c>
      <c r="B378" s="631" t="s">
        <v>1978</v>
      </c>
      <c r="C378" s="632" t="s">
        <v>558</v>
      </c>
      <c r="D378" s="633" t="s">
        <v>1981</v>
      </c>
      <c r="E378" s="632" t="s">
        <v>573</v>
      </c>
      <c r="F378" s="633" t="s">
        <v>1985</v>
      </c>
      <c r="G378" s="632" t="s">
        <v>574</v>
      </c>
      <c r="H378" s="632" t="s">
        <v>575</v>
      </c>
      <c r="I378" s="632" t="s">
        <v>575</v>
      </c>
      <c r="J378" s="632" t="s">
        <v>576</v>
      </c>
      <c r="K378" s="632" t="s">
        <v>577</v>
      </c>
      <c r="L378" s="634">
        <v>97.18</v>
      </c>
      <c r="M378" s="634">
        <v>4</v>
      </c>
      <c r="N378" s="635">
        <v>388.72</v>
      </c>
    </row>
    <row r="379" spans="1:14" ht="14.4" customHeight="1" x14ac:dyDescent="0.3">
      <c r="A379" s="630" t="s">
        <v>545</v>
      </c>
      <c r="B379" s="631" t="s">
        <v>1978</v>
      </c>
      <c r="C379" s="632" t="s">
        <v>558</v>
      </c>
      <c r="D379" s="633" t="s">
        <v>1981</v>
      </c>
      <c r="E379" s="632" t="s">
        <v>573</v>
      </c>
      <c r="F379" s="633" t="s">
        <v>1985</v>
      </c>
      <c r="G379" s="632" t="s">
        <v>574</v>
      </c>
      <c r="H379" s="632" t="s">
        <v>578</v>
      </c>
      <c r="I379" s="632" t="s">
        <v>578</v>
      </c>
      <c r="J379" s="632" t="s">
        <v>576</v>
      </c>
      <c r="K379" s="632" t="s">
        <v>579</v>
      </c>
      <c r="L379" s="634">
        <v>97.75</v>
      </c>
      <c r="M379" s="634">
        <v>3</v>
      </c>
      <c r="N379" s="635">
        <v>293.25</v>
      </c>
    </row>
    <row r="380" spans="1:14" ht="14.4" customHeight="1" x14ac:dyDescent="0.3">
      <c r="A380" s="630" t="s">
        <v>545</v>
      </c>
      <c r="B380" s="631" t="s">
        <v>1978</v>
      </c>
      <c r="C380" s="632" t="s">
        <v>558</v>
      </c>
      <c r="D380" s="633" t="s">
        <v>1981</v>
      </c>
      <c r="E380" s="632" t="s">
        <v>573</v>
      </c>
      <c r="F380" s="633" t="s">
        <v>1985</v>
      </c>
      <c r="G380" s="632" t="s">
        <v>574</v>
      </c>
      <c r="H380" s="632" t="s">
        <v>634</v>
      </c>
      <c r="I380" s="632" t="s">
        <v>635</v>
      </c>
      <c r="J380" s="632" t="s">
        <v>636</v>
      </c>
      <c r="K380" s="632" t="s">
        <v>637</v>
      </c>
      <c r="L380" s="634">
        <v>84.570003989560348</v>
      </c>
      <c r="M380" s="634">
        <v>37</v>
      </c>
      <c r="N380" s="635">
        <v>3129.0901476137328</v>
      </c>
    </row>
    <row r="381" spans="1:14" ht="14.4" customHeight="1" x14ac:dyDescent="0.3">
      <c r="A381" s="630" t="s">
        <v>545</v>
      </c>
      <c r="B381" s="631" t="s">
        <v>1978</v>
      </c>
      <c r="C381" s="632" t="s">
        <v>558</v>
      </c>
      <c r="D381" s="633" t="s">
        <v>1981</v>
      </c>
      <c r="E381" s="632" t="s">
        <v>573</v>
      </c>
      <c r="F381" s="633" t="s">
        <v>1985</v>
      </c>
      <c r="G381" s="632" t="s">
        <v>574</v>
      </c>
      <c r="H381" s="632" t="s">
        <v>580</v>
      </c>
      <c r="I381" s="632" t="s">
        <v>581</v>
      </c>
      <c r="J381" s="632" t="s">
        <v>582</v>
      </c>
      <c r="K381" s="632" t="s">
        <v>583</v>
      </c>
      <c r="L381" s="634">
        <v>98.490000000000009</v>
      </c>
      <c r="M381" s="634">
        <v>2</v>
      </c>
      <c r="N381" s="635">
        <v>196.98000000000002</v>
      </c>
    </row>
    <row r="382" spans="1:14" ht="14.4" customHeight="1" x14ac:dyDescent="0.3">
      <c r="A382" s="630" t="s">
        <v>545</v>
      </c>
      <c r="B382" s="631" t="s">
        <v>1978</v>
      </c>
      <c r="C382" s="632" t="s">
        <v>558</v>
      </c>
      <c r="D382" s="633" t="s">
        <v>1981</v>
      </c>
      <c r="E382" s="632" t="s">
        <v>573</v>
      </c>
      <c r="F382" s="633" t="s">
        <v>1985</v>
      </c>
      <c r="G382" s="632" t="s">
        <v>574</v>
      </c>
      <c r="H382" s="632" t="s">
        <v>641</v>
      </c>
      <c r="I382" s="632" t="s">
        <v>642</v>
      </c>
      <c r="J382" s="632" t="s">
        <v>643</v>
      </c>
      <c r="K382" s="632" t="s">
        <v>644</v>
      </c>
      <c r="L382" s="634">
        <v>170.21900436894504</v>
      </c>
      <c r="M382" s="634">
        <v>30</v>
      </c>
      <c r="N382" s="635">
        <v>5106.5701310683507</v>
      </c>
    </row>
    <row r="383" spans="1:14" ht="14.4" customHeight="1" x14ac:dyDescent="0.3">
      <c r="A383" s="630" t="s">
        <v>545</v>
      </c>
      <c r="B383" s="631" t="s">
        <v>1978</v>
      </c>
      <c r="C383" s="632" t="s">
        <v>558</v>
      </c>
      <c r="D383" s="633" t="s">
        <v>1981</v>
      </c>
      <c r="E383" s="632" t="s">
        <v>573</v>
      </c>
      <c r="F383" s="633" t="s">
        <v>1985</v>
      </c>
      <c r="G383" s="632" t="s">
        <v>574</v>
      </c>
      <c r="H383" s="632" t="s">
        <v>645</v>
      </c>
      <c r="I383" s="632" t="s">
        <v>646</v>
      </c>
      <c r="J383" s="632" t="s">
        <v>647</v>
      </c>
      <c r="K383" s="632" t="s">
        <v>648</v>
      </c>
      <c r="L383" s="634">
        <v>65.671892356103314</v>
      </c>
      <c r="M383" s="634">
        <v>28</v>
      </c>
      <c r="N383" s="635">
        <v>1838.8129859708929</v>
      </c>
    </row>
    <row r="384" spans="1:14" ht="14.4" customHeight="1" x14ac:dyDescent="0.3">
      <c r="A384" s="630" t="s">
        <v>545</v>
      </c>
      <c r="B384" s="631" t="s">
        <v>1978</v>
      </c>
      <c r="C384" s="632" t="s">
        <v>558</v>
      </c>
      <c r="D384" s="633" t="s">
        <v>1981</v>
      </c>
      <c r="E384" s="632" t="s">
        <v>573</v>
      </c>
      <c r="F384" s="633" t="s">
        <v>1985</v>
      </c>
      <c r="G384" s="632" t="s">
        <v>574</v>
      </c>
      <c r="H384" s="632" t="s">
        <v>1830</v>
      </c>
      <c r="I384" s="632" t="s">
        <v>1831</v>
      </c>
      <c r="J384" s="632" t="s">
        <v>1088</v>
      </c>
      <c r="K384" s="632" t="s">
        <v>1832</v>
      </c>
      <c r="L384" s="634">
        <v>84.547863969758879</v>
      </c>
      <c r="M384" s="634">
        <v>9</v>
      </c>
      <c r="N384" s="635">
        <v>760.93077572782988</v>
      </c>
    </row>
    <row r="385" spans="1:14" ht="14.4" customHeight="1" x14ac:dyDescent="0.3">
      <c r="A385" s="630" t="s">
        <v>545</v>
      </c>
      <c r="B385" s="631" t="s">
        <v>1978</v>
      </c>
      <c r="C385" s="632" t="s">
        <v>558</v>
      </c>
      <c r="D385" s="633" t="s">
        <v>1981</v>
      </c>
      <c r="E385" s="632" t="s">
        <v>573</v>
      </c>
      <c r="F385" s="633" t="s">
        <v>1985</v>
      </c>
      <c r="G385" s="632" t="s">
        <v>574</v>
      </c>
      <c r="H385" s="632" t="s">
        <v>664</v>
      </c>
      <c r="I385" s="632" t="s">
        <v>665</v>
      </c>
      <c r="J385" s="632" t="s">
        <v>666</v>
      </c>
      <c r="K385" s="632" t="s">
        <v>667</v>
      </c>
      <c r="L385" s="634">
        <v>28.21678617419262</v>
      </c>
      <c r="M385" s="634">
        <v>16</v>
      </c>
      <c r="N385" s="635">
        <v>451.46857878708192</v>
      </c>
    </row>
    <row r="386" spans="1:14" ht="14.4" customHeight="1" x14ac:dyDescent="0.3">
      <c r="A386" s="630" t="s">
        <v>545</v>
      </c>
      <c r="B386" s="631" t="s">
        <v>1978</v>
      </c>
      <c r="C386" s="632" t="s">
        <v>558</v>
      </c>
      <c r="D386" s="633" t="s">
        <v>1981</v>
      </c>
      <c r="E386" s="632" t="s">
        <v>573</v>
      </c>
      <c r="F386" s="633" t="s">
        <v>1985</v>
      </c>
      <c r="G386" s="632" t="s">
        <v>574</v>
      </c>
      <c r="H386" s="632" t="s">
        <v>1833</v>
      </c>
      <c r="I386" s="632" t="s">
        <v>1834</v>
      </c>
      <c r="J386" s="632" t="s">
        <v>1835</v>
      </c>
      <c r="K386" s="632" t="s">
        <v>1836</v>
      </c>
      <c r="L386" s="634">
        <v>121.32999999999998</v>
      </c>
      <c r="M386" s="634">
        <v>2</v>
      </c>
      <c r="N386" s="635">
        <v>242.65999999999997</v>
      </c>
    </row>
    <row r="387" spans="1:14" ht="14.4" customHeight="1" x14ac:dyDescent="0.3">
      <c r="A387" s="630" t="s">
        <v>545</v>
      </c>
      <c r="B387" s="631" t="s">
        <v>1978</v>
      </c>
      <c r="C387" s="632" t="s">
        <v>558</v>
      </c>
      <c r="D387" s="633" t="s">
        <v>1981</v>
      </c>
      <c r="E387" s="632" t="s">
        <v>573</v>
      </c>
      <c r="F387" s="633" t="s">
        <v>1985</v>
      </c>
      <c r="G387" s="632" t="s">
        <v>574</v>
      </c>
      <c r="H387" s="632" t="s">
        <v>687</v>
      </c>
      <c r="I387" s="632" t="s">
        <v>688</v>
      </c>
      <c r="J387" s="632" t="s">
        <v>689</v>
      </c>
      <c r="K387" s="632" t="s">
        <v>690</v>
      </c>
      <c r="L387" s="634">
        <v>60.350190889241141</v>
      </c>
      <c r="M387" s="634">
        <v>24</v>
      </c>
      <c r="N387" s="635">
        <v>1448.4045813417874</v>
      </c>
    </row>
    <row r="388" spans="1:14" ht="14.4" customHeight="1" x14ac:dyDescent="0.3">
      <c r="A388" s="630" t="s">
        <v>545</v>
      </c>
      <c r="B388" s="631" t="s">
        <v>1978</v>
      </c>
      <c r="C388" s="632" t="s">
        <v>558</v>
      </c>
      <c r="D388" s="633" t="s">
        <v>1981</v>
      </c>
      <c r="E388" s="632" t="s">
        <v>573</v>
      </c>
      <c r="F388" s="633" t="s">
        <v>1985</v>
      </c>
      <c r="G388" s="632" t="s">
        <v>574</v>
      </c>
      <c r="H388" s="632" t="s">
        <v>699</v>
      </c>
      <c r="I388" s="632" t="s">
        <v>700</v>
      </c>
      <c r="J388" s="632" t="s">
        <v>701</v>
      </c>
      <c r="K388" s="632" t="s">
        <v>702</v>
      </c>
      <c r="L388" s="634">
        <v>258.94748773290314</v>
      </c>
      <c r="M388" s="634">
        <v>246</v>
      </c>
      <c r="N388" s="635">
        <v>63701.08198229417</v>
      </c>
    </row>
    <row r="389" spans="1:14" ht="14.4" customHeight="1" x14ac:dyDescent="0.3">
      <c r="A389" s="630" t="s">
        <v>545</v>
      </c>
      <c r="B389" s="631" t="s">
        <v>1978</v>
      </c>
      <c r="C389" s="632" t="s">
        <v>558</v>
      </c>
      <c r="D389" s="633" t="s">
        <v>1981</v>
      </c>
      <c r="E389" s="632" t="s">
        <v>573</v>
      </c>
      <c r="F389" s="633" t="s">
        <v>1985</v>
      </c>
      <c r="G389" s="632" t="s">
        <v>574</v>
      </c>
      <c r="H389" s="632" t="s">
        <v>719</v>
      </c>
      <c r="I389" s="632" t="s">
        <v>719</v>
      </c>
      <c r="J389" s="632" t="s">
        <v>720</v>
      </c>
      <c r="K389" s="632" t="s">
        <v>721</v>
      </c>
      <c r="L389" s="634">
        <v>38.196081774252171</v>
      </c>
      <c r="M389" s="634">
        <v>118</v>
      </c>
      <c r="N389" s="635">
        <v>4507.1376493617563</v>
      </c>
    </row>
    <row r="390" spans="1:14" ht="14.4" customHeight="1" x14ac:dyDescent="0.3">
      <c r="A390" s="630" t="s">
        <v>545</v>
      </c>
      <c r="B390" s="631" t="s">
        <v>1978</v>
      </c>
      <c r="C390" s="632" t="s">
        <v>558</v>
      </c>
      <c r="D390" s="633" t="s">
        <v>1981</v>
      </c>
      <c r="E390" s="632" t="s">
        <v>573</v>
      </c>
      <c r="F390" s="633" t="s">
        <v>1985</v>
      </c>
      <c r="G390" s="632" t="s">
        <v>574</v>
      </c>
      <c r="H390" s="632" t="s">
        <v>733</v>
      </c>
      <c r="I390" s="632" t="s">
        <v>734</v>
      </c>
      <c r="J390" s="632" t="s">
        <v>735</v>
      </c>
      <c r="K390" s="632" t="s">
        <v>736</v>
      </c>
      <c r="L390" s="634">
        <v>331.02942857142898</v>
      </c>
      <c r="M390" s="634">
        <v>2</v>
      </c>
      <c r="N390" s="635">
        <v>662.05885714285796</v>
      </c>
    </row>
    <row r="391" spans="1:14" ht="14.4" customHeight="1" x14ac:dyDescent="0.3">
      <c r="A391" s="630" t="s">
        <v>545</v>
      </c>
      <c r="B391" s="631" t="s">
        <v>1978</v>
      </c>
      <c r="C391" s="632" t="s">
        <v>558</v>
      </c>
      <c r="D391" s="633" t="s">
        <v>1981</v>
      </c>
      <c r="E391" s="632" t="s">
        <v>573</v>
      </c>
      <c r="F391" s="633" t="s">
        <v>1985</v>
      </c>
      <c r="G391" s="632" t="s">
        <v>574</v>
      </c>
      <c r="H391" s="632" t="s">
        <v>772</v>
      </c>
      <c r="I391" s="632" t="s">
        <v>773</v>
      </c>
      <c r="J391" s="632" t="s">
        <v>774</v>
      </c>
      <c r="K391" s="632" t="s">
        <v>775</v>
      </c>
      <c r="L391" s="634">
        <v>376.29946165710788</v>
      </c>
      <c r="M391" s="634">
        <v>8</v>
      </c>
      <c r="N391" s="635">
        <v>3010.3956932568631</v>
      </c>
    </row>
    <row r="392" spans="1:14" ht="14.4" customHeight="1" x14ac:dyDescent="0.3">
      <c r="A392" s="630" t="s">
        <v>545</v>
      </c>
      <c r="B392" s="631" t="s">
        <v>1978</v>
      </c>
      <c r="C392" s="632" t="s">
        <v>558</v>
      </c>
      <c r="D392" s="633" t="s">
        <v>1981</v>
      </c>
      <c r="E392" s="632" t="s">
        <v>573</v>
      </c>
      <c r="F392" s="633" t="s">
        <v>1985</v>
      </c>
      <c r="G392" s="632" t="s">
        <v>574</v>
      </c>
      <c r="H392" s="632" t="s">
        <v>776</v>
      </c>
      <c r="I392" s="632" t="s">
        <v>777</v>
      </c>
      <c r="J392" s="632" t="s">
        <v>778</v>
      </c>
      <c r="K392" s="632" t="s">
        <v>779</v>
      </c>
      <c r="L392" s="634">
        <v>66.836002547184677</v>
      </c>
      <c r="M392" s="634">
        <v>26</v>
      </c>
      <c r="N392" s="635">
        <v>1737.7360662268015</v>
      </c>
    </row>
    <row r="393" spans="1:14" ht="14.4" customHeight="1" x14ac:dyDescent="0.3">
      <c r="A393" s="630" t="s">
        <v>545</v>
      </c>
      <c r="B393" s="631" t="s">
        <v>1978</v>
      </c>
      <c r="C393" s="632" t="s">
        <v>558</v>
      </c>
      <c r="D393" s="633" t="s">
        <v>1981</v>
      </c>
      <c r="E393" s="632" t="s">
        <v>573</v>
      </c>
      <c r="F393" s="633" t="s">
        <v>1985</v>
      </c>
      <c r="G393" s="632" t="s">
        <v>574</v>
      </c>
      <c r="H393" s="632" t="s">
        <v>1837</v>
      </c>
      <c r="I393" s="632" t="s">
        <v>1838</v>
      </c>
      <c r="J393" s="632" t="s">
        <v>1839</v>
      </c>
      <c r="K393" s="632" t="s">
        <v>1233</v>
      </c>
      <c r="L393" s="634">
        <v>41.73524040377248</v>
      </c>
      <c r="M393" s="634">
        <v>76</v>
      </c>
      <c r="N393" s="635">
        <v>3171.8782706867082</v>
      </c>
    </row>
    <row r="394" spans="1:14" ht="14.4" customHeight="1" x14ac:dyDescent="0.3">
      <c r="A394" s="630" t="s">
        <v>545</v>
      </c>
      <c r="B394" s="631" t="s">
        <v>1978</v>
      </c>
      <c r="C394" s="632" t="s">
        <v>558</v>
      </c>
      <c r="D394" s="633" t="s">
        <v>1981</v>
      </c>
      <c r="E394" s="632" t="s">
        <v>573</v>
      </c>
      <c r="F394" s="633" t="s">
        <v>1985</v>
      </c>
      <c r="G394" s="632" t="s">
        <v>574</v>
      </c>
      <c r="H394" s="632" t="s">
        <v>806</v>
      </c>
      <c r="I394" s="632" t="s">
        <v>807</v>
      </c>
      <c r="J394" s="632" t="s">
        <v>804</v>
      </c>
      <c r="K394" s="632" t="s">
        <v>808</v>
      </c>
      <c r="L394" s="634">
        <v>292.47353323087782</v>
      </c>
      <c r="M394" s="634">
        <v>1</v>
      </c>
      <c r="N394" s="635">
        <v>292.47353323087782</v>
      </c>
    </row>
    <row r="395" spans="1:14" ht="14.4" customHeight="1" x14ac:dyDescent="0.3">
      <c r="A395" s="630" t="s">
        <v>545</v>
      </c>
      <c r="B395" s="631" t="s">
        <v>1978</v>
      </c>
      <c r="C395" s="632" t="s">
        <v>558</v>
      </c>
      <c r="D395" s="633" t="s">
        <v>1981</v>
      </c>
      <c r="E395" s="632" t="s">
        <v>573</v>
      </c>
      <c r="F395" s="633" t="s">
        <v>1985</v>
      </c>
      <c r="G395" s="632" t="s">
        <v>574</v>
      </c>
      <c r="H395" s="632" t="s">
        <v>809</v>
      </c>
      <c r="I395" s="632" t="s">
        <v>810</v>
      </c>
      <c r="J395" s="632" t="s">
        <v>811</v>
      </c>
      <c r="K395" s="632" t="s">
        <v>812</v>
      </c>
      <c r="L395" s="634">
        <v>392.8888346743297</v>
      </c>
      <c r="M395" s="634">
        <v>8</v>
      </c>
      <c r="N395" s="635">
        <v>3143.1106773946376</v>
      </c>
    </row>
    <row r="396" spans="1:14" ht="14.4" customHeight="1" x14ac:dyDescent="0.3">
      <c r="A396" s="630" t="s">
        <v>545</v>
      </c>
      <c r="B396" s="631" t="s">
        <v>1978</v>
      </c>
      <c r="C396" s="632" t="s">
        <v>558</v>
      </c>
      <c r="D396" s="633" t="s">
        <v>1981</v>
      </c>
      <c r="E396" s="632" t="s">
        <v>573</v>
      </c>
      <c r="F396" s="633" t="s">
        <v>1985</v>
      </c>
      <c r="G396" s="632" t="s">
        <v>574</v>
      </c>
      <c r="H396" s="632" t="s">
        <v>1840</v>
      </c>
      <c r="I396" s="632" t="s">
        <v>238</v>
      </c>
      <c r="J396" s="632" t="s">
        <v>1841</v>
      </c>
      <c r="K396" s="632"/>
      <c r="L396" s="634">
        <v>97.32030228922936</v>
      </c>
      <c r="M396" s="634">
        <v>40</v>
      </c>
      <c r="N396" s="635">
        <v>3892.8120915691743</v>
      </c>
    </row>
    <row r="397" spans="1:14" ht="14.4" customHeight="1" x14ac:dyDescent="0.3">
      <c r="A397" s="630" t="s">
        <v>545</v>
      </c>
      <c r="B397" s="631" t="s">
        <v>1978</v>
      </c>
      <c r="C397" s="632" t="s">
        <v>558</v>
      </c>
      <c r="D397" s="633" t="s">
        <v>1981</v>
      </c>
      <c r="E397" s="632" t="s">
        <v>573</v>
      </c>
      <c r="F397" s="633" t="s">
        <v>1985</v>
      </c>
      <c r="G397" s="632" t="s">
        <v>574</v>
      </c>
      <c r="H397" s="632" t="s">
        <v>1842</v>
      </c>
      <c r="I397" s="632" t="s">
        <v>1843</v>
      </c>
      <c r="J397" s="632" t="s">
        <v>1844</v>
      </c>
      <c r="K397" s="632"/>
      <c r="L397" s="634">
        <v>527.84997717969179</v>
      </c>
      <c r="M397" s="634">
        <v>3</v>
      </c>
      <c r="N397" s="635">
        <v>1583.5499315390753</v>
      </c>
    </row>
    <row r="398" spans="1:14" ht="14.4" customHeight="1" x14ac:dyDescent="0.3">
      <c r="A398" s="630" t="s">
        <v>545</v>
      </c>
      <c r="B398" s="631" t="s">
        <v>1978</v>
      </c>
      <c r="C398" s="632" t="s">
        <v>558</v>
      </c>
      <c r="D398" s="633" t="s">
        <v>1981</v>
      </c>
      <c r="E398" s="632" t="s">
        <v>573</v>
      </c>
      <c r="F398" s="633" t="s">
        <v>1985</v>
      </c>
      <c r="G398" s="632" t="s">
        <v>574</v>
      </c>
      <c r="H398" s="632" t="s">
        <v>1845</v>
      </c>
      <c r="I398" s="632" t="s">
        <v>1846</v>
      </c>
      <c r="J398" s="632" t="s">
        <v>1847</v>
      </c>
      <c r="K398" s="632" t="s">
        <v>1848</v>
      </c>
      <c r="L398" s="634">
        <v>69.145801738155512</v>
      </c>
      <c r="M398" s="634">
        <v>29</v>
      </c>
      <c r="N398" s="635">
        <v>2005.2282504065099</v>
      </c>
    </row>
    <row r="399" spans="1:14" ht="14.4" customHeight="1" x14ac:dyDescent="0.3">
      <c r="A399" s="630" t="s">
        <v>545</v>
      </c>
      <c r="B399" s="631" t="s">
        <v>1978</v>
      </c>
      <c r="C399" s="632" t="s">
        <v>558</v>
      </c>
      <c r="D399" s="633" t="s">
        <v>1981</v>
      </c>
      <c r="E399" s="632" t="s">
        <v>573</v>
      </c>
      <c r="F399" s="633" t="s">
        <v>1985</v>
      </c>
      <c r="G399" s="632" t="s">
        <v>574</v>
      </c>
      <c r="H399" s="632" t="s">
        <v>877</v>
      </c>
      <c r="I399" s="632" t="s">
        <v>878</v>
      </c>
      <c r="J399" s="632" t="s">
        <v>879</v>
      </c>
      <c r="K399" s="632" t="s">
        <v>637</v>
      </c>
      <c r="L399" s="634">
        <v>121.77776018908466</v>
      </c>
      <c r="M399" s="634">
        <v>10</v>
      </c>
      <c r="N399" s="635">
        <v>1217.7776018908467</v>
      </c>
    </row>
    <row r="400" spans="1:14" ht="14.4" customHeight="1" x14ac:dyDescent="0.3">
      <c r="A400" s="630" t="s">
        <v>545</v>
      </c>
      <c r="B400" s="631" t="s">
        <v>1978</v>
      </c>
      <c r="C400" s="632" t="s">
        <v>558</v>
      </c>
      <c r="D400" s="633" t="s">
        <v>1981</v>
      </c>
      <c r="E400" s="632" t="s">
        <v>573</v>
      </c>
      <c r="F400" s="633" t="s">
        <v>1985</v>
      </c>
      <c r="G400" s="632" t="s">
        <v>574</v>
      </c>
      <c r="H400" s="632" t="s">
        <v>880</v>
      </c>
      <c r="I400" s="632" t="s">
        <v>881</v>
      </c>
      <c r="J400" s="632" t="s">
        <v>882</v>
      </c>
      <c r="K400" s="632" t="s">
        <v>883</v>
      </c>
      <c r="L400" s="634">
        <v>62.028655433051</v>
      </c>
      <c r="M400" s="634">
        <v>154</v>
      </c>
      <c r="N400" s="635">
        <v>9552.4129366898542</v>
      </c>
    </row>
    <row r="401" spans="1:14" ht="14.4" customHeight="1" x14ac:dyDescent="0.3">
      <c r="A401" s="630" t="s">
        <v>545</v>
      </c>
      <c r="B401" s="631" t="s">
        <v>1978</v>
      </c>
      <c r="C401" s="632" t="s">
        <v>558</v>
      </c>
      <c r="D401" s="633" t="s">
        <v>1981</v>
      </c>
      <c r="E401" s="632" t="s">
        <v>573</v>
      </c>
      <c r="F401" s="633" t="s">
        <v>1985</v>
      </c>
      <c r="G401" s="632" t="s">
        <v>574</v>
      </c>
      <c r="H401" s="632" t="s">
        <v>884</v>
      </c>
      <c r="I401" s="632" t="s">
        <v>885</v>
      </c>
      <c r="J401" s="632" t="s">
        <v>886</v>
      </c>
      <c r="K401" s="632" t="s">
        <v>887</v>
      </c>
      <c r="L401" s="634">
        <v>48.66</v>
      </c>
      <c r="M401" s="634">
        <v>2</v>
      </c>
      <c r="N401" s="635">
        <v>97.32</v>
      </c>
    </row>
    <row r="402" spans="1:14" ht="14.4" customHeight="1" x14ac:dyDescent="0.3">
      <c r="A402" s="630" t="s">
        <v>545</v>
      </c>
      <c r="B402" s="631" t="s">
        <v>1978</v>
      </c>
      <c r="C402" s="632" t="s">
        <v>558</v>
      </c>
      <c r="D402" s="633" t="s">
        <v>1981</v>
      </c>
      <c r="E402" s="632" t="s">
        <v>573</v>
      </c>
      <c r="F402" s="633" t="s">
        <v>1985</v>
      </c>
      <c r="G402" s="632" t="s">
        <v>574</v>
      </c>
      <c r="H402" s="632" t="s">
        <v>916</v>
      </c>
      <c r="I402" s="632" t="s">
        <v>917</v>
      </c>
      <c r="J402" s="632" t="s">
        <v>918</v>
      </c>
      <c r="K402" s="632" t="s">
        <v>919</v>
      </c>
      <c r="L402" s="634">
        <v>260.00096723386571</v>
      </c>
      <c r="M402" s="634">
        <v>90</v>
      </c>
      <c r="N402" s="635">
        <v>23400.087051047914</v>
      </c>
    </row>
    <row r="403" spans="1:14" ht="14.4" customHeight="1" x14ac:dyDescent="0.3">
      <c r="A403" s="630" t="s">
        <v>545</v>
      </c>
      <c r="B403" s="631" t="s">
        <v>1978</v>
      </c>
      <c r="C403" s="632" t="s">
        <v>558</v>
      </c>
      <c r="D403" s="633" t="s">
        <v>1981</v>
      </c>
      <c r="E403" s="632" t="s">
        <v>573</v>
      </c>
      <c r="F403" s="633" t="s">
        <v>1985</v>
      </c>
      <c r="G403" s="632" t="s">
        <v>574</v>
      </c>
      <c r="H403" s="632" t="s">
        <v>928</v>
      </c>
      <c r="I403" s="632" t="s">
        <v>929</v>
      </c>
      <c r="J403" s="632" t="s">
        <v>930</v>
      </c>
      <c r="K403" s="632" t="s">
        <v>931</v>
      </c>
      <c r="L403" s="634">
        <v>197.47121368992671</v>
      </c>
      <c r="M403" s="634">
        <v>23</v>
      </c>
      <c r="N403" s="635">
        <v>4541.8379148683143</v>
      </c>
    </row>
    <row r="404" spans="1:14" ht="14.4" customHeight="1" x14ac:dyDescent="0.3">
      <c r="A404" s="630" t="s">
        <v>545</v>
      </c>
      <c r="B404" s="631" t="s">
        <v>1978</v>
      </c>
      <c r="C404" s="632" t="s">
        <v>558</v>
      </c>
      <c r="D404" s="633" t="s">
        <v>1981</v>
      </c>
      <c r="E404" s="632" t="s">
        <v>573</v>
      </c>
      <c r="F404" s="633" t="s">
        <v>1985</v>
      </c>
      <c r="G404" s="632" t="s">
        <v>574</v>
      </c>
      <c r="H404" s="632" t="s">
        <v>980</v>
      </c>
      <c r="I404" s="632" t="s">
        <v>981</v>
      </c>
      <c r="J404" s="632" t="s">
        <v>982</v>
      </c>
      <c r="K404" s="632" t="s">
        <v>983</v>
      </c>
      <c r="L404" s="634">
        <v>147.91999999999999</v>
      </c>
      <c r="M404" s="634">
        <v>1</v>
      </c>
      <c r="N404" s="635">
        <v>147.91999999999999</v>
      </c>
    </row>
    <row r="405" spans="1:14" ht="14.4" customHeight="1" x14ac:dyDescent="0.3">
      <c r="A405" s="630" t="s">
        <v>545</v>
      </c>
      <c r="B405" s="631" t="s">
        <v>1978</v>
      </c>
      <c r="C405" s="632" t="s">
        <v>558</v>
      </c>
      <c r="D405" s="633" t="s">
        <v>1981</v>
      </c>
      <c r="E405" s="632" t="s">
        <v>573</v>
      </c>
      <c r="F405" s="633" t="s">
        <v>1985</v>
      </c>
      <c r="G405" s="632" t="s">
        <v>574</v>
      </c>
      <c r="H405" s="632" t="s">
        <v>1000</v>
      </c>
      <c r="I405" s="632" t="s">
        <v>1001</v>
      </c>
      <c r="J405" s="632" t="s">
        <v>1002</v>
      </c>
      <c r="K405" s="632" t="s">
        <v>659</v>
      </c>
      <c r="L405" s="634">
        <v>41.563231495505057</v>
      </c>
      <c r="M405" s="634">
        <v>71</v>
      </c>
      <c r="N405" s="635">
        <v>2950.9894361808592</v>
      </c>
    </row>
    <row r="406" spans="1:14" ht="14.4" customHeight="1" x14ac:dyDescent="0.3">
      <c r="A406" s="630" t="s">
        <v>545</v>
      </c>
      <c r="B406" s="631" t="s">
        <v>1978</v>
      </c>
      <c r="C406" s="632" t="s">
        <v>558</v>
      </c>
      <c r="D406" s="633" t="s">
        <v>1981</v>
      </c>
      <c r="E406" s="632" t="s">
        <v>573</v>
      </c>
      <c r="F406" s="633" t="s">
        <v>1985</v>
      </c>
      <c r="G406" s="632" t="s">
        <v>574</v>
      </c>
      <c r="H406" s="632" t="s">
        <v>1007</v>
      </c>
      <c r="I406" s="632" t="s">
        <v>1008</v>
      </c>
      <c r="J406" s="632" t="s">
        <v>1009</v>
      </c>
      <c r="K406" s="632" t="s">
        <v>1010</v>
      </c>
      <c r="L406" s="634">
        <v>98.86619974980249</v>
      </c>
      <c r="M406" s="634">
        <v>13</v>
      </c>
      <c r="N406" s="635">
        <v>1285.2605967474324</v>
      </c>
    </row>
    <row r="407" spans="1:14" ht="14.4" customHeight="1" x14ac:dyDescent="0.3">
      <c r="A407" s="630" t="s">
        <v>545</v>
      </c>
      <c r="B407" s="631" t="s">
        <v>1978</v>
      </c>
      <c r="C407" s="632" t="s">
        <v>558</v>
      </c>
      <c r="D407" s="633" t="s">
        <v>1981</v>
      </c>
      <c r="E407" s="632" t="s">
        <v>573</v>
      </c>
      <c r="F407" s="633" t="s">
        <v>1985</v>
      </c>
      <c r="G407" s="632" t="s">
        <v>574</v>
      </c>
      <c r="H407" s="632" t="s">
        <v>1011</v>
      </c>
      <c r="I407" s="632" t="s">
        <v>1012</v>
      </c>
      <c r="J407" s="632" t="s">
        <v>1013</v>
      </c>
      <c r="K407" s="632" t="s">
        <v>1014</v>
      </c>
      <c r="L407" s="634">
        <v>266.569699751207</v>
      </c>
      <c r="M407" s="634">
        <v>6</v>
      </c>
      <c r="N407" s="635">
        <v>1599.4181985072419</v>
      </c>
    </row>
    <row r="408" spans="1:14" ht="14.4" customHeight="1" x14ac:dyDescent="0.3">
      <c r="A408" s="630" t="s">
        <v>545</v>
      </c>
      <c r="B408" s="631" t="s">
        <v>1978</v>
      </c>
      <c r="C408" s="632" t="s">
        <v>558</v>
      </c>
      <c r="D408" s="633" t="s">
        <v>1981</v>
      </c>
      <c r="E408" s="632" t="s">
        <v>573</v>
      </c>
      <c r="F408" s="633" t="s">
        <v>1985</v>
      </c>
      <c r="G408" s="632" t="s">
        <v>574</v>
      </c>
      <c r="H408" s="632" t="s">
        <v>1031</v>
      </c>
      <c r="I408" s="632" t="s">
        <v>1031</v>
      </c>
      <c r="J408" s="632" t="s">
        <v>1032</v>
      </c>
      <c r="K408" s="632" t="s">
        <v>721</v>
      </c>
      <c r="L408" s="634">
        <v>56.452185368962994</v>
      </c>
      <c r="M408" s="634">
        <v>264</v>
      </c>
      <c r="N408" s="635">
        <v>14903.37693740623</v>
      </c>
    </row>
    <row r="409" spans="1:14" ht="14.4" customHeight="1" x14ac:dyDescent="0.3">
      <c r="A409" s="630" t="s">
        <v>545</v>
      </c>
      <c r="B409" s="631" t="s">
        <v>1978</v>
      </c>
      <c r="C409" s="632" t="s">
        <v>558</v>
      </c>
      <c r="D409" s="633" t="s">
        <v>1981</v>
      </c>
      <c r="E409" s="632" t="s">
        <v>573</v>
      </c>
      <c r="F409" s="633" t="s">
        <v>1985</v>
      </c>
      <c r="G409" s="632" t="s">
        <v>574</v>
      </c>
      <c r="H409" s="632" t="s">
        <v>584</v>
      </c>
      <c r="I409" s="632" t="s">
        <v>238</v>
      </c>
      <c r="J409" s="632" t="s">
        <v>585</v>
      </c>
      <c r="K409" s="632"/>
      <c r="L409" s="634">
        <v>37.629927661754351</v>
      </c>
      <c r="M409" s="634">
        <v>4</v>
      </c>
      <c r="N409" s="635">
        <v>150.5197106470174</v>
      </c>
    </row>
    <row r="410" spans="1:14" ht="14.4" customHeight="1" x14ac:dyDescent="0.3">
      <c r="A410" s="630" t="s">
        <v>545</v>
      </c>
      <c r="B410" s="631" t="s">
        <v>1978</v>
      </c>
      <c r="C410" s="632" t="s">
        <v>558</v>
      </c>
      <c r="D410" s="633" t="s">
        <v>1981</v>
      </c>
      <c r="E410" s="632" t="s">
        <v>573</v>
      </c>
      <c r="F410" s="633" t="s">
        <v>1985</v>
      </c>
      <c r="G410" s="632" t="s">
        <v>574</v>
      </c>
      <c r="H410" s="632" t="s">
        <v>1849</v>
      </c>
      <c r="I410" s="632" t="s">
        <v>238</v>
      </c>
      <c r="J410" s="632" t="s">
        <v>1850</v>
      </c>
      <c r="K410" s="632" t="s">
        <v>1851</v>
      </c>
      <c r="L410" s="634">
        <v>389.80000000000007</v>
      </c>
      <c r="M410" s="634">
        <v>2</v>
      </c>
      <c r="N410" s="635">
        <v>779.60000000000014</v>
      </c>
    </row>
    <row r="411" spans="1:14" ht="14.4" customHeight="1" x14ac:dyDescent="0.3">
      <c r="A411" s="630" t="s">
        <v>545</v>
      </c>
      <c r="B411" s="631" t="s">
        <v>1978</v>
      </c>
      <c r="C411" s="632" t="s">
        <v>558</v>
      </c>
      <c r="D411" s="633" t="s">
        <v>1981</v>
      </c>
      <c r="E411" s="632" t="s">
        <v>573</v>
      </c>
      <c r="F411" s="633" t="s">
        <v>1985</v>
      </c>
      <c r="G411" s="632" t="s">
        <v>574</v>
      </c>
      <c r="H411" s="632" t="s">
        <v>1056</v>
      </c>
      <c r="I411" s="632" t="s">
        <v>238</v>
      </c>
      <c r="J411" s="632" t="s">
        <v>1057</v>
      </c>
      <c r="K411" s="632"/>
      <c r="L411" s="634">
        <v>62.664239055405282</v>
      </c>
      <c r="M411" s="634">
        <v>32</v>
      </c>
      <c r="N411" s="635">
        <v>2005.255649772969</v>
      </c>
    </row>
    <row r="412" spans="1:14" ht="14.4" customHeight="1" x14ac:dyDescent="0.3">
      <c r="A412" s="630" t="s">
        <v>545</v>
      </c>
      <c r="B412" s="631" t="s">
        <v>1978</v>
      </c>
      <c r="C412" s="632" t="s">
        <v>558</v>
      </c>
      <c r="D412" s="633" t="s">
        <v>1981</v>
      </c>
      <c r="E412" s="632" t="s">
        <v>573</v>
      </c>
      <c r="F412" s="633" t="s">
        <v>1985</v>
      </c>
      <c r="G412" s="632" t="s">
        <v>574</v>
      </c>
      <c r="H412" s="632" t="s">
        <v>1063</v>
      </c>
      <c r="I412" s="632" t="s">
        <v>1064</v>
      </c>
      <c r="J412" s="632" t="s">
        <v>1065</v>
      </c>
      <c r="K412" s="632" t="s">
        <v>883</v>
      </c>
      <c r="L412" s="634">
        <v>52.418120735206742</v>
      </c>
      <c r="M412" s="634">
        <v>98</v>
      </c>
      <c r="N412" s="635">
        <v>5136.9758320502606</v>
      </c>
    </row>
    <row r="413" spans="1:14" ht="14.4" customHeight="1" x14ac:dyDescent="0.3">
      <c r="A413" s="630" t="s">
        <v>545</v>
      </c>
      <c r="B413" s="631" t="s">
        <v>1978</v>
      </c>
      <c r="C413" s="632" t="s">
        <v>558</v>
      </c>
      <c r="D413" s="633" t="s">
        <v>1981</v>
      </c>
      <c r="E413" s="632" t="s">
        <v>573</v>
      </c>
      <c r="F413" s="633" t="s">
        <v>1985</v>
      </c>
      <c r="G413" s="632" t="s">
        <v>574</v>
      </c>
      <c r="H413" s="632" t="s">
        <v>1852</v>
      </c>
      <c r="I413" s="632" t="s">
        <v>1853</v>
      </c>
      <c r="J413" s="632" t="s">
        <v>1854</v>
      </c>
      <c r="K413" s="632" t="s">
        <v>1855</v>
      </c>
      <c r="L413" s="634">
        <v>434.7</v>
      </c>
      <c r="M413" s="634">
        <v>1</v>
      </c>
      <c r="N413" s="635">
        <v>434.7</v>
      </c>
    </row>
    <row r="414" spans="1:14" ht="14.4" customHeight="1" x14ac:dyDescent="0.3">
      <c r="A414" s="630" t="s">
        <v>545</v>
      </c>
      <c r="B414" s="631" t="s">
        <v>1978</v>
      </c>
      <c r="C414" s="632" t="s">
        <v>558</v>
      </c>
      <c r="D414" s="633" t="s">
        <v>1981</v>
      </c>
      <c r="E414" s="632" t="s">
        <v>573</v>
      </c>
      <c r="F414" s="633" t="s">
        <v>1985</v>
      </c>
      <c r="G414" s="632" t="s">
        <v>574</v>
      </c>
      <c r="H414" s="632" t="s">
        <v>1066</v>
      </c>
      <c r="I414" s="632" t="s">
        <v>1067</v>
      </c>
      <c r="J414" s="632" t="s">
        <v>1068</v>
      </c>
      <c r="K414" s="632" t="s">
        <v>1069</v>
      </c>
      <c r="L414" s="634">
        <v>61.558990810357656</v>
      </c>
      <c r="M414" s="634">
        <v>171</v>
      </c>
      <c r="N414" s="635">
        <v>10526.58742857116</v>
      </c>
    </row>
    <row r="415" spans="1:14" ht="14.4" customHeight="1" x14ac:dyDescent="0.3">
      <c r="A415" s="630" t="s">
        <v>545</v>
      </c>
      <c r="B415" s="631" t="s">
        <v>1978</v>
      </c>
      <c r="C415" s="632" t="s">
        <v>558</v>
      </c>
      <c r="D415" s="633" t="s">
        <v>1981</v>
      </c>
      <c r="E415" s="632" t="s">
        <v>573</v>
      </c>
      <c r="F415" s="633" t="s">
        <v>1985</v>
      </c>
      <c r="G415" s="632" t="s">
        <v>574</v>
      </c>
      <c r="H415" s="632" t="s">
        <v>1074</v>
      </c>
      <c r="I415" s="632" t="s">
        <v>1075</v>
      </c>
      <c r="J415" s="632" t="s">
        <v>588</v>
      </c>
      <c r="K415" s="632" t="s">
        <v>1076</v>
      </c>
      <c r="L415" s="634">
        <v>555.42000000000007</v>
      </c>
      <c r="M415" s="634">
        <v>14</v>
      </c>
      <c r="N415" s="635">
        <v>7775.880000000001</v>
      </c>
    </row>
    <row r="416" spans="1:14" ht="14.4" customHeight="1" x14ac:dyDescent="0.3">
      <c r="A416" s="630" t="s">
        <v>545</v>
      </c>
      <c r="B416" s="631" t="s">
        <v>1978</v>
      </c>
      <c r="C416" s="632" t="s">
        <v>558</v>
      </c>
      <c r="D416" s="633" t="s">
        <v>1981</v>
      </c>
      <c r="E416" s="632" t="s">
        <v>573</v>
      </c>
      <c r="F416" s="633" t="s">
        <v>1985</v>
      </c>
      <c r="G416" s="632" t="s">
        <v>574</v>
      </c>
      <c r="H416" s="632" t="s">
        <v>586</v>
      </c>
      <c r="I416" s="632" t="s">
        <v>587</v>
      </c>
      <c r="J416" s="632" t="s">
        <v>588</v>
      </c>
      <c r="K416" s="632" t="s">
        <v>589</v>
      </c>
      <c r="L416" s="634">
        <v>327.05875247658662</v>
      </c>
      <c r="M416" s="634">
        <v>15</v>
      </c>
      <c r="N416" s="635">
        <v>4905.8812871487989</v>
      </c>
    </row>
    <row r="417" spans="1:14" ht="14.4" customHeight="1" x14ac:dyDescent="0.3">
      <c r="A417" s="630" t="s">
        <v>545</v>
      </c>
      <c r="B417" s="631" t="s">
        <v>1978</v>
      </c>
      <c r="C417" s="632" t="s">
        <v>558</v>
      </c>
      <c r="D417" s="633" t="s">
        <v>1981</v>
      </c>
      <c r="E417" s="632" t="s">
        <v>573</v>
      </c>
      <c r="F417" s="633" t="s">
        <v>1985</v>
      </c>
      <c r="G417" s="632" t="s">
        <v>574</v>
      </c>
      <c r="H417" s="632" t="s">
        <v>1077</v>
      </c>
      <c r="I417" s="632" t="s">
        <v>1078</v>
      </c>
      <c r="J417" s="632" t="s">
        <v>588</v>
      </c>
      <c r="K417" s="632" t="s">
        <v>1079</v>
      </c>
      <c r="L417" s="634">
        <v>246.32967340364922</v>
      </c>
      <c r="M417" s="634">
        <v>17</v>
      </c>
      <c r="N417" s="635">
        <v>4187.604447862037</v>
      </c>
    </row>
    <row r="418" spans="1:14" ht="14.4" customHeight="1" x14ac:dyDescent="0.3">
      <c r="A418" s="630" t="s">
        <v>545</v>
      </c>
      <c r="B418" s="631" t="s">
        <v>1978</v>
      </c>
      <c r="C418" s="632" t="s">
        <v>558</v>
      </c>
      <c r="D418" s="633" t="s">
        <v>1981</v>
      </c>
      <c r="E418" s="632" t="s">
        <v>573</v>
      </c>
      <c r="F418" s="633" t="s">
        <v>1985</v>
      </c>
      <c r="G418" s="632" t="s">
        <v>574</v>
      </c>
      <c r="H418" s="632" t="s">
        <v>1094</v>
      </c>
      <c r="I418" s="632" t="s">
        <v>1095</v>
      </c>
      <c r="J418" s="632" t="s">
        <v>1096</v>
      </c>
      <c r="K418" s="632" t="s">
        <v>1097</v>
      </c>
      <c r="L418" s="634">
        <v>106.93000000000002</v>
      </c>
      <c r="M418" s="634">
        <v>1</v>
      </c>
      <c r="N418" s="635">
        <v>106.93000000000002</v>
      </c>
    </row>
    <row r="419" spans="1:14" ht="14.4" customHeight="1" x14ac:dyDescent="0.3">
      <c r="A419" s="630" t="s">
        <v>545</v>
      </c>
      <c r="B419" s="631" t="s">
        <v>1978</v>
      </c>
      <c r="C419" s="632" t="s">
        <v>558</v>
      </c>
      <c r="D419" s="633" t="s">
        <v>1981</v>
      </c>
      <c r="E419" s="632" t="s">
        <v>573</v>
      </c>
      <c r="F419" s="633" t="s">
        <v>1985</v>
      </c>
      <c r="G419" s="632" t="s">
        <v>574</v>
      </c>
      <c r="H419" s="632" t="s">
        <v>1109</v>
      </c>
      <c r="I419" s="632" t="s">
        <v>1110</v>
      </c>
      <c r="J419" s="632" t="s">
        <v>1111</v>
      </c>
      <c r="K419" s="632" t="s">
        <v>1112</v>
      </c>
      <c r="L419" s="634">
        <v>57.342496785106299</v>
      </c>
      <c r="M419" s="634">
        <v>48</v>
      </c>
      <c r="N419" s="635">
        <v>2752.4398456851022</v>
      </c>
    </row>
    <row r="420" spans="1:14" ht="14.4" customHeight="1" x14ac:dyDescent="0.3">
      <c r="A420" s="630" t="s">
        <v>545</v>
      </c>
      <c r="B420" s="631" t="s">
        <v>1978</v>
      </c>
      <c r="C420" s="632" t="s">
        <v>558</v>
      </c>
      <c r="D420" s="633" t="s">
        <v>1981</v>
      </c>
      <c r="E420" s="632" t="s">
        <v>573</v>
      </c>
      <c r="F420" s="633" t="s">
        <v>1985</v>
      </c>
      <c r="G420" s="632" t="s">
        <v>574</v>
      </c>
      <c r="H420" s="632" t="s">
        <v>1226</v>
      </c>
      <c r="I420" s="632" t="s">
        <v>1227</v>
      </c>
      <c r="J420" s="632" t="s">
        <v>1228</v>
      </c>
      <c r="K420" s="632" t="s">
        <v>1229</v>
      </c>
      <c r="L420" s="634">
        <v>411.37912140381604</v>
      </c>
      <c r="M420" s="634">
        <v>5</v>
      </c>
      <c r="N420" s="635">
        <v>2056.8956070190802</v>
      </c>
    </row>
    <row r="421" spans="1:14" ht="14.4" customHeight="1" x14ac:dyDescent="0.3">
      <c r="A421" s="630" t="s">
        <v>545</v>
      </c>
      <c r="B421" s="631" t="s">
        <v>1978</v>
      </c>
      <c r="C421" s="632" t="s">
        <v>558</v>
      </c>
      <c r="D421" s="633" t="s">
        <v>1981</v>
      </c>
      <c r="E421" s="632" t="s">
        <v>573</v>
      </c>
      <c r="F421" s="633" t="s">
        <v>1985</v>
      </c>
      <c r="G421" s="632" t="s">
        <v>574</v>
      </c>
      <c r="H421" s="632" t="s">
        <v>1240</v>
      </c>
      <c r="I421" s="632" t="s">
        <v>1241</v>
      </c>
      <c r="J421" s="632" t="s">
        <v>1242</v>
      </c>
      <c r="K421" s="632" t="s">
        <v>1243</v>
      </c>
      <c r="L421" s="634">
        <v>95.67</v>
      </c>
      <c r="M421" s="634">
        <v>1</v>
      </c>
      <c r="N421" s="635">
        <v>95.67</v>
      </c>
    </row>
    <row r="422" spans="1:14" ht="14.4" customHeight="1" x14ac:dyDescent="0.3">
      <c r="A422" s="630" t="s">
        <v>545</v>
      </c>
      <c r="B422" s="631" t="s">
        <v>1978</v>
      </c>
      <c r="C422" s="632" t="s">
        <v>558</v>
      </c>
      <c r="D422" s="633" t="s">
        <v>1981</v>
      </c>
      <c r="E422" s="632" t="s">
        <v>573</v>
      </c>
      <c r="F422" s="633" t="s">
        <v>1985</v>
      </c>
      <c r="G422" s="632" t="s">
        <v>574</v>
      </c>
      <c r="H422" s="632" t="s">
        <v>1244</v>
      </c>
      <c r="I422" s="632" t="s">
        <v>1245</v>
      </c>
      <c r="J422" s="632" t="s">
        <v>588</v>
      </c>
      <c r="K422" s="632" t="s">
        <v>702</v>
      </c>
      <c r="L422" s="634">
        <v>210.45000000000005</v>
      </c>
      <c r="M422" s="634">
        <v>3</v>
      </c>
      <c r="N422" s="635">
        <v>631.35000000000014</v>
      </c>
    </row>
    <row r="423" spans="1:14" ht="14.4" customHeight="1" x14ac:dyDescent="0.3">
      <c r="A423" s="630" t="s">
        <v>545</v>
      </c>
      <c r="B423" s="631" t="s">
        <v>1978</v>
      </c>
      <c r="C423" s="632" t="s">
        <v>558</v>
      </c>
      <c r="D423" s="633" t="s">
        <v>1981</v>
      </c>
      <c r="E423" s="632" t="s">
        <v>573</v>
      </c>
      <c r="F423" s="633" t="s">
        <v>1985</v>
      </c>
      <c r="G423" s="632" t="s">
        <v>574</v>
      </c>
      <c r="H423" s="632" t="s">
        <v>1254</v>
      </c>
      <c r="I423" s="632" t="s">
        <v>1255</v>
      </c>
      <c r="J423" s="632" t="s">
        <v>1256</v>
      </c>
      <c r="K423" s="632" t="s">
        <v>1257</v>
      </c>
      <c r="L423" s="634">
        <v>339.93988592628006</v>
      </c>
      <c r="M423" s="634">
        <v>38</v>
      </c>
      <c r="N423" s="635">
        <v>12917.715665198642</v>
      </c>
    </row>
    <row r="424" spans="1:14" ht="14.4" customHeight="1" x14ac:dyDescent="0.3">
      <c r="A424" s="630" t="s">
        <v>545</v>
      </c>
      <c r="B424" s="631" t="s">
        <v>1978</v>
      </c>
      <c r="C424" s="632" t="s">
        <v>558</v>
      </c>
      <c r="D424" s="633" t="s">
        <v>1981</v>
      </c>
      <c r="E424" s="632" t="s">
        <v>573</v>
      </c>
      <c r="F424" s="633" t="s">
        <v>1985</v>
      </c>
      <c r="G424" s="632" t="s">
        <v>574</v>
      </c>
      <c r="H424" s="632" t="s">
        <v>590</v>
      </c>
      <c r="I424" s="632" t="s">
        <v>591</v>
      </c>
      <c r="J424" s="632" t="s">
        <v>592</v>
      </c>
      <c r="K424" s="632" t="s">
        <v>593</v>
      </c>
      <c r="L424" s="634">
        <v>291.77871412736863</v>
      </c>
      <c r="M424" s="634">
        <v>27</v>
      </c>
      <c r="N424" s="635">
        <v>7878.0252814389523</v>
      </c>
    </row>
    <row r="425" spans="1:14" ht="14.4" customHeight="1" x14ac:dyDescent="0.3">
      <c r="A425" s="630" t="s">
        <v>545</v>
      </c>
      <c r="B425" s="631" t="s">
        <v>1978</v>
      </c>
      <c r="C425" s="632" t="s">
        <v>558</v>
      </c>
      <c r="D425" s="633" t="s">
        <v>1981</v>
      </c>
      <c r="E425" s="632" t="s">
        <v>573</v>
      </c>
      <c r="F425" s="633" t="s">
        <v>1985</v>
      </c>
      <c r="G425" s="632" t="s">
        <v>574</v>
      </c>
      <c r="H425" s="632" t="s">
        <v>1856</v>
      </c>
      <c r="I425" s="632" t="s">
        <v>238</v>
      </c>
      <c r="J425" s="632" t="s">
        <v>1857</v>
      </c>
      <c r="K425" s="632"/>
      <c r="L425" s="634">
        <v>31.439258630259097</v>
      </c>
      <c r="M425" s="634">
        <v>14</v>
      </c>
      <c r="N425" s="635">
        <v>440.14962082362734</v>
      </c>
    </row>
    <row r="426" spans="1:14" ht="14.4" customHeight="1" x14ac:dyDescent="0.3">
      <c r="A426" s="630" t="s">
        <v>545</v>
      </c>
      <c r="B426" s="631" t="s">
        <v>1978</v>
      </c>
      <c r="C426" s="632" t="s">
        <v>558</v>
      </c>
      <c r="D426" s="633" t="s">
        <v>1981</v>
      </c>
      <c r="E426" s="632" t="s">
        <v>573</v>
      </c>
      <c r="F426" s="633" t="s">
        <v>1985</v>
      </c>
      <c r="G426" s="632" t="s">
        <v>574</v>
      </c>
      <c r="H426" s="632" t="s">
        <v>1858</v>
      </c>
      <c r="I426" s="632" t="s">
        <v>1859</v>
      </c>
      <c r="J426" s="632" t="s">
        <v>1860</v>
      </c>
      <c r="K426" s="632" t="s">
        <v>1861</v>
      </c>
      <c r="L426" s="634">
        <v>3818.0300766753035</v>
      </c>
      <c r="M426" s="634">
        <v>5</v>
      </c>
      <c r="N426" s="635">
        <v>19090.150383376516</v>
      </c>
    </row>
    <row r="427" spans="1:14" ht="14.4" customHeight="1" x14ac:dyDescent="0.3">
      <c r="A427" s="630" t="s">
        <v>545</v>
      </c>
      <c r="B427" s="631" t="s">
        <v>1978</v>
      </c>
      <c r="C427" s="632" t="s">
        <v>558</v>
      </c>
      <c r="D427" s="633" t="s">
        <v>1981</v>
      </c>
      <c r="E427" s="632" t="s">
        <v>573</v>
      </c>
      <c r="F427" s="633" t="s">
        <v>1985</v>
      </c>
      <c r="G427" s="632" t="s">
        <v>574</v>
      </c>
      <c r="H427" s="632" t="s">
        <v>1862</v>
      </c>
      <c r="I427" s="632" t="s">
        <v>1862</v>
      </c>
      <c r="J427" s="632" t="s">
        <v>1863</v>
      </c>
      <c r="K427" s="632" t="s">
        <v>1864</v>
      </c>
      <c r="L427" s="634">
        <v>182.33189728628255</v>
      </c>
      <c r="M427" s="634">
        <v>42</v>
      </c>
      <c r="N427" s="635">
        <v>7657.9396860238676</v>
      </c>
    </row>
    <row r="428" spans="1:14" ht="14.4" customHeight="1" x14ac:dyDescent="0.3">
      <c r="A428" s="630" t="s">
        <v>545</v>
      </c>
      <c r="B428" s="631" t="s">
        <v>1978</v>
      </c>
      <c r="C428" s="632" t="s">
        <v>558</v>
      </c>
      <c r="D428" s="633" t="s">
        <v>1981</v>
      </c>
      <c r="E428" s="632" t="s">
        <v>573</v>
      </c>
      <c r="F428" s="633" t="s">
        <v>1985</v>
      </c>
      <c r="G428" s="632" t="s">
        <v>574</v>
      </c>
      <c r="H428" s="632" t="s">
        <v>1280</v>
      </c>
      <c r="I428" s="632" t="s">
        <v>1281</v>
      </c>
      <c r="J428" s="632" t="s">
        <v>1282</v>
      </c>
      <c r="K428" s="632" t="s">
        <v>1079</v>
      </c>
      <c r="L428" s="634">
        <v>2967.0194773650305</v>
      </c>
      <c r="M428" s="634">
        <v>6</v>
      </c>
      <c r="N428" s="635">
        <v>17802.116864190182</v>
      </c>
    </row>
    <row r="429" spans="1:14" ht="14.4" customHeight="1" x14ac:dyDescent="0.3">
      <c r="A429" s="630" t="s">
        <v>545</v>
      </c>
      <c r="B429" s="631" t="s">
        <v>1978</v>
      </c>
      <c r="C429" s="632" t="s">
        <v>558</v>
      </c>
      <c r="D429" s="633" t="s">
        <v>1981</v>
      </c>
      <c r="E429" s="632" t="s">
        <v>573</v>
      </c>
      <c r="F429" s="633" t="s">
        <v>1985</v>
      </c>
      <c r="G429" s="632" t="s">
        <v>574</v>
      </c>
      <c r="H429" s="632" t="s">
        <v>1865</v>
      </c>
      <c r="I429" s="632" t="s">
        <v>1866</v>
      </c>
      <c r="J429" s="632" t="s">
        <v>1394</v>
      </c>
      <c r="K429" s="632" t="s">
        <v>702</v>
      </c>
      <c r="L429" s="634">
        <v>257.7</v>
      </c>
      <c r="M429" s="634">
        <v>7</v>
      </c>
      <c r="N429" s="635">
        <v>1803.8999999999999</v>
      </c>
    </row>
    <row r="430" spans="1:14" ht="14.4" customHeight="1" x14ac:dyDescent="0.3">
      <c r="A430" s="630" t="s">
        <v>545</v>
      </c>
      <c r="B430" s="631" t="s">
        <v>1978</v>
      </c>
      <c r="C430" s="632" t="s">
        <v>558</v>
      </c>
      <c r="D430" s="633" t="s">
        <v>1981</v>
      </c>
      <c r="E430" s="632" t="s">
        <v>573</v>
      </c>
      <c r="F430" s="633" t="s">
        <v>1985</v>
      </c>
      <c r="G430" s="632" t="s">
        <v>574</v>
      </c>
      <c r="H430" s="632" t="s">
        <v>1867</v>
      </c>
      <c r="I430" s="632" t="s">
        <v>1867</v>
      </c>
      <c r="J430" s="632" t="s">
        <v>1868</v>
      </c>
      <c r="K430" s="632" t="s">
        <v>1869</v>
      </c>
      <c r="L430" s="634">
        <v>649.64909090909077</v>
      </c>
      <c r="M430" s="634">
        <v>11</v>
      </c>
      <c r="N430" s="635">
        <v>7146.1399999999985</v>
      </c>
    </row>
    <row r="431" spans="1:14" ht="14.4" customHeight="1" x14ac:dyDescent="0.3">
      <c r="A431" s="630" t="s">
        <v>545</v>
      </c>
      <c r="B431" s="631" t="s">
        <v>1978</v>
      </c>
      <c r="C431" s="632" t="s">
        <v>558</v>
      </c>
      <c r="D431" s="633" t="s">
        <v>1981</v>
      </c>
      <c r="E431" s="632" t="s">
        <v>573</v>
      </c>
      <c r="F431" s="633" t="s">
        <v>1985</v>
      </c>
      <c r="G431" s="632" t="s">
        <v>574</v>
      </c>
      <c r="H431" s="632" t="s">
        <v>1870</v>
      </c>
      <c r="I431" s="632" t="s">
        <v>1870</v>
      </c>
      <c r="J431" s="632" t="s">
        <v>1871</v>
      </c>
      <c r="K431" s="632" t="s">
        <v>1872</v>
      </c>
      <c r="L431" s="634">
        <v>989.875</v>
      </c>
      <c r="M431" s="634">
        <v>2</v>
      </c>
      <c r="N431" s="635">
        <v>1979.75</v>
      </c>
    </row>
    <row r="432" spans="1:14" ht="14.4" customHeight="1" x14ac:dyDescent="0.3">
      <c r="A432" s="630" t="s">
        <v>545</v>
      </c>
      <c r="B432" s="631" t="s">
        <v>1978</v>
      </c>
      <c r="C432" s="632" t="s">
        <v>558</v>
      </c>
      <c r="D432" s="633" t="s">
        <v>1981</v>
      </c>
      <c r="E432" s="632" t="s">
        <v>573</v>
      </c>
      <c r="F432" s="633" t="s">
        <v>1985</v>
      </c>
      <c r="G432" s="632" t="s">
        <v>574</v>
      </c>
      <c r="H432" s="632" t="s">
        <v>1873</v>
      </c>
      <c r="I432" s="632" t="s">
        <v>1874</v>
      </c>
      <c r="J432" s="632" t="s">
        <v>1875</v>
      </c>
      <c r="K432" s="632" t="s">
        <v>1876</v>
      </c>
      <c r="L432" s="634">
        <v>649.85000966209793</v>
      </c>
      <c r="M432" s="634">
        <v>19</v>
      </c>
      <c r="N432" s="635">
        <v>12347.150183579861</v>
      </c>
    </row>
    <row r="433" spans="1:14" ht="14.4" customHeight="1" x14ac:dyDescent="0.3">
      <c r="A433" s="630" t="s">
        <v>545</v>
      </c>
      <c r="B433" s="631" t="s">
        <v>1978</v>
      </c>
      <c r="C433" s="632" t="s">
        <v>558</v>
      </c>
      <c r="D433" s="633" t="s">
        <v>1981</v>
      </c>
      <c r="E433" s="632" t="s">
        <v>573</v>
      </c>
      <c r="F433" s="633" t="s">
        <v>1985</v>
      </c>
      <c r="G433" s="632" t="s">
        <v>574</v>
      </c>
      <c r="H433" s="632" t="s">
        <v>1307</v>
      </c>
      <c r="I433" s="632" t="s">
        <v>1307</v>
      </c>
      <c r="J433" s="632" t="s">
        <v>1308</v>
      </c>
      <c r="K433" s="632" t="s">
        <v>1309</v>
      </c>
      <c r="L433" s="634">
        <v>801.54972222222227</v>
      </c>
      <c r="M433" s="634">
        <v>18</v>
      </c>
      <c r="N433" s="635">
        <v>14427.895</v>
      </c>
    </row>
    <row r="434" spans="1:14" ht="14.4" customHeight="1" x14ac:dyDescent="0.3">
      <c r="A434" s="630" t="s">
        <v>545</v>
      </c>
      <c r="B434" s="631" t="s">
        <v>1978</v>
      </c>
      <c r="C434" s="632" t="s">
        <v>558</v>
      </c>
      <c r="D434" s="633" t="s">
        <v>1981</v>
      </c>
      <c r="E434" s="632" t="s">
        <v>573</v>
      </c>
      <c r="F434" s="633" t="s">
        <v>1985</v>
      </c>
      <c r="G434" s="632" t="s">
        <v>574</v>
      </c>
      <c r="H434" s="632" t="s">
        <v>1310</v>
      </c>
      <c r="I434" s="632" t="s">
        <v>1311</v>
      </c>
      <c r="J434" s="632" t="s">
        <v>1312</v>
      </c>
      <c r="K434" s="632" t="s">
        <v>1313</v>
      </c>
      <c r="L434" s="634">
        <v>563.89889977084056</v>
      </c>
      <c r="M434" s="634">
        <v>3</v>
      </c>
      <c r="N434" s="635">
        <v>1691.6966993125216</v>
      </c>
    </row>
    <row r="435" spans="1:14" ht="14.4" customHeight="1" x14ac:dyDescent="0.3">
      <c r="A435" s="630" t="s">
        <v>545</v>
      </c>
      <c r="B435" s="631" t="s">
        <v>1978</v>
      </c>
      <c r="C435" s="632" t="s">
        <v>558</v>
      </c>
      <c r="D435" s="633" t="s">
        <v>1981</v>
      </c>
      <c r="E435" s="632" t="s">
        <v>573</v>
      </c>
      <c r="F435" s="633" t="s">
        <v>1985</v>
      </c>
      <c r="G435" s="632" t="s">
        <v>574</v>
      </c>
      <c r="H435" s="632" t="s">
        <v>1877</v>
      </c>
      <c r="I435" s="632" t="s">
        <v>1878</v>
      </c>
      <c r="J435" s="632" t="s">
        <v>1879</v>
      </c>
      <c r="K435" s="632" t="s">
        <v>1880</v>
      </c>
      <c r="L435" s="634">
        <v>613.96234005132897</v>
      </c>
      <c r="M435" s="634">
        <v>26</v>
      </c>
      <c r="N435" s="635">
        <v>15963.020841334554</v>
      </c>
    </row>
    <row r="436" spans="1:14" ht="14.4" customHeight="1" x14ac:dyDescent="0.3">
      <c r="A436" s="630" t="s">
        <v>545</v>
      </c>
      <c r="B436" s="631" t="s">
        <v>1978</v>
      </c>
      <c r="C436" s="632" t="s">
        <v>558</v>
      </c>
      <c r="D436" s="633" t="s">
        <v>1981</v>
      </c>
      <c r="E436" s="632" t="s">
        <v>573</v>
      </c>
      <c r="F436" s="633" t="s">
        <v>1985</v>
      </c>
      <c r="G436" s="632" t="s">
        <v>574</v>
      </c>
      <c r="H436" s="632" t="s">
        <v>1344</v>
      </c>
      <c r="I436" s="632" t="s">
        <v>238</v>
      </c>
      <c r="J436" s="632" t="s">
        <v>1345</v>
      </c>
      <c r="K436" s="632" t="s">
        <v>1346</v>
      </c>
      <c r="L436" s="634">
        <v>60.789261050564775</v>
      </c>
      <c r="M436" s="634">
        <v>94</v>
      </c>
      <c r="N436" s="635">
        <v>5714.1905387530887</v>
      </c>
    </row>
    <row r="437" spans="1:14" ht="14.4" customHeight="1" x14ac:dyDescent="0.3">
      <c r="A437" s="630" t="s">
        <v>545</v>
      </c>
      <c r="B437" s="631" t="s">
        <v>1978</v>
      </c>
      <c r="C437" s="632" t="s">
        <v>558</v>
      </c>
      <c r="D437" s="633" t="s">
        <v>1981</v>
      </c>
      <c r="E437" s="632" t="s">
        <v>573</v>
      </c>
      <c r="F437" s="633" t="s">
        <v>1985</v>
      </c>
      <c r="G437" s="632" t="s">
        <v>574</v>
      </c>
      <c r="H437" s="632" t="s">
        <v>1354</v>
      </c>
      <c r="I437" s="632" t="s">
        <v>1355</v>
      </c>
      <c r="J437" s="632" t="s">
        <v>1356</v>
      </c>
      <c r="K437" s="632" t="s">
        <v>1357</v>
      </c>
      <c r="L437" s="634">
        <v>2242.5</v>
      </c>
      <c r="M437" s="634">
        <v>1</v>
      </c>
      <c r="N437" s="635">
        <v>2242.5</v>
      </c>
    </row>
    <row r="438" spans="1:14" ht="14.4" customHeight="1" x14ac:dyDescent="0.3">
      <c r="A438" s="630" t="s">
        <v>545</v>
      </c>
      <c r="B438" s="631" t="s">
        <v>1978</v>
      </c>
      <c r="C438" s="632" t="s">
        <v>558</v>
      </c>
      <c r="D438" s="633" t="s">
        <v>1981</v>
      </c>
      <c r="E438" s="632" t="s">
        <v>573</v>
      </c>
      <c r="F438" s="633" t="s">
        <v>1985</v>
      </c>
      <c r="G438" s="632" t="s">
        <v>574</v>
      </c>
      <c r="H438" s="632" t="s">
        <v>1358</v>
      </c>
      <c r="I438" s="632" t="s">
        <v>1359</v>
      </c>
      <c r="J438" s="632" t="s">
        <v>1360</v>
      </c>
      <c r="K438" s="632"/>
      <c r="L438" s="634">
        <v>671.04799999999989</v>
      </c>
      <c r="M438" s="634">
        <v>10</v>
      </c>
      <c r="N438" s="635">
        <v>6710.4799999999987</v>
      </c>
    </row>
    <row r="439" spans="1:14" ht="14.4" customHeight="1" x14ac:dyDescent="0.3">
      <c r="A439" s="630" t="s">
        <v>545</v>
      </c>
      <c r="B439" s="631" t="s">
        <v>1978</v>
      </c>
      <c r="C439" s="632" t="s">
        <v>558</v>
      </c>
      <c r="D439" s="633" t="s">
        <v>1981</v>
      </c>
      <c r="E439" s="632" t="s">
        <v>573</v>
      </c>
      <c r="F439" s="633" t="s">
        <v>1985</v>
      </c>
      <c r="G439" s="632" t="s">
        <v>574</v>
      </c>
      <c r="H439" s="632" t="s">
        <v>1881</v>
      </c>
      <c r="I439" s="632" t="s">
        <v>1882</v>
      </c>
      <c r="J439" s="632" t="s">
        <v>1883</v>
      </c>
      <c r="K439" s="632" t="s">
        <v>1884</v>
      </c>
      <c r="L439" s="634">
        <v>51.049914516190888</v>
      </c>
      <c r="M439" s="634">
        <v>2</v>
      </c>
      <c r="N439" s="635">
        <v>102.09982903238178</v>
      </c>
    </row>
    <row r="440" spans="1:14" ht="14.4" customHeight="1" x14ac:dyDescent="0.3">
      <c r="A440" s="630" t="s">
        <v>545</v>
      </c>
      <c r="B440" s="631" t="s">
        <v>1978</v>
      </c>
      <c r="C440" s="632" t="s">
        <v>558</v>
      </c>
      <c r="D440" s="633" t="s">
        <v>1981</v>
      </c>
      <c r="E440" s="632" t="s">
        <v>573</v>
      </c>
      <c r="F440" s="633" t="s">
        <v>1985</v>
      </c>
      <c r="G440" s="632" t="s">
        <v>574</v>
      </c>
      <c r="H440" s="632" t="s">
        <v>1885</v>
      </c>
      <c r="I440" s="632" t="s">
        <v>1885</v>
      </c>
      <c r="J440" s="632" t="s">
        <v>1886</v>
      </c>
      <c r="K440" s="632" t="s">
        <v>1887</v>
      </c>
      <c r="L440" s="634">
        <v>93.074361167858186</v>
      </c>
      <c r="M440" s="634">
        <v>70</v>
      </c>
      <c r="N440" s="635">
        <v>6515.2052817500726</v>
      </c>
    </row>
    <row r="441" spans="1:14" ht="14.4" customHeight="1" x14ac:dyDescent="0.3">
      <c r="A441" s="630" t="s">
        <v>545</v>
      </c>
      <c r="B441" s="631" t="s">
        <v>1978</v>
      </c>
      <c r="C441" s="632" t="s">
        <v>558</v>
      </c>
      <c r="D441" s="633" t="s">
        <v>1981</v>
      </c>
      <c r="E441" s="632" t="s">
        <v>573</v>
      </c>
      <c r="F441" s="633" t="s">
        <v>1985</v>
      </c>
      <c r="G441" s="632" t="s">
        <v>574</v>
      </c>
      <c r="H441" s="632" t="s">
        <v>1888</v>
      </c>
      <c r="I441" s="632" t="s">
        <v>1889</v>
      </c>
      <c r="J441" s="632" t="s">
        <v>1890</v>
      </c>
      <c r="K441" s="632" t="s">
        <v>1108</v>
      </c>
      <c r="L441" s="634">
        <v>152.87307932471398</v>
      </c>
      <c r="M441" s="634">
        <v>130</v>
      </c>
      <c r="N441" s="635">
        <v>19873.500312212818</v>
      </c>
    </row>
    <row r="442" spans="1:14" ht="14.4" customHeight="1" x14ac:dyDescent="0.3">
      <c r="A442" s="630" t="s">
        <v>545</v>
      </c>
      <c r="B442" s="631" t="s">
        <v>1978</v>
      </c>
      <c r="C442" s="632" t="s">
        <v>558</v>
      </c>
      <c r="D442" s="633" t="s">
        <v>1981</v>
      </c>
      <c r="E442" s="632" t="s">
        <v>573</v>
      </c>
      <c r="F442" s="633" t="s">
        <v>1985</v>
      </c>
      <c r="G442" s="632" t="s">
        <v>574</v>
      </c>
      <c r="H442" s="632" t="s">
        <v>1891</v>
      </c>
      <c r="I442" s="632" t="s">
        <v>1892</v>
      </c>
      <c r="J442" s="632" t="s">
        <v>1893</v>
      </c>
      <c r="K442" s="632" t="s">
        <v>1894</v>
      </c>
      <c r="L442" s="634">
        <v>781.06612610812761</v>
      </c>
      <c r="M442" s="634">
        <v>16</v>
      </c>
      <c r="N442" s="635">
        <v>12497.058017730042</v>
      </c>
    </row>
    <row r="443" spans="1:14" ht="14.4" customHeight="1" x14ac:dyDescent="0.3">
      <c r="A443" s="630" t="s">
        <v>545</v>
      </c>
      <c r="B443" s="631" t="s">
        <v>1978</v>
      </c>
      <c r="C443" s="632" t="s">
        <v>558</v>
      </c>
      <c r="D443" s="633" t="s">
        <v>1981</v>
      </c>
      <c r="E443" s="632" t="s">
        <v>573</v>
      </c>
      <c r="F443" s="633" t="s">
        <v>1985</v>
      </c>
      <c r="G443" s="632" t="s">
        <v>574</v>
      </c>
      <c r="H443" s="632" t="s">
        <v>1895</v>
      </c>
      <c r="I443" s="632" t="s">
        <v>1896</v>
      </c>
      <c r="J443" s="632" t="s">
        <v>1897</v>
      </c>
      <c r="K443" s="632" t="s">
        <v>1898</v>
      </c>
      <c r="L443" s="634">
        <v>580.47000000000014</v>
      </c>
      <c r="M443" s="634">
        <v>3</v>
      </c>
      <c r="N443" s="635">
        <v>1741.4100000000003</v>
      </c>
    </row>
    <row r="444" spans="1:14" ht="14.4" customHeight="1" x14ac:dyDescent="0.3">
      <c r="A444" s="630" t="s">
        <v>545</v>
      </c>
      <c r="B444" s="631" t="s">
        <v>1978</v>
      </c>
      <c r="C444" s="632" t="s">
        <v>558</v>
      </c>
      <c r="D444" s="633" t="s">
        <v>1981</v>
      </c>
      <c r="E444" s="632" t="s">
        <v>573</v>
      </c>
      <c r="F444" s="633" t="s">
        <v>1985</v>
      </c>
      <c r="G444" s="632" t="s">
        <v>574</v>
      </c>
      <c r="H444" s="632" t="s">
        <v>1899</v>
      </c>
      <c r="I444" s="632" t="s">
        <v>1900</v>
      </c>
      <c r="J444" s="632" t="s">
        <v>1901</v>
      </c>
      <c r="K444" s="632" t="s">
        <v>1902</v>
      </c>
      <c r="L444" s="634">
        <v>88.323093315915159</v>
      </c>
      <c r="M444" s="634">
        <v>33</v>
      </c>
      <c r="N444" s="635">
        <v>2914.6620794252003</v>
      </c>
    </row>
    <row r="445" spans="1:14" ht="14.4" customHeight="1" x14ac:dyDescent="0.3">
      <c r="A445" s="630" t="s">
        <v>545</v>
      </c>
      <c r="B445" s="631" t="s">
        <v>1978</v>
      </c>
      <c r="C445" s="632" t="s">
        <v>558</v>
      </c>
      <c r="D445" s="633" t="s">
        <v>1981</v>
      </c>
      <c r="E445" s="632" t="s">
        <v>573</v>
      </c>
      <c r="F445" s="633" t="s">
        <v>1985</v>
      </c>
      <c r="G445" s="632" t="s">
        <v>574</v>
      </c>
      <c r="H445" s="632" t="s">
        <v>1903</v>
      </c>
      <c r="I445" s="632" t="s">
        <v>1904</v>
      </c>
      <c r="J445" s="632" t="s">
        <v>1905</v>
      </c>
      <c r="K445" s="632" t="s">
        <v>1906</v>
      </c>
      <c r="L445" s="634">
        <v>65.083989440056058</v>
      </c>
      <c r="M445" s="634">
        <v>15</v>
      </c>
      <c r="N445" s="635">
        <v>976.2598416008409</v>
      </c>
    </row>
    <row r="446" spans="1:14" ht="14.4" customHeight="1" x14ac:dyDescent="0.3">
      <c r="A446" s="630" t="s">
        <v>545</v>
      </c>
      <c r="B446" s="631" t="s">
        <v>1978</v>
      </c>
      <c r="C446" s="632" t="s">
        <v>558</v>
      </c>
      <c r="D446" s="633" t="s">
        <v>1981</v>
      </c>
      <c r="E446" s="632" t="s">
        <v>573</v>
      </c>
      <c r="F446" s="633" t="s">
        <v>1985</v>
      </c>
      <c r="G446" s="632" t="s">
        <v>574</v>
      </c>
      <c r="H446" s="632" t="s">
        <v>1907</v>
      </c>
      <c r="I446" s="632" t="s">
        <v>238</v>
      </c>
      <c r="J446" s="632" t="s">
        <v>1908</v>
      </c>
      <c r="K446" s="632"/>
      <c r="L446" s="634">
        <v>420.05714285714288</v>
      </c>
      <c r="M446" s="634">
        <v>35</v>
      </c>
      <c r="N446" s="635">
        <v>14702</v>
      </c>
    </row>
    <row r="447" spans="1:14" ht="14.4" customHeight="1" x14ac:dyDescent="0.3">
      <c r="A447" s="630" t="s">
        <v>545</v>
      </c>
      <c r="B447" s="631" t="s">
        <v>1978</v>
      </c>
      <c r="C447" s="632" t="s">
        <v>558</v>
      </c>
      <c r="D447" s="633" t="s">
        <v>1981</v>
      </c>
      <c r="E447" s="632" t="s">
        <v>573</v>
      </c>
      <c r="F447" s="633" t="s">
        <v>1985</v>
      </c>
      <c r="G447" s="632" t="s">
        <v>574</v>
      </c>
      <c r="H447" s="632" t="s">
        <v>1909</v>
      </c>
      <c r="I447" s="632" t="s">
        <v>238</v>
      </c>
      <c r="J447" s="632" t="s">
        <v>1910</v>
      </c>
      <c r="K447" s="632" t="s">
        <v>1911</v>
      </c>
      <c r="L447" s="634">
        <v>63.799730121779909</v>
      </c>
      <c r="M447" s="634">
        <v>40</v>
      </c>
      <c r="N447" s="635">
        <v>2551.9892048711963</v>
      </c>
    </row>
    <row r="448" spans="1:14" ht="14.4" customHeight="1" x14ac:dyDescent="0.3">
      <c r="A448" s="630" t="s">
        <v>545</v>
      </c>
      <c r="B448" s="631" t="s">
        <v>1978</v>
      </c>
      <c r="C448" s="632" t="s">
        <v>558</v>
      </c>
      <c r="D448" s="633" t="s">
        <v>1981</v>
      </c>
      <c r="E448" s="632" t="s">
        <v>573</v>
      </c>
      <c r="F448" s="633" t="s">
        <v>1985</v>
      </c>
      <c r="G448" s="632" t="s">
        <v>574</v>
      </c>
      <c r="H448" s="632" t="s">
        <v>1912</v>
      </c>
      <c r="I448" s="632" t="s">
        <v>1913</v>
      </c>
      <c r="J448" s="632" t="s">
        <v>1914</v>
      </c>
      <c r="K448" s="632" t="s">
        <v>1915</v>
      </c>
      <c r="L448" s="634">
        <v>499.99699999999996</v>
      </c>
      <c r="M448" s="634">
        <v>45</v>
      </c>
      <c r="N448" s="635">
        <v>22499.864999999998</v>
      </c>
    </row>
    <row r="449" spans="1:14" ht="14.4" customHeight="1" x14ac:dyDescent="0.3">
      <c r="A449" s="630" t="s">
        <v>545</v>
      </c>
      <c r="B449" s="631" t="s">
        <v>1978</v>
      </c>
      <c r="C449" s="632" t="s">
        <v>558</v>
      </c>
      <c r="D449" s="633" t="s">
        <v>1981</v>
      </c>
      <c r="E449" s="632" t="s">
        <v>573</v>
      </c>
      <c r="F449" s="633" t="s">
        <v>1985</v>
      </c>
      <c r="G449" s="632" t="s">
        <v>574</v>
      </c>
      <c r="H449" s="632" t="s">
        <v>1364</v>
      </c>
      <c r="I449" s="632" t="s">
        <v>1365</v>
      </c>
      <c r="J449" s="632" t="s">
        <v>1366</v>
      </c>
      <c r="K449" s="632" t="s">
        <v>1367</v>
      </c>
      <c r="L449" s="634">
        <v>767.68096770165016</v>
      </c>
      <c r="M449" s="634">
        <v>5</v>
      </c>
      <c r="N449" s="635">
        <v>3838.4048385082506</v>
      </c>
    </row>
    <row r="450" spans="1:14" ht="14.4" customHeight="1" x14ac:dyDescent="0.3">
      <c r="A450" s="630" t="s">
        <v>545</v>
      </c>
      <c r="B450" s="631" t="s">
        <v>1978</v>
      </c>
      <c r="C450" s="632" t="s">
        <v>558</v>
      </c>
      <c r="D450" s="633" t="s">
        <v>1981</v>
      </c>
      <c r="E450" s="632" t="s">
        <v>573</v>
      </c>
      <c r="F450" s="633" t="s">
        <v>1985</v>
      </c>
      <c r="G450" s="632" t="s">
        <v>574</v>
      </c>
      <c r="H450" s="632" t="s">
        <v>1393</v>
      </c>
      <c r="I450" s="632" t="s">
        <v>1393</v>
      </c>
      <c r="J450" s="632" t="s">
        <v>1394</v>
      </c>
      <c r="K450" s="632" t="s">
        <v>1079</v>
      </c>
      <c r="L450" s="634">
        <v>379.11000000000018</v>
      </c>
      <c r="M450" s="634">
        <v>58</v>
      </c>
      <c r="N450" s="635">
        <v>21988.380000000012</v>
      </c>
    </row>
    <row r="451" spans="1:14" ht="14.4" customHeight="1" x14ac:dyDescent="0.3">
      <c r="A451" s="630" t="s">
        <v>545</v>
      </c>
      <c r="B451" s="631" t="s">
        <v>1978</v>
      </c>
      <c r="C451" s="632" t="s">
        <v>558</v>
      </c>
      <c r="D451" s="633" t="s">
        <v>1981</v>
      </c>
      <c r="E451" s="632" t="s">
        <v>573</v>
      </c>
      <c r="F451" s="633" t="s">
        <v>1985</v>
      </c>
      <c r="G451" s="632" t="s">
        <v>574</v>
      </c>
      <c r="H451" s="632" t="s">
        <v>1916</v>
      </c>
      <c r="I451" s="632" t="s">
        <v>1917</v>
      </c>
      <c r="J451" s="632" t="s">
        <v>1918</v>
      </c>
      <c r="K451" s="632" t="s">
        <v>1919</v>
      </c>
      <c r="L451" s="634">
        <v>724.5</v>
      </c>
      <c r="M451" s="634">
        <v>1</v>
      </c>
      <c r="N451" s="635">
        <v>724.5</v>
      </c>
    </row>
    <row r="452" spans="1:14" ht="14.4" customHeight="1" x14ac:dyDescent="0.3">
      <c r="A452" s="630" t="s">
        <v>545</v>
      </c>
      <c r="B452" s="631" t="s">
        <v>1978</v>
      </c>
      <c r="C452" s="632" t="s">
        <v>558</v>
      </c>
      <c r="D452" s="633" t="s">
        <v>1981</v>
      </c>
      <c r="E452" s="632" t="s">
        <v>573</v>
      </c>
      <c r="F452" s="633" t="s">
        <v>1985</v>
      </c>
      <c r="G452" s="632" t="s">
        <v>574</v>
      </c>
      <c r="H452" s="632" t="s">
        <v>1920</v>
      </c>
      <c r="I452" s="632" t="s">
        <v>1920</v>
      </c>
      <c r="J452" s="632" t="s">
        <v>1204</v>
      </c>
      <c r="K452" s="632" t="s">
        <v>1921</v>
      </c>
      <c r="L452" s="634">
        <v>285.01660000000004</v>
      </c>
      <c r="M452" s="634">
        <v>4</v>
      </c>
      <c r="N452" s="635">
        <v>1140.0664000000002</v>
      </c>
    </row>
    <row r="453" spans="1:14" ht="14.4" customHeight="1" x14ac:dyDescent="0.3">
      <c r="A453" s="630" t="s">
        <v>545</v>
      </c>
      <c r="B453" s="631" t="s">
        <v>1978</v>
      </c>
      <c r="C453" s="632" t="s">
        <v>558</v>
      </c>
      <c r="D453" s="633" t="s">
        <v>1981</v>
      </c>
      <c r="E453" s="632" t="s">
        <v>573</v>
      </c>
      <c r="F453" s="633" t="s">
        <v>1985</v>
      </c>
      <c r="G453" s="632" t="s">
        <v>1438</v>
      </c>
      <c r="H453" s="632" t="s">
        <v>1922</v>
      </c>
      <c r="I453" s="632" t="s">
        <v>1923</v>
      </c>
      <c r="J453" s="632" t="s">
        <v>1491</v>
      </c>
      <c r="K453" s="632" t="s">
        <v>1924</v>
      </c>
      <c r="L453" s="634">
        <v>144.52996477693426</v>
      </c>
      <c r="M453" s="634">
        <v>51</v>
      </c>
      <c r="N453" s="635">
        <v>7371.0282036236476</v>
      </c>
    </row>
    <row r="454" spans="1:14" ht="14.4" customHeight="1" x14ac:dyDescent="0.3">
      <c r="A454" s="630" t="s">
        <v>545</v>
      </c>
      <c r="B454" s="631" t="s">
        <v>1978</v>
      </c>
      <c r="C454" s="632" t="s">
        <v>558</v>
      </c>
      <c r="D454" s="633" t="s">
        <v>1981</v>
      </c>
      <c r="E454" s="632" t="s">
        <v>573</v>
      </c>
      <c r="F454" s="633" t="s">
        <v>1985</v>
      </c>
      <c r="G454" s="632" t="s">
        <v>1438</v>
      </c>
      <c r="H454" s="632" t="s">
        <v>1467</v>
      </c>
      <c r="I454" s="632" t="s">
        <v>1468</v>
      </c>
      <c r="J454" s="632" t="s">
        <v>1449</v>
      </c>
      <c r="K454" s="632" t="s">
        <v>1469</v>
      </c>
      <c r="L454" s="634">
        <v>135.21000000000004</v>
      </c>
      <c r="M454" s="634">
        <v>2</v>
      </c>
      <c r="N454" s="635">
        <v>270.42000000000007</v>
      </c>
    </row>
    <row r="455" spans="1:14" ht="14.4" customHeight="1" x14ac:dyDescent="0.3">
      <c r="A455" s="630" t="s">
        <v>545</v>
      </c>
      <c r="B455" s="631" t="s">
        <v>1978</v>
      </c>
      <c r="C455" s="632" t="s">
        <v>558</v>
      </c>
      <c r="D455" s="633" t="s">
        <v>1981</v>
      </c>
      <c r="E455" s="632" t="s">
        <v>573</v>
      </c>
      <c r="F455" s="633" t="s">
        <v>1985</v>
      </c>
      <c r="G455" s="632" t="s">
        <v>1438</v>
      </c>
      <c r="H455" s="632" t="s">
        <v>1925</v>
      </c>
      <c r="I455" s="632" t="s">
        <v>1926</v>
      </c>
      <c r="J455" s="632" t="s">
        <v>1927</v>
      </c>
      <c r="K455" s="632" t="s">
        <v>1928</v>
      </c>
      <c r="L455" s="634">
        <v>52.809791151556745</v>
      </c>
      <c r="M455" s="634">
        <v>3</v>
      </c>
      <c r="N455" s="635">
        <v>158.42937345467024</v>
      </c>
    </row>
    <row r="456" spans="1:14" ht="14.4" customHeight="1" x14ac:dyDescent="0.3">
      <c r="A456" s="630" t="s">
        <v>545</v>
      </c>
      <c r="B456" s="631" t="s">
        <v>1978</v>
      </c>
      <c r="C456" s="632" t="s">
        <v>558</v>
      </c>
      <c r="D456" s="633" t="s">
        <v>1981</v>
      </c>
      <c r="E456" s="632" t="s">
        <v>573</v>
      </c>
      <c r="F456" s="633" t="s">
        <v>1985</v>
      </c>
      <c r="G456" s="632" t="s">
        <v>1438</v>
      </c>
      <c r="H456" s="632" t="s">
        <v>1929</v>
      </c>
      <c r="I456" s="632" t="s">
        <v>1930</v>
      </c>
      <c r="J456" s="632" t="s">
        <v>1487</v>
      </c>
      <c r="K456" s="632" t="s">
        <v>1931</v>
      </c>
      <c r="L456" s="634">
        <v>266.34999211346866</v>
      </c>
      <c r="M456" s="634">
        <v>72</v>
      </c>
      <c r="N456" s="635">
        <v>19177.199432169742</v>
      </c>
    </row>
    <row r="457" spans="1:14" ht="14.4" customHeight="1" x14ac:dyDescent="0.3">
      <c r="A457" s="630" t="s">
        <v>545</v>
      </c>
      <c r="B457" s="631" t="s">
        <v>1978</v>
      </c>
      <c r="C457" s="632" t="s">
        <v>558</v>
      </c>
      <c r="D457" s="633" t="s">
        <v>1981</v>
      </c>
      <c r="E457" s="632" t="s">
        <v>573</v>
      </c>
      <c r="F457" s="633" t="s">
        <v>1985</v>
      </c>
      <c r="G457" s="632" t="s">
        <v>1438</v>
      </c>
      <c r="H457" s="632" t="s">
        <v>1485</v>
      </c>
      <c r="I457" s="632" t="s">
        <v>1486</v>
      </c>
      <c r="J457" s="632" t="s">
        <v>1487</v>
      </c>
      <c r="K457" s="632" t="s">
        <v>1488</v>
      </c>
      <c r="L457" s="634">
        <v>890.09993514228427</v>
      </c>
      <c r="M457" s="634">
        <v>77</v>
      </c>
      <c r="N457" s="635">
        <v>68537.695005955888</v>
      </c>
    </row>
    <row r="458" spans="1:14" ht="14.4" customHeight="1" x14ac:dyDescent="0.3">
      <c r="A458" s="630" t="s">
        <v>545</v>
      </c>
      <c r="B458" s="631" t="s">
        <v>1978</v>
      </c>
      <c r="C458" s="632" t="s">
        <v>558</v>
      </c>
      <c r="D458" s="633" t="s">
        <v>1981</v>
      </c>
      <c r="E458" s="632" t="s">
        <v>573</v>
      </c>
      <c r="F458" s="633" t="s">
        <v>1985</v>
      </c>
      <c r="G458" s="632" t="s">
        <v>1438</v>
      </c>
      <c r="H458" s="632" t="s">
        <v>1493</v>
      </c>
      <c r="I458" s="632" t="s">
        <v>1494</v>
      </c>
      <c r="J458" s="632" t="s">
        <v>1495</v>
      </c>
      <c r="K458" s="632" t="s">
        <v>1496</v>
      </c>
      <c r="L458" s="634">
        <v>139.67000967756948</v>
      </c>
      <c r="M458" s="634">
        <v>64</v>
      </c>
      <c r="N458" s="635">
        <v>8938.8806193644468</v>
      </c>
    </row>
    <row r="459" spans="1:14" ht="14.4" customHeight="1" x14ac:dyDescent="0.3">
      <c r="A459" s="630" t="s">
        <v>545</v>
      </c>
      <c r="B459" s="631" t="s">
        <v>1978</v>
      </c>
      <c r="C459" s="632" t="s">
        <v>558</v>
      </c>
      <c r="D459" s="633" t="s">
        <v>1981</v>
      </c>
      <c r="E459" s="632" t="s">
        <v>573</v>
      </c>
      <c r="F459" s="633" t="s">
        <v>1985</v>
      </c>
      <c r="G459" s="632" t="s">
        <v>1438</v>
      </c>
      <c r="H459" s="632" t="s">
        <v>1508</v>
      </c>
      <c r="I459" s="632" t="s">
        <v>1509</v>
      </c>
      <c r="J459" s="632" t="s">
        <v>1495</v>
      </c>
      <c r="K459" s="632" t="s">
        <v>1510</v>
      </c>
      <c r="L459" s="634">
        <v>177.96997861285413</v>
      </c>
      <c r="M459" s="634">
        <v>36</v>
      </c>
      <c r="N459" s="635">
        <v>6406.9192300627492</v>
      </c>
    </row>
    <row r="460" spans="1:14" ht="14.4" customHeight="1" x14ac:dyDescent="0.3">
      <c r="A460" s="630" t="s">
        <v>545</v>
      </c>
      <c r="B460" s="631" t="s">
        <v>1978</v>
      </c>
      <c r="C460" s="632" t="s">
        <v>558</v>
      </c>
      <c r="D460" s="633" t="s">
        <v>1981</v>
      </c>
      <c r="E460" s="632" t="s">
        <v>573</v>
      </c>
      <c r="F460" s="633" t="s">
        <v>1985</v>
      </c>
      <c r="G460" s="632" t="s">
        <v>1438</v>
      </c>
      <c r="H460" s="632" t="s">
        <v>1511</v>
      </c>
      <c r="I460" s="632" t="s">
        <v>1512</v>
      </c>
      <c r="J460" s="632" t="s">
        <v>1513</v>
      </c>
      <c r="K460" s="632" t="s">
        <v>1514</v>
      </c>
      <c r="L460" s="634">
        <v>192.28002532200759</v>
      </c>
      <c r="M460" s="634">
        <v>960</v>
      </c>
      <c r="N460" s="635">
        <v>184588.82430912729</v>
      </c>
    </row>
    <row r="461" spans="1:14" ht="14.4" customHeight="1" x14ac:dyDescent="0.3">
      <c r="A461" s="630" t="s">
        <v>545</v>
      </c>
      <c r="B461" s="631" t="s">
        <v>1978</v>
      </c>
      <c r="C461" s="632" t="s">
        <v>558</v>
      </c>
      <c r="D461" s="633" t="s">
        <v>1981</v>
      </c>
      <c r="E461" s="632" t="s">
        <v>573</v>
      </c>
      <c r="F461" s="633" t="s">
        <v>1985</v>
      </c>
      <c r="G461" s="632" t="s">
        <v>1438</v>
      </c>
      <c r="H461" s="632" t="s">
        <v>1932</v>
      </c>
      <c r="I461" s="632" t="s">
        <v>1933</v>
      </c>
      <c r="J461" s="632" t="s">
        <v>1934</v>
      </c>
      <c r="K461" s="632" t="s">
        <v>1935</v>
      </c>
      <c r="L461" s="634">
        <v>83.880157740519238</v>
      </c>
      <c r="M461" s="634">
        <v>200</v>
      </c>
      <c r="N461" s="635">
        <v>16776.031548103849</v>
      </c>
    </row>
    <row r="462" spans="1:14" ht="14.4" customHeight="1" x14ac:dyDescent="0.3">
      <c r="A462" s="630" t="s">
        <v>545</v>
      </c>
      <c r="B462" s="631" t="s">
        <v>1978</v>
      </c>
      <c r="C462" s="632" t="s">
        <v>558</v>
      </c>
      <c r="D462" s="633" t="s">
        <v>1981</v>
      </c>
      <c r="E462" s="632" t="s">
        <v>573</v>
      </c>
      <c r="F462" s="633" t="s">
        <v>1985</v>
      </c>
      <c r="G462" s="632" t="s">
        <v>1438</v>
      </c>
      <c r="H462" s="632" t="s">
        <v>1936</v>
      </c>
      <c r="I462" s="632" t="s">
        <v>1937</v>
      </c>
      <c r="J462" s="632" t="s">
        <v>1938</v>
      </c>
      <c r="K462" s="632" t="s">
        <v>1939</v>
      </c>
      <c r="L462" s="634">
        <v>134.27000000000001</v>
      </c>
      <c r="M462" s="634">
        <v>1</v>
      </c>
      <c r="N462" s="635">
        <v>134.27000000000001</v>
      </c>
    </row>
    <row r="463" spans="1:14" ht="14.4" customHeight="1" x14ac:dyDescent="0.3">
      <c r="A463" s="630" t="s">
        <v>545</v>
      </c>
      <c r="B463" s="631" t="s">
        <v>1978</v>
      </c>
      <c r="C463" s="632" t="s">
        <v>558</v>
      </c>
      <c r="D463" s="633" t="s">
        <v>1981</v>
      </c>
      <c r="E463" s="632" t="s">
        <v>573</v>
      </c>
      <c r="F463" s="633" t="s">
        <v>1985</v>
      </c>
      <c r="G463" s="632" t="s">
        <v>1438</v>
      </c>
      <c r="H463" s="632" t="s">
        <v>1940</v>
      </c>
      <c r="I463" s="632" t="s">
        <v>1941</v>
      </c>
      <c r="J463" s="632" t="s">
        <v>1938</v>
      </c>
      <c r="K463" s="632" t="s">
        <v>1942</v>
      </c>
      <c r="L463" s="634">
        <v>561.9093869061204</v>
      </c>
      <c r="M463" s="634">
        <v>3</v>
      </c>
      <c r="N463" s="635">
        <v>1685.7281607183611</v>
      </c>
    </row>
    <row r="464" spans="1:14" ht="14.4" customHeight="1" x14ac:dyDescent="0.3">
      <c r="A464" s="630" t="s">
        <v>545</v>
      </c>
      <c r="B464" s="631" t="s">
        <v>1978</v>
      </c>
      <c r="C464" s="632" t="s">
        <v>558</v>
      </c>
      <c r="D464" s="633" t="s">
        <v>1981</v>
      </c>
      <c r="E464" s="632" t="s">
        <v>573</v>
      </c>
      <c r="F464" s="633" t="s">
        <v>1985</v>
      </c>
      <c r="G464" s="632" t="s">
        <v>1438</v>
      </c>
      <c r="H464" s="632" t="s">
        <v>1531</v>
      </c>
      <c r="I464" s="632" t="s">
        <v>1532</v>
      </c>
      <c r="J464" s="632" t="s">
        <v>1533</v>
      </c>
      <c r="K464" s="632" t="s">
        <v>1534</v>
      </c>
      <c r="L464" s="634">
        <v>337.43087398716364</v>
      </c>
      <c r="M464" s="634">
        <v>4</v>
      </c>
      <c r="N464" s="635">
        <v>1349.7234959486545</v>
      </c>
    </row>
    <row r="465" spans="1:14" ht="14.4" customHeight="1" x14ac:dyDescent="0.3">
      <c r="A465" s="630" t="s">
        <v>545</v>
      </c>
      <c r="B465" s="631" t="s">
        <v>1978</v>
      </c>
      <c r="C465" s="632" t="s">
        <v>558</v>
      </c>
      <c r="D465" s="633" t="s">
        <v>1981</v>
      </c>
      <c r="E465" s="632" t="s">
        <v>573</v>
      </c>
      <c r="F465" s="633" t="s">
        <v>1985</v>
      </c>
      <c r="G465" s="632" t="s">
        <v>1438</v>
      </c>
      <c r="H465" s="632" t="s">
        <v>1943</v>
      </c>
      <c r="I465" s="632" t="s">
        <v>1943</v>
      </c>
      <c r="J465" s="632" t="s">
        <v>1944</v>
      </c>
      <c r="K465" s="632" t="s">
        <v>1945</v>
      </c>
      <c r="L465" s="634">
        <v>2806.71875</v>
      </c>
      <c r="M465" s="634">
        <v>144</v>
      </c>
      <c r="N465" s="635">
        <v>404167.5</v>
      </c>
    </row>
    <row r="466" spans="1:14" ht="14.4" customHeight="1" x14ac:dyDescent="0.3">
      <c r="A466" s="630" t="s">
        <v>545</v>
      </c>
      <c r="B466" s="631" t="s">
        <v>1978</v>
      </c>
      <c r="C466" s="632" t="s">
        <v>561</v>
      </c>
      <c r="D466" s="633" t="s">
        <v>1982</v>
      </c>
      <c r="E466" s="632" t="s">
        <v>573</v>
      </c>
      <c r="F466" s="633" t="s">
        <v>1985</v>
      </c>
      <c r="G466" s="632"/>
      <c r="H466" s="632" t="s">
        <v>1826</v>
      </c>
      <c r="I466" s="632" t="s">
        <v>1827</v>
      </c>
      <c r="J466" s="632" t="s">
        <v>1828</v>
      </c>
      <c r="K466" s="632" t="s">
        <v>1829</v>
      </c>
      <c r="L466" s="634">
        <v>227.87359011175585</v>
      </c>
      <c r="M466" s="634">
        <v>4</v>
      </c>
      <c r="N466" s="635">
        <v>911.49436044702338</v>
      </c>
    </row>
    <row r="467" spans="1:14" ht="14.4" customHeight="1" x14ac:dyDescent="0.3">
      <c r="A467" s="630" t="s">
        <v>545</v>
      </c>
      <c r="B467" s="631" t="s">
        <v>1978</v>
      </c>
      <c r="C467" s="632" t="s">
        <v>561</v>
      </c>
      <c r="D467" s="633" t="s">
        <v>1982</v>
      </c>
      <c r="E467" s="632" t="s">
        <v>573</v>
      </c>
      <c r="F467" s="633" t="s">
        <v>1985</v>
      </c>
      <c r="G467" s="632" t="s">
        <v>574</v>
      </c>
      <c r="H467" s="632" t="s">
        <v>632</v>
      </c>
      <c r="I467" s="632" t="s">
        <v>632</v>
      </c>
      <c r="J467" s="632" t="s">
        <v>630</v>
      </c>
      <c r="K467" s="632" t="s">
        <v>633</v>
      </c>
      <c r="L467" s="634">
        <v>232.29762190052605</v>
      </c>
      <c r="M467" s="634">
        <v>1</v>
      </c>
      <c r="N467" s="635">
        <v>232.29762190052605</v>
      </c>
    </row>
    <row r="468" spans="1:14" ht="14.4" customHeight="1" x14ac:dyDescent="0.3">
      <c r="A468" s="630" t="s">
        <v>545</v>
      </c>
      <c r="B468" s="631" t="s">
        <v>1978</v>
      </c>
      <c r="C468" s="632" t="s">
        <v>561</v>
      </c>
      <c r="D468" s="633" t="s">
        <v>1982</v>
      </c>
      <c r="E468" s="632" t="s">
        <v>573</v>
      </c>
      <c r="F468" s="633" t="s">
        <v>1985</v>
      </c>
      <c r="G468" s="632" t="s">
        <v>574</v>
      </c>
      <c r="H468" s="632" t="s">
        <v>634</v>
      </c>
      <c r="I468" s="632" t="s">
        <v>635</v>
      </c>
      <c r="J468" s="632" t="s">
        <v>636</v>
      </c>
      <c r="K468" s="632" t="s">
        <v>637</v>
      </c>
      <c r="L468" s="634">
        <v>84.886086956521737</v>
      </c>
      <c r="M468" s="634">
        <v>46</v>
      </c>
      <c r="N468" s="635">
        <v>3904.76</v>
      </c>
    </row>
    <row r="469" spans="1:14" ht="14.4" customHeight="1" x14ac:dyDescent="0.3">
      <c r="A469" s="630" t="s">
        <v>545</v>
      </c>
      <c r="B469" s="631" t="s">
        <v>1978</v>
      </c>
      <c r="C469" s="632" t="s">
        <v>561</v>
      </c>
      <c r="D469" s="633" t="s">
        <v>1982</v>
      </c>
      <c r="E469" s="632" t="s">
        <v>573</v>
      </c>
      <c r="F469" s="633" t="s">
        <v>1985</v>
      </c>
      <c r="G469" s="632" t="s">
        <v>574</v>
      </c>
      <c r="H469" s="632" t="s">
        <v>580</v>
      </c>
      <c r="I469" s="632" t="s">
        <v>581</v>
      </c>
      <c r="J469" s="632" t="s">
        <v>582</v>
      </c>
      <c r="K469" s="632" t="s">
        <v>583</v>
      </c>
      <c r="L469" s="634">
        <v>101.89997017733162</v>
      </c>
      <c r="M469" s="634">
        <v>10</v>
      </c>
      <c r="N469" s="635">
        <v>1018.9997017733162</v>
      </c>
    </row>
    <row r="470" spans="1:14" ht="14.4" customHeight="1" x14ac:dyDescent="0.3">
      <c r="A470" s="630" t="s">
        <v>545</v>
      </c>
      <c r="B470" s="631" t="s">
        <v>1978</v>
      </c>
      <c r="C470" s="632" t="s">
        <v>561</v>
      </c>
      <c r="D470" s="633" t="s">
        <v>1982</v>
      </c>
      <c r="E470" s="632" t="s">
        <v>573</v>
      </c>
      <c r="F470" s="633" t="s">
        <v>1985</v>
      </c>
      <c r="G470" s="632" t="s">
        <v>574</v>
      </c>
      <c r="H470" s="632" t="s">
        <v>641</v>
      </c>
      <c r="I470" s="632" t="s">
        <v>642</v>
      </c>
      <c r="J470" s="632" t="s">
        <v>643</v>
      </c>
      <c r="K470" s="632" t="s">
        <v>644</v>
      </c>
      <c r="L470" s="634">
        <v>170.25961511602469</v>
      </c>
      <c r="M470" s="634">
        <v>26</v>
      </c>
      <c r="N470" s="635">
        <v>4426.7499930166423</v>
      </c>
    </row>
    <row r="471" spans="1:14" ht="14.4" customHeight="1" x14ac:dyDescent="0.3">
      <c r="A471" s="630" t="s">
        <v>545</v>
      </c>
      <c r="B471" s="631" t="s">
        <v>1978</v>
      </c>
      <c r="C471" s="632" t="s">
        <v>561</v>
      </c>
      <c r="D471" s="633" t="s">
        <v>1982</v>
      </c>
      <c r="E471" s="632" t="s">
        <v>573</v>
      </c>
      <c r="F471" s="633" t="s">
        <v>1985</v>
      </c>
      <c r="G471" s="632" t="s">
        <v>574</v>
      </c>
      <c r="H471" s="632" t="s">
        <v>645</v>
      </c>
      <c r="I471" s="632" t="s">
        <v>646</v>
      </c>
      <c r="J471" s="632" t="s">
        <v>647</v>
      </c>
      <c r="K471" s="632" t="s">
        <v>648</v>
      </c>
      <c r="L471" s="634">
        <v>65.890451099184418</v>
      </c>
      <c r="M471" s="634">
        <v>31</v>
      </c>
      <c r="N471" s="635">
        <v>2042.6039840747171</v>
      </c>
    </row>
    <row r="472" spans="1:14" ht="14.4" customHeight="1" x14ac:dyDescent="0.3">
      <c r="A472" s="630" t="s">
        <v>545</v>
      </c>
      <c r="B472" s="631" t="s">
        <v>1978</v>
      </c>
      <c r="C472" s="632" t="s">
        <v>561</v>
      </c>
      <c r="D472" s="633" t="s">
        <v>1982</v>
      </c>
      <c r="E472" s="632" t="s">
        <v>573</v>
      </c>
      <c r="F472" s="633" t="s">
        <v>1985</v>
      </c>
      <c r="G472" s="632" t="s">
        <v>574</v>
      </c>
      <c r="H472" s="632" t="s">
        <v>664</v>
      </c>
      <c r="I472" s="632" t="s">
        <v>665</v>
      </c>
      <c r="J472" s="632" t="s">
        <v>666</v>
      </c>
      <c r="K472" s="632" t="s">
        <v>667</v>
      </c>
      <c r="L472" s="634">
        <v>28.750000000000004</v>
      </c>
      <c r="M472" s="634">
        <v>30</v>
      </c>
      <c r="N472" s="635">
        <v>862.50000000000011</v>
      </c>
    </row>
    <row r="473" spans="1:14" ht="14.4" customHeight="1" x14ac:dyDescent="0.3">
      <c r="A473" s="630" t="s">
        <v>545</v>
      </c>
      <c r="B473" s="631" t="s">
        <v>1978</v>
      </c>
      <c r="C473" s="632" t="s">
        <v>561</v>
      </c>
      <c r="D473" s="633" t="s">
        <v>1982</v>
      </c>
      <c r="E473" s="632" t="s">
        <v>573</v>
      </c>
      <c r="F473" s="633" t="s">
        <v>1985</v>
      </c>
      <c r="G473" s="632" t="s">
        <v>574</v>
      </c>
      <c r="H473" s="632" t="s">
        <v>687</v>
      </c>
      <c r="I473" s="632" t="s">
        <v>688</v>
      </c>
      <c r="J473" s="632" t="s">
        <v>689</v>
      </c>
      <c r="K473" s="632" t="s">
        <v>690</v>
      </c>
      <c r="L473" s="634">
        <v>60.350188193824799</v>
      </c>
      <c r="M473" s="634">
        <v>65</v>
      </c>
      <c r="N473" s="635">
        <v>3922.7622325986117</v>
      </c>
    </row>
    <row r="474" spans="1:14" ht="14.4" customHeight="1" x14ac:dyDescent="0.3">
      <c r="A474" s="630" t="s">
        <v>545</v>
      </c>
      <c r="B474" s="631" t="s">
        <v>1978</v>
      </c>
      <c r="C474" s="632" t="s">
        <v>561</v>
      </c>
      <c r="D474" s="633" t="s">
        <v>1982</v>
      </c>
      <c r="E474" s="632" t="s">
        <v>573</v>
      </c>
      <c r="F474" s="633" t="s">
        <v>1985</v>
      </c>
      <c r="G474" s="632" t="s">
        <v>574</v>
      </c>
      <c r="H474" s="632" t="s">
        <v>699</v>
      </c>
      <c r="I474" s="632" t="s">
        <v>700</v>
      </c>
      <c r="J474" s="632" t="s">
        <v>701</v>
      </c>
      <c r="K474" s="632" t="s">
        <v>702</v>
      </c>
      <c r="L474" s="634">
        <v>259.99999585242563</v>
      </c>
      <c r="M474" s="634">
        <v>289.60000000000002</v>
      </c>
      <c r="N474" s="635">
        <v>75295.998798862463</v>
      </c>
    </row>
    <row r="475" spans="1:14" ht="14.4" customHeight="1" x14ac:dyDescent="0.3">
      <c r="A475" s="630" t="s">
        <v>545</v>
      </c>
      <c r="B475" s="631" t="s">
        <v>1978</v>
      </c>
      <c r="C475" s="632" t="s">
        <v>561</v>
      </c>
      <c r="D475" s="633" t="s">
        <v>1982</v>
      </c>
      <c r="E475" s="632" t="s">
        <v>573</v>
      </c>
      <c r="F475" s="633" t="s">
        <v>1985</v>
      </c>
      <c r="G475" s="632" t="s">
        <v>574</v>
      </c>
      <c r="H475" s="632" t="s">
        <v>719</v>
      </c>
      <c r="I475" s="632" t="s">
        <v>719</v>
      </c>
      <c r="J475" s="632" t="s">
        <v>720</v>
      </c>
      <c r="K475" s="632" t="s">
        <v>721</v>
      </c>
      <c r="L475" s="634">
        <v>38.195326139219546</v>
      </c>
      <c r="M475" s="634">
        <v>210</v>
      </c>
      <c r="N475" s="635">
        <v>8021.018489236104</v>
      </c>
    </row>
    <row r="476" spans="1:14" ht="14.4" customHeight="1" x14ac:dyDescent="0.3">
      <c r="A476" s="630" t="s">
        <v>545</v>
      </c>
      <c r="B476" s="631" t="s">
        <v>1978</v>
      </c>
      <c r="C476" s="632" t="s">
        <v>561</v>
      </c>
      <c r="D476" s="633" t="s">
        <v>1982</v>
      </c>
      <c r="E476" s="632" t="s">
        <v>573</v>
      </c>
      <c r="F476" s="633" t="s">
        <v>1985</v>
      </c>
      <c r="G476" s="632" t="s">
        <v>574</v>
      </c>
      <c r="H476" s="632" t="s">
        <v>733</v>
      </c>
      <c r="I476" s="632" t="s">
        <v>734</v>
      </c>
      <c r="J476" s="632" t="s">
        <v>735</v>
      </c>
      <c r="K476" s="632" t="s">
        <v>736</v>
      </c>
      <c r="L476" s="634">
        <v>331.02745467145769</v>
      </c>
      <c r="M476" s="634">
        <v>2</v>
      </c>
      <c r="N476" s="635">
        <v>662.05490934291538</v>
      </c>
    </row>
    <row r="477" spans="1:14" ht="14.4" customHeight="1" x14ac:dyDescent="0.3">
      <c r="A477" s="630" t="s">
        <v>545</v>
      </c>
      <c r="B477" s="631" t="s">
        <v>1978</v>
      </c>
      <c r="C477" s="632" t="s">
        <v>561</v>
      </c>
      <c r="D477" s="633" t="s">
        <v>1982</v>
      </c>
      <c r="E477" s="632" t="s">
        <v>573</v>
      </c>
      <c r="F477" s="633" t="s">
        <v>1985</v>
      </c>
      <c r="G477" s="632" t="s">
        <v>574</v>
      </c>
      <c r="H477" s="632" t="s">
        <v>772</v>
      </c>
      <c r="I477" s="632" t="s">
        <v>773</v>
      </c>
      <c r="J477" s="632" t="s">
        <v>774</v>
      </c>
      <c r="K477" s="632" t="s">
        <v>775</v>
      </c>
      <c r="L477" s="634">
        <v>376.10067155187591</v>
      </c>
      <c r="M477" s="634">
        <v>10</v>
      </c>
      <c r="N477" s="635">
        <v>3761.0067155187589</v>
      </c>
    </row>
    <row r="478" spans="1:14" ht="14.4" customHeight="1" x14ac:dyDescent="0.3">
      <c r="A478" s="630" t="s">
        <v>545</v>
      </c>
      <c r="B478" s="631" t="s">
        <v>1978</v>
      </c>
      <c r="C478" s="632" t="s">
        <v>561</v>
      </c>
      <c r="D478" s="633" t="s">
        <v>1982</v>
      </c>
      <c r="E478" s="632" t="s">
        <v>573</v>
      </c>
      <c r="F478" s="633" t="s">
        <v>1985</v>
      </c>
      <c r="G478" s="632" t="s">
        <v>574</v>
      </c>
      <c r="H478" s="632" t="s">
        <v>776</v>
      </c>
      <c r="I478" s="632" t="s">
        <v>777</v>
      </c>
      <c r="J478" s="632" t="s">
        <v>778</v>
      </c>
      <c r="K478" s="632" t="s">
        <v>779</v>
      </c>
      <c r="L478" s="634">
        <v>67.539322407204864</v>
      </c>
      <c r="M478" s="634">
        <v>31</v>
      </c>
      <c r="N478" s="635">
        <v>2093.7189946233507</v>
      </c>
    </row>
    <row r="479" spans="1:14" ht="14.4" customHeight="1" x14ac:dyDescent="0.3">
      <c r="A479" s="630" t="s">
        <v>545</v>
      </c>
      <c r="B479" s="631" t="s">
        <v>1978</v>
      </c>
      <c r="C479" s="632" t="s">
        <v>561</v>
      </c>
      <c r="D479" s="633" t="s">
        <v>1982</v>
      </c>
      <c r="E479" s="632" t="s">
        <v>573</v>
      </c>
      <c r="F479" s="633" t="s">
        <v>1985</v>
      </c>
      <c r="G479" s="632" t="s">
        <v>574</v>
      </c>
      <c r="H479" s="632" t="s">
        <v>1837</v>
      </c>
      <c r="I479" s="632" t="s">
        <v>1838</v>
      </c>
      <c r="J479" s="632" t="s">
        <v>1839</v>
      </c>
      <c r="K479" s="632" t="s">
        <v>1233</v>
      </c>
      <c r="L479" s="634">
        <v>41.719218675578993</v>
      </c>
      <c r="M479" s="634">
        <v>14</v>
      </c>
      <c r="N479" s="635">
        <v>584.06906145810592</v>
      </c>
    </row>
    <row r="480" spans="1:14" ht="14.4" customHeight="1" x14ac:dyDescent="0.3">
      <c r="A480" s="630" t="s">
        <v>545</v>
      </c>
      <c r="B480" s="631" t="s">
        <v>1978</v>
      </c>
      <c r="C480" s="632" t="s">
        <v>561</v>
      </c>
      <c r="D480" s="633" t="s">
        <v>1982</v>
      </c>
      <c r="E480" s="632" t="s">
        <v>573</v>
      </c>
      <c r="F480" s="633" t="s">
        <v>1985</v>
      </c>
      <c r="G480" s="632" t="s">
        <v>574</v>
      </c>
      <c r="H480" s="632" t="s">
        <v>1840</v>
      </c>
      <c r="I480" s="632" t="s">
        <v>238</v>
      </c>
      <c r="J480" s="632" t="s">
        <v>1841</v>
      </c>
      <c r="K480" s="632"/>
      <c r="L480" s="634">
        <v>97.320307968559931</v>
      </c>
      <c r="M480" s="634">
        <v>60</v>
      </c>
      <c r="N480" s="635">
        <v>5839.2184781135957</v>
      </c>
    </row>
    <row r="481" spans="1:14" ht="14.4" customHeight="1" x14ac:dyDescent="0.3">
      <c r="A481" s="630" t="s">
        <v>545</v>
      </c>
      <c r="B481" s="631" t="s">
        <v>1978</v>
      </c>
      <c r="C481" s="632" t="s">
        <v>561</v>
      </c>
      <c r="D481" s="633" t="s">
        <v>1982</v>
      </c>
      <c r="E481" s="632" t="s">
        <v>573</v>
      </c>
      <c r="F481" s="633" t="s">
        <v>1985</v>
      </c>
      <c r="G481" s="632" t="s">
        <v>574</v>
      </c>
      <c r="H481" s="632" t="s">
        <v>1845</v>
      </c>
      <c r="I481" s="632" t="s">
        <v>1846</v>
      </c>
      <c r="J481" s="632" t="s">
        <v>1847</v>
      </c>
      <c r="K481" s="632" t="s">
        <v>1848</v>
      </c>
      <c r="L481" s="634">
        <v>69.11901429952637</v>
      </c>
      <c r="M481" s="634">
        <v>32</v>
      </c>
      <c r="N481" s="635">
        <v>2211.8084575848438</v>
      </c>
    </row>
    <row r="482" spans="1:14" ht="14.4" customHeight="1" x14ac:dyDescent="0.3">
      <c r="A482" s="630" t="s">
        <v>545</v>
      </c>
      <c r="B482" s="631" t="s">
        <v>1978</v>
      </c>
      <c r="C482" s="632" t="s">
        <v>561</v>
      </c>
      <c r="D482" s="633" t="s">
        <v>1982</v>
      </c>
      <c r="E482" s="632" t="s">
        <v>573</v>
      </c>
      <c r="F482" s="633" t="s">
        <v>1985</v>
      </c>
      <c r="G482" s="632" t="s">
        <v>574</v>
      </c>
      <c r="H482" s="632" t="s">
        <v>877</v>
      </c>
      <c r="I482" s="632" t="s">
        <v>878</v>
      </c>
      <c r="J482" s="632" t="s">
        <v>879</v>
      </c>
      <c r="K482" s="632" t="s">
        <v>637</v>
      </c>
      <c r="L482" s="634">
        <v>122.25954172576533</v>
      </c>
      <c r="M482" s="634">
        <v>38</v>
      </c>
      <c r="N482" s="635">
        <v>4645.8625855790824</v>
      </c>
    </row>
    <row r="483" spans="1:14" ht="14.4" customHeight="1" x14ac:dyDescent="0.3">
      <c r="A483" s="630" t="s">
        <v>545</v>
      </c>
      <c r="B483" s="631" t="s">
        <v>1978</v>
      </c>
      <c r="C483" s="632" t="s">
        <v>561</v>
      </c>
      <c r="D483" s="633" t="s">
        <v>1982</v>
      </c>
      <c r="E483" s="632" t="s">
        <v>573</v>
      </c>
      <c r="F483" s="633" t="s">
        <v>1985</v>
      </c>
      <c r="G483" s="632" t="s">
        <v>574</v>
      </c>
      <c r="H483" s="632" t="s">
        <v>880</v>
      </c>
      <c r="I483" s="632" t="s">
        <v>881</v>
      </c>
      <c r="J483" s="632" t="s">
        <v>882</v>
      </c>
      <c r="K483" s="632" t="s">
        <v>883</v>
      </c>
      <c r="L483" s="634">
        <v>61.78530424087122</v>
      </c>
      <c r="M483" s="634">
        <v>233</v>
      </c>
      <c r="N483" s="635">
        <v>14395.975888122994</v>
      </c>
    </row>
    <row r="484" spans="1:14" ht="14.4" customHeight="1" x14ac:dyDescent="0.3">
      <c r="A484" s="630" t="s">
        <v>545</v>
      </c>
      <c r="B484" s="631" t="s">
        <v>1978</v>
      </c>
      <c r="C484" s="632" t="s">
        <v>561</v>
      </c>
      <c r="D484" s="633" t="s">
        <v>1982</v>
      </c>
      <c r="E484" s="632" t="s">
        <v>573</v>
      </c>
      <c r="F484" s="633" t="s">
        <v>1985</v>
      </c>
      <c r="G484" s="632" t="s">
        <v>574</v>
      </c>
      <c r="H484" s="632" t="s">
        <v>916</v>
      </c>
      <c r="I484" s="632" t="s">
        <v>917</v>
      </c>
      <c r="J484" s="632" t="s">
        <v>918</v>
      </c>
      <c r="K484" s="632" t="s">
        <v>919</v>
      </c>
      <c r="L484" s="634">
        <v>260.00150303967627</v>
      </c>
      <c r="M484" s="634">
        <v>139</v>
      </c>
      <c r="N484" s="635">
        <v>36140.208922514998</v>
      </c>
    </row>
    <row r="485" spans="1:14" ht="14.4" customHeight="1" x14ac:dyDescent="0.3">
      <c r="A485" s="630" t="s">
        <v>545</v>
      </c>
      <c r="B485" s="631" t="s">
        <v>1978</v>
      </c>
      <c r="C485" s="632" t="s">
        <v>561</v>
      </c>
      <c r="D485" s="633" t="s">
        <v>1982</v>
      </c>
      <c r="E485" s="632" t="s">
        <v>573</v>
      </c>
      <c r="F485" s="633" t="s">
        <v>1985</v>
      </c>
      <c r="G485" s="632" t="s">
        <v>574</v>
      </c>
      <c r="H485" s="632" t="s">
        <v>928</v>
      </c>
      <c r="I485" s="632" t="s">
        <v>929</v>
      </c>
      <c r="J485" s="632" t="s">
        <v>930</v>
      </c>
      <c r="K485" s="632" t="s">
        <v>931</v>
      </c>
      <c r="L485" s="634">
        <v>197.4776131459038</v>
      </c>
      <c r="M485" s="634">
        <v>22</v>
      </c>
      <c r="N485" s="635">
        <v>4344.5074892098837</v>
      </c>
    </row>
    <row r="486" spans="1:14" ht="14.4" customHeight="1" x14ac:dyDescent="0.3">
      <c r="A486" s="630" t="s">
        <v>545</v>
      </c>
      <c r="B486" s="631" t="s">
        <v>1978</v>
      </c>
      <c r="C486" s="632" t="s">
        <v>561</v>
      </c>
      <c r="D486" s="633" t="s">
        <v>1982</v>
      </c>
      <c r="E486" s="632" t="s">
        <v>573</v>
      </c>
      <c r="F486" s="633" t="s">
        <v>1985</v>
      </c>
      <c r="G486" s="632" t="s">
        <v>574</v>
      </c>
      <c r="H486" s="632" t="s">
        <v>980</v>
      </c>
      <c r="I486" s="632" t="s">
        <v>981</v>
      </c>
      <c r="J486" s="632" t="s">
        <v>982</v>
      </c>
      <c r="K486" s="632" t="s">
        <v>983</v>
      </c>
      <c r="L486" s="634">
        <v>147.97805503548605</v>
      </c>
      <c r="M486" s="634">
        <v>5</v>
      </c>
      <c r="N486" s="635">
        <v>739.89027517743023</v>
      </c>
    </row>
    <row r="487" spans="1:14" ht="14.4" customHeight="1" x14ac:dyDescent="0.3">
      <c r="A487" s="630" t="s">
        <v>545</v>
      </c>
      <c r="B487" s="631" t="s">
        <v>1978</v>
      </c>
      <c r="C487" s="632" t="s">
        <v>561</v>
      </c>
      <c r="D487" s="633" t="s">
        <v>1982</v>
      </c>
      <c r="E487" s="632" t="s">
        <v>573</v>
      </c>
      <c r="F487" s="633" t="s">
        <v>1985</v>
      </c>
      <c r="G487" s="632" t="s">
        <v>574</v>
      </c>
      <c r="H487" s="632" t="s">
        <v>1000</v>
      </c>
      <c r="I487" s="632" t="s">
        <v>1001</v>
      </c>
      <c r="J487" s="632" t="s">
        <v>1002</v>
      </c>
      <c r="K487" s="632" t="s">
        <v>659</v>
      </c>
      <c r="L487" s="634">
        <v>41.59159903435674</v>
      </c>
      <c r="M487" s="634">
        <v>50</v>
      </c>
      <c r="N487" s="635">
        <v>2079.579951717837</v>
      </c>
    </row>
    <row r="488" spans="1:14" ht="14.4" customHeight="1" x14ac:dyDescent="0.3">
      <c r="A488" s="630" t="s">
        <v>545</v>
      </c>
      <c r="B488" s="631" t="s">
        <v>1978</v>
      </c>
      <c r="C488" s="632" t="s">
        <v>561</v>
      </c>
      <c r="D488" s="633" t="s">
        <v>1982</v>
      </c>
      <c r="E488" s="632" t="s">
        <v>573</v>
      </c>
      <c r="F488" s="633" t="s">
        <v>1985</v>
      </c>
      <c r="G488" s="632" t="s">
        <v>574</v>
      </c>
      <c r="H488" s="632" t="s">
        <v>1007</v>
      </c>
      <c r="I488" s="632" t="s">
        <v>1008</v>
      </c>
      <c r="J488" s="632" t="s">
        <v>1009</v>
      </c>
      <c r="K488" s="632" t="s">
        <v>1010</v>
      </c>
      <c r="L488" s="634">
        <v>98.84847871441103</v>
      </c>
      <c r="M488" s="634">
        <v>21</v>
      </c>
      <c r="N488" s="635">
        <v>2075.8180530026316</v>
      </c>
    </row>
    <row r="489" spans="1:14" ht="14.4" customHeight="1" x14ac:dyDescent="0.3">
      <c r="A489" s="630" t="s">
        <v>545</v>
      </c>
      <c r="B489" s="631" t="s">
        <v>1978</v>
      </c>
      <c r="C489" s="632" t="s">
        <v>561</v>
      </c>
      <c r="D489" s="633" t="s">
        <v>1982</v>
      </c>
      <c r="E489" s="632" t="s">
        <v>573</v>
      </c>
      <c r="F489" s="633" t="s">
        <v>1985</v>
      </c>
      <c r="G489" s="632" t="s">
        <v>574</v>
      </c>
      <c r="H489" s="632" t="s">
        <v>1031</v>
      </c>
      <c r="I489" s="632" t="s">
        <v>1031</v>
      </c>
      <c r="J489" s="632" t="s">
        <v>1032</v>
      </c>
      <c r="K489" s="632" t="s">
        <v>721</v>
      </c>
      <c r="L489" s="634">
        <v>56.472260549080048</v>
      </c>
      <c r="M489" s="634">
        <v>190</v>
      </c>
      <c r="N489" s="635">
        <v>10729.729504325209</v>
      </c>
    </row>
    <row r="490" spans="1:14" ht="14.4" customHeight="1" x14ac:dyDescent="0.3">
      <c r="A490" s="630" t="s">
        <v>545</v>
      </c>
      <c r="B490" s="631" t="s">
        <v>1978</v>
      </c>
      <c r="C490" s="632" t="s">
        <v>561</v>
      </c>
      <c r="D490" s="633" t="s">
        <v>1982</v>
      </c>
      <c r="E490" s="632" t="s">
        <v>573</v>
      </c>
      <c r="F490" s="633" t="s">
        <v>1985</v>
      </c>
      <c r="G490" s="632" t="s">
        <v>574</v>
      </c>
      <c r="H490" s="632" t="s">
        <v>1033</v>
      </c>
      <c r="I490" s="632" t="s">
        <v>1034</v>
      </c>
      <c r="J490" s="632" t="s">
        <v>1035</v>
      </c>
      <c r="K490" s="632" t="s">
        <v>1036</v>
      </c>
      <c r="L490" s="634">
        <v>1103.650237077175</v>
      </c>
      <c r="M490" s="634">
        <v>5</v>
      </c>
      <c r="N490" s="635">
        <v>5518.251185385875</v>
      </c>
    </row>
    <row r="491" spans="1:14" ht="14.4" customHeight="1" x14ac:dyDescent="0.3">
      <c r="A491" s="630" t="s">
        <v>545</v>
      </c>
      <c r="B491" s="631" t="s">
        <v>1978</v>
      </c>
      <c r="C491" s="632" t="s">
        <v>561</v>
      </c>
      <c r="D491" s="633" t="s">
        <v>1982</v>
      </c>
      <c r="E491" s="632" t="s">
        <v>573</v>
      </c>
      <c r="F491" s="633" t="s">
        <v>1985</v>
      </c>
      <c r="G491" s="632" t="s">
        <v>574</v>
      </c>
      <c r="H491" s="632" t="s">
        <v>584</v>
      </c>
      <c r="I491" s="632" t="s">
        <v>238</v>
      </c>
      <c r="J491" s="632" t="s">
        <v>585</v>
      </c>
      <c r="K491" s="632"/>
      <c r="L491" s="634">
        <v>35.66997278225837</v>
      </c>
      <c r="M491" s="634">
        <v>2</v>
      </c>
      <c r="N491" s="635">
        <v>71.339945564516739</v>
      </c>
    </row>
    <row r="492" spans="1:14" ht="14.4" customHeight="1" x14ac:dyDescent="0.3">
      <c r="A492" s="630" t="s">
        <v>545</v>
      </c>
      <c r="B492" s="631" t="s">
        <v>1978</v>
      </c>
      <c r="C492" s="632" t="s">
        <v>561</v>
      </c>
      <c r="D492" s="633" t="s">
        <v>1982</v>
      </c>
      <c r="E492" s="632" t="s">
        <v>573</v>
      </c>
      <c r="F492" s="633" t="s">
        <v>1985</v>
      </c>
      <c r="G492" s="632" t="s">
        <v>574</v>
      </c>
      <c r="H492" s="632" t="s">
        <v>1849</v>
      </c>
      <c r="I492" s="632" t="s">
        <v>238</v>
      </c>
      <c r="J492" s="632" t="s">
        <v>1850</v>
      </c>
      <c r="K492" s="632" t="s">
        <v>1851</v>
      </c>
      <c r="L492" s="634">
        <v>422</v>
      </c>
      <c r="M492" s="634">
        <v>3</v>
      </c>
      <c r="N492" s="635">
        <v>1266</v>
      </c>
    </row>
    <row r="493" spans="1:14" ht="14.4" customHeight="1" x14ac:dyDescent="0.3">
      <c r="A493" s="630" t="s">
        <v>545</v>
      </c>
      <c r="B493" s="631" t="s">
        <v>1978</v>
      </c>
      <c r="C493" s="632" t="s">
        <v>561</v>
      </c>
      <c r="D493" s="633" t="s">
        <v>1982</v>
      </c>
      <c r="E493" s="632" t="s">
        <v>573</v>
      </c>
      <c r="F493" s="633" t="s">
        <v>1985</v>
      </c>
      <c r="G493" s="632" t="s">
        <v>574</v>
      </c>
      <c r="H493" s="632" t="s">
        <v>1056</v>
      </c>
      <c r="I493" s="632" t="s">
        <v>238</v>
      </c>
      <c r="J493" s="632" t="s">
        <v>1057</v>
      </c>
      <c r="K493" s="632"/>
      <c r="L493" s="634">
        <v>62.962571236075064</v>
      </c>
      <c r="M493" s="634">
        <v>44</v>
      </c>
      <c r="N493" s="635">
        <v>2770.3531343873028</v>
      </c>
    </row>
    <row r="494" spans="1:14" ht="14.4" customHeight="1" x14ac:dyDescent="0.3">
      <c r="A494" s="630" t="s">
        <v>545</v>
      </c>
      <c r="B494" s="631" t="s">
        <v>1978</v>
      </c>
      <c r="C494" s="632" t="s">
        <v>561</v>
      </c>
      <c r="D494" s="633" t="s">
        <v>1982</v>
      </c>
      <c r="E494" s="632" t="s">
        <v>573</v>
      </c>
      <c r="F494" s="633" t="s">
        <v>1985</v>
      </c>
      <c r="G494" s="632" t="s">
        <v>574</v>
      </c>
      <c r="H494" s="632" t="s">
        <v>1063</v>
      </c>
      <c r="I494" s="632" t="s">
        <v>1064</v>
      </c>
      <c r="J494" s="632" t="s">
        <v>1065</v>
      </c>
      <c r="K494" s="632" t="s">
        <v>883</v>
      </c>
      <c r="L494" s="634">
        <v>52.416935538228806</v>
      </c>
      <c r="M494" s="634">
        <v>115</v>
      </c>
      <c r="N494" s="635">
        <v>6027.9475868963127</v>
      </c>
    </row>
    <row r="495" spans="1:14" ht="14.4" customHeight="1" x14ac:dyDescent="0.3">
      <c r="A495" s="630" t="s">
        <v>545</v>
      </c>
      <c r="B495" s="631" t="s">
        <v>1978</v>
      </c>
      <c r="C495" s="632" t="s">
        <v>561</v>
      </c>
      <c r="D495" s="633" t="s">
        <v>1982</v>
      </c>
      <c r="E495" s="632" t="s">
        <v>573</v>
      </c>
      <c r="F495" s="633" t="s">
        <v>1985</v>
      </c>
      <c r="G495" s="632" t="s">
        <v>574</v>
      </c>
      <c r="H495" s="632" t="s">
        <v>1066</v>
      </c>
      <c r="I495" s="632" t="s">
        <v>1067</v>
      </c>
      <c r="J495" s="632" t="s">
        <v>1068</v>
      </c>
      <c r="K495" s="632" t="s">
        <v>1069</v>
      </c>
      <c r="L495" s="634">
        <v>61.565142075522139</v>
      </c>
      <c r="M495" s="634">
        <v>95</v>
      </c>
      <c r="N495" s="635">
        <v>5848.6884971746031</v>
      </c>
    </row>
    <row r="496" spans="1:14" ht="14.4" customHeight="1" x14ac:dyDescent="0.3">
      <c r="A496" s="630" t="s">
        <v>545</v>
      </c>
      <c r="B496" s="631" t="s">
        <v>1978</v>
      </c>
      <c r="C496" s="632" t="s">
        <v>561</v>
      </c>
      <c r="D496" s="633" t="s">
        <v>1982</v>
      </c>
      <c r="E496" s="632" t="s">
        <v>573</v>
      </c>
      <c r="F496" s="633" t="s">
        <v>1985</v>
      </c>
      <c r="G496" s="632" t="s">
        <v>574</v>
      </c>
      <c r="H496" s="632" t="s">
        <v>1074</v>
      </c>
      <c r="I496" s="632" t="s">
        <v>1075</v>
      </c>
      <c r="J496" s="632" t="s">
        <v>588</v>
      </c>
      <c r="K496" s="632" t="s">
        <v>1076</v>
      </c>
      <c r="L496" s="634">
        <v>555.41999999999996</v>
      </c>
      <c r="M496" s="634">
        <v>3</v>
      </c>
      <c r="N496" s="635">
        <v>1666.2599999999998</v>
      </c>
    </row>
    <row r="497" spans="1:14" ht="14.4" customHeight="1" x14ac:dyDescent="0.3">
      <c r="A497" s="630" t="s">
        <v>545</v>
      </c>
      <c r="B497" s="631" t="s">
        <v>1978</v>
      </c>
      <c r="C497" s="632" t="s">
        <v>561</v>
      </c>
      <c r="D497" s="633" t="s">
        <v>1982</v>
      </c>
      <c r="E497" s="632" t="s">
        <v>573</v>
      </c>
      <c r="F497" s="633" t="s">
        <v>1985</v>
      </c>
      <c r="G497" s="632" t="s">
        <v>574</v>
      </c>
      <c r="H497" s="632" t="s">
        <v>586</v>
      </c>
      <c r="I497" s="632" t="s">
        <v>587</v>
      </c>
      <c r="J497" s="632" t="s">
        <v>588</v>
      </c>
      <c r="K497" s="632" t="s">
        <v>589</v>
      </c>
      <c r="L497" s="634">
        <v>327.05571502066385</v>
      </c>
      <c r="M497" s="634">
        <v>40</v>
      </c>
      <c r="N497" s="635">
        <v>13082.228600826555</v>
      </c>
    </row>
    <row r="498" spans="1:14" ht="14.4" customHeight="1" x14ac:dyDescent="0.3">
      <c r="A498" s="630" t="s">
        <v>545</v>
      </c>
      <c r="B498" s="631" t="s">
        <v>1978</v>
      </c>
      <c r="C498" s="632" t="s">
        <v>561</v>
      </c>
      <c r="D498" s="633" t="s">
        <v>1982</v>
      </c>
      <c r="E498" s="632" t="s">
        <v>573</v>
      </c>
      <c r="F498" s="633" t="s">
        <v>1985</v>
      </c>
      <c r="G498" s="632" t="s">
        <v>574</v>
      </c>
      <c r="H498" s="632" t="s">
        <v>1077</v>
      </c>
      <c r="I498" s="632" t="s">
        <v>1078</v>
      </c>
      <c r="J498" s="632" t="s">
        <v>588</v>
      </c>
      <c r="K498" s="632" t="s">
        <v>1079</v>
      </c>
      <c r="L498" s="634">
        <v>246.32970778221247</v>
      </c>
      <c r="M498" s="634">
        <v>19</v>
      </c>
      <c r="N498" s="635">
        <v>4680.2644478620368</v>
      </c>
    </row>
    <row r="499" spans="1:14" ht="14.4" customHeight="1" x14ac:dyDescent="0.3">
      <c r="A499" s="630" t="s">
        <v>545</v>
      </c>
      <c r="B499" s="631" t="s">
        <v>1978</v>
      </c>
      <c r="C499" s="632" t="s">
        <v>561</v>
      </c>
      <c r="D499" s="633" t="s">
        <v>1982</v>
      </c>
      <c r="E499" s="632" t="s">
        <v>573</v>
      </c>
      <c r="F499" s="633" t="s">
        <v>1985</v>
      </c>
      <c r="G499" s="632" t="s">
        <v>574</v>
      </c>
      <c r="H499" s="632" t="s">
        <v>1109</v>
      </c>
      <c r="I499" s="632" t="s">
        <v>1110</v>
      </c>
      <c r="J499" s="632" t="s">
        <v>1111</v>
      </c>
      <c r="K499" s="632" t="s">
        <v>1112</v>
      </c>
      <c r="L499" s="634">
        <v>58.419433843491781</v>
      </c>
      <c r="M499" s="634">
        <v>53</v>
      </c>
      <c r="N499" s="635">
        <v>3096.2299937050643</v>
      </c>
    </row>
    <row r="500" spans="1:14" ht="14.4" customHeight="1" x14ac:dyDescent="0.3">
      <c r="A500" s="630" t="s">
        <v>545</v>
      </c>
      <c r="B500" s="631" t="s">
        <v>1978</v>
      </c>
      <c r="C500" s="632" t="s">
        <v>561</v>
      </c>
      <c r="D500" s="633" t="s">
        <v>1982</v>
      </c>
      <c r="E500" s="632" t="s">
        <v>573</v>
      </c>
      <c r="F500" s="633" t="s">
        <v>1985</v>
      </c>
      <c r="G500" s="632" t="s">
        <v>574</v>
      </c>
      <c r="H500" s="632" t="s">
        <v>1124</v>
      </c>
      <c r="I500" s="632" t="s">
        <v>1125</v>
      </c>
      <c r="J500" s="632" t="s">
        <v>1126</v>
      </c>
      <c r="K500" s="632" t="s">
        <v>1127</v>
      </c>
      <c r="L500" s="634">
        <v>42.399926543453702</v>
      </c>
      <c r="M500" s="634">
        <v>1</v>
      </c>
      <c r="N500" s="635">
        <v>42.399926543453702</v>
      </c>
    </row>
    <row r="501" spans="1:14" ht="14.4" customHeight="1" x14ac:dyDescent="0.3">
      <c r="A501" s="630" t="s">
        <v>545</v>
      </c>
      <c r="B501" s="631" t="s">
        <v>1978</v>
      </c>
      <c r="C501" s="632" t="s">
        <v>561</v>
      </c>
      <c r="D501" s="633" t="s">
        <v>1982</v>
      </c>
      <c r="E501" s="632" t="s">
        <v>573</v>
      </c>
      <c r="F501" s="633" t="s">
        <v>1985</v>
      </c>
      <c r="G501" s="632" t="s">
        <v>574</v>
      </c>
      <c r="H501" s="632" t="s">
        <v>1128</v>
      </c>
      <c r="I501" s="632" t="s">
        <v>238</v>
      </c>
      <c r="J501" s="632" t="s">
        <v>1129</v>
      </c>
      <c r="K501" s="632" t="s">
        <v>1130</v>
      </c>
      <c r="L501" s="634">
        <v>23.7</v>
      </c>
      <c r="M501" s="634">
        <v>48</v>
      </c>
      <c r="N501" s="635">
        <v>1137.5999999999999</v>
      </c>
    </row>
    <row r="502" spans="1:14" ht="14.4" customHeight="1" x14ac:dyDescent="0.3">
      <c r="A502" s="630" t="s">
        <v>545</v>
      </c>
      <c r="B502" s="631" t="s">
        <v>1978</v>
      </c>
      <c r="C502" s="632" t="s">
        <v>561</v>
      </c>
      <c r="D502" s="633" t="s">
        <v>1982</v>
      </c>
      <c r="E502" s="632" t="s">
        <v>573</v>
      </c>
      <c r="F502" s="633" t="s">
        <v>1985</v>
      </c>
      <c r="G502" s="632" t="s">
        <v>574</v>
      </c>
      <c r="H502" s="632" t="s">
        <v>1131</v>
      </c>
      <c r="I502" s="632" t="s">
        <v>238</v>
      </c>
      <c r="J502" s="632" t="s">
        <v>1132</v>
      </c>
      <c r="K502" s="632" t="s">
        <v>1130</v>
      </c>
      <c r="L502" s="634">
        <v>24.037194261613497</v>
      </c>
      <c r="M502" s="634">
        <v>6</v>
      </c>
      <c r="N502" s="635">
        <v>144.22316556968099</v>
      </c>
    </row>
    <row r="503" spans="1:14" ht="14.4" customHeight="1" x14ac:dyDescent="0.3">
      <c r="A503" s="630" t="s">
        <v>545</v>
      </c>
      <c r="B503" s="631" t="s">
        <v>1978</v>
      </c>
      <c r="C503" s="632" t="s">
        <v>561</v>
      </c>
      <c r="D503" s="633" t="s">
        <v>1982</v>
      </c>
      <c r="E503" s="632" t="s">
        <v>573</v>
      </c>
      <c r="F503" s="633" t="s">
        <v>1985</v>
      </c>
      <c r="G503" s="632" t="s">
        <v>574</v>
      </c>
      <c r="H503" s="632" t="s">
        <v>1192</v>
      </c>
      <c r="I503" s="632" t="s">
        <v>238</v>
      </c>
      <c r="J503" s="632" t="s">
        <v>1193</v>
      </c>
      <c r="K503" s="632" t="s">
        <v>1194</v>
      </c>
      <c r="L503" s="634">
        <v>199.67000000000004</v>
      </c>
      <c r="M503" s="634">
        <v>6</v>
      </c>
      <c r="N503" s="635">
        <v>1198.0200000000002</v>
      </c>
    </row>
    <row r="504" spans="1:14" ht="14.4" customHeight="1" x14ac:dyDescent="0.3">
      <c r="A504" s="630" t="s">
        <v>545</v>
      </c>
      <c r="B504" s="631" t="s">
        <v>1978</v>
      </c>
      <c r="C504" s="632" t="s">
        <v>561</v>
      </c>
      <c r="D504" s="633" t="s">
        <v>1982</v>
      </c>
      <c r="E504" s="632" t="s">
        <v>573</v>
      </c>
      <c r="F504" s="633" t="s">
        <v>1985</v>
      </c>
      <c r="G504" s="632" t="s">
        <v>574</v>
      </c>
      <c r="H504" s="632" t="s">
        <v>1226</v>
      </c>
      <c r="I504" s="632" t="s">
        <v>1227</v>
      </c>
      <c r="J504" s="632" t="s">
        <v>1228</v>
      </c>
      <c r="K504" s="632" t="s">
        <v>1229</v>
      </c>
      <c r="L504" s="634">
        <v>410.89780350953998</v>
      </c>
      <c r="M504" s="634">
        <v>3</v>
      </c>
      <c r="N504" s="635">
        <v>1232.69341052862</v>
      </c>
    </row>
    <row r="505" spans="1:14" ht="14.4" customHeight="1" x14ac:dyDescent="0.3">
      <c r="A505" s="630" t="s">
        <v>545</v>
      </c>
      <c r="B505" s="631" t="s">
        <v>1978</v>
      </c>
      <c r="C505" s="632" t="s">
        <v>561</v>
      </c>
      <c r="D505" s="633" t="s">
        <v>1982</v>
      </c>
      <c r="E505" s="632" t="s">
        <v>573</v>
      </c>
      <c r="F505" s="633" t="s">
        <v>1985</v>
      </c>
      <c r="G505" s="632" t="s">
        <v>574</v>
      </c>
      <c r="H505" s="632" t="s">
        <v>1234</v>
      </c>
      <c r="I505" s="632" t="s">
        <v>1235</v>
      </c>
      <c r="J505" s="632" t="s">
        <v>1236</v>
      </c>
      <c r="K505" s="632" t="s">
        <v>1237</v>
      </c>
      <c r="L505" s="634">
        <v>734.04999999999984</v>
      </c>
      <c r="M505" s="634">
        <v>3</v>
      </c>
      <c r="N505" s="635">
        <v>2202.1499999999996</v>
      </c>
    </row>
    <row r="506" spans="1:14" ht="14.4" customHeight="1" x14ac:dyDescent="0.3">
      <c r="A506" s="630" t="s">
        <v>545</v>
      </c>
      <c r="B506" s="631" t="s">
        <v>1978</v>
      </c>
      <c r="C506" s="632" t="s">
        <v>561</v>
      </c>
      <c r="D506" s="633" t="s">
        <v>1982</v>
      </c>
      <c r="E506" s="632" t="s">
        <v>573</v>
      </c>
      <c r="F506" s="633" t="s">
        <v>1985</v>
      </c>
      <c r="G506" s="632" t="s">
        <v>574</v>
      </c>
      <c r="H506" s="632" t="s">
        <v>1244</v>
      </c>
      <c r="I506" s="632" t="s">
        <v>1245</v>
      </c>
      <c r="J506" s="632" t="s">
        <v>588</v>
      </c>
      <c r="K506" s="632" t="s">
        <v>702</v>
      </c>
      <c r="L506" s="634">
        <v>210.45000000000002</v>
      </c>
      <c r="M506" s="634">
        <v>6</v>
      </c>
      <c r="N506" s="635">
        <v>1262.7</v>
      </c>
    </row>
    <row r="507" spans="1:14" ht="14.4" customHeight="1" x14ac:dyDescent="0.3">
      <c r="A507" s="630" t="s">
        <v>545</v>
      </c>
      <c r="B507" s="631" t="s">
        <v>1978</v>
      </c>
      <c r="C507" s="632" t="s">
        <v>561</v>
      </c>
      <c r="D507" s="633" t="s">
        <v>1982</v>
      </c>
      <c r="E507" s="632" t="s">
        <v>573</v>
      </c>
      <c r="F507" s="633" t="s">
        <v>1985</v>
      </c>
      <c r="G507" s="632" t="s">
        <v>574</v>
      </c>
      <c r="H507" s="632" t="s">
        <v>1254</v>
      </c>
      <c r="I507" s="632" t="s">
        <v>1255</v>
      </c>
      <c r="J507" s="632" t="s">
        <v>1256</v>
      </c>
      <c r="K507" s="632" t="s">
        <v>1257</v>
      </c>
      <c r="L507" s="634">
        <v>339.93987672234772</v>
      </c>
      <c r="M507" s="634">
        <v>28</v>
      </c>
      <c r="N507" s="635">
        <v>9518.3165482257355</v>
      </c>
    </row>
    <row r="508" spans="1:14" ht="14.4" customHeight="1" x14ac:dyDescent="0.3">
      <c r="A508" s="630" t="s">
        <v>545</v>
      </c>
      <c r="B508" s="631" t="s">
        <v>1978</v>
      </c>
      <c r="C508" s="632" t="s">
        <v>561</v>
      </c>
      <c r="D508" s="633" t="s">
        <v>1982</v>
      </c>
      <c r="E508" s="632" t="s">
        <v>573</v>
      </c>
      <c r="F508" s="633" t="s">
        <v>1985</v>
      </c>
      <c r="G508" s="632" t="s">
        <v>574</v>
      </c>
      <c r="H508" s="632" t="s">
        <v>590</v>
      </c>
      <c r="I508" s="632" t="s">
        <v>591</v>
      </c>
      <c r="J508" s="632" t="s">
        <v>592</v>
      </c>
      <c r="K508" s="632" t="s">
        <v>593</v>
      </c>
      <c r="L508" s="634">
        <v>291.77030737746082</v>
      </c>
      <c r="M508" s="634">
        <v>30</v>
      </c>
      <c r="N508" s="635">
        <v>8753.1092213238244</v>
      </c>
    </row>
    <row r="509" spans="1:14" ht="14.4" customHeight="1" x14ac:dyDescent="0.3">
      <c r="A509" s="630" t="s">
        <v>545</v>
      </c>
      <c r="B509" s="631" t="s">
        <v>1978</v>
      </c>
      <c r="C509" s="632" t="s">
        <v>561</v>
      </c>
      <c r="D509" s="633" t="s">
        <v>1982</v>
      </c>
      <c r="E509" s="632" t="s">
        <v>573</v>
      </c>
      <c r="F509" s="633" t="s">
        <v>1985</v>
      </c>
      <c r="G509" s="632" t="s">
        <v>574</v>
      </c>
      <c r="H509" s="632" t="s">
        <v>1856</v>
      </c>
      <c r="I509" s="632" t="s">
        <v>238</v>
      </c>
      <c r="J509" s="632" t="s">
        <v>1857</v>
      </c>
      <c r="K509" s="632"/>
      <c r="L509" s="634">
        <v>31.87142390308987</v>
      </c>
      <c r="M509" s="634">
        <v>10</v>
      </c>
      <c r="N509" s="635">
        <v>318.71423903089868</v>
      </c>
    </row>
    <row r="510" spans="1:14" ht="14.4" customHeight="1" x14ac:dyDescent="0.3">
      <c r="A510" s="630" t="s">
        <v>545</v>
      </c>
      <c r="B510" s="631" t="s">
        <v>1978</v>
      </c>
      <c r="C510" s="632" t="s">
        <v>561</v>
      </c>
      <c r="D510" s="633" t="s">
        <v>1982</v>
      </c>
      <c r="E510" s="632" t="s">
        <v>573</v>
      </c>
      <c r="F510" s="633" t="s">
        <v>1985</v>
      </c>
      <c r="G510" s="632" t="s">
        <v>574</v>
      </c>
      <c r="H510" s="632" t="s">
        <v>1946</v>
      </c>
      <c r="I510" s="632" t="s">
        <v>1947</v>
      </c>
      <c r="J510" s="632" t="s">
        <v>1948</v>
      </c>
      <c r="K510" s="632" t="s">
        <v>1079</v>
      </c>
      <c r="L510" s="634">
        <v>2700</v>
      </c>
      <c r="M510" s="634">
        <v>1</v>
      </c>
      <c r="N510" s="635">
        <v>2700</v>
      </c>
    </row>
    <row r="511" spans="1:14" ht="14.4" customHeight="1" x14ac:dyDescent="0.3">
      <c r="A511" s="630" t="s">
        <v>545</v>
      </c>
      <c r="B511" s="631" t="s">
        <v>1978</v>
      </c>
      <c r="C511" s="632" t="s">
        <v>561</v>
      </c>
      <c r="D511" s="633" t="s">
        <v>1982</v>
      </c>
      <c r="E511" s="632" t="s">
        <v>573</v>
      </c>
      <c r="F511" s="633" t="s">
        <v>1985</v>
      </c>
      <c r="G511" s="632" t="s">
        <v>574</v>
      </c>
      <c r="H511" s="632" t="s">
        <v>1858</v>
      </c>
      <c r="I511" s="632" t="s">
        <v>1859</v>
      </c>
      <c r="J511" s="632" t="s">
        <v>1860</v>
      </c>
      <c r="K511" s="632" t="s">
        <v>1861</v>
      </c>
      <c r="L511" s="634">
        <v>3818</v>
      </c>
      <c r="M511" s="634">
        <v>1</v>
      </c>
      <c r="N511" s="635">
        <v>3818</v>
      </c>
    </row>
    <row r="512" spans="1:14" ht="14.4" customHeight="1" x14ac:dyDescent="0.3">
      <c r="A512" s="630" t="s">
        <v>545</v>
      </c>
      <c r="B512" s="631" t="s">
        <v>1978</v>
      </c>
      <c r="C512" s="632" t="s">
        <v>561</v>
      </c>
      <c r="D512" s="633" t="s">
        <v>1982</v>
      </c>
      <c r="E512" s="632" t="s">
        <v>573</v>
      </c>
      <c r="F512" s="633" t="s">
        <v>1985</v>
      </c>
      <c r="G512" s="632" t="s">
        <v>574</v>
      </c>
      <c r="H512" s="632" t="s">
        <v>1862</v>
      </c>
      <c r="I512" s="632" t="s">
        <v>1862</v>
      </c>
      <c r="J512" s="632" t="s">
        <v>1863</v>
      </c>
      <c r="K512" s="632" t="s">
        <v>1864</v>
      </c>
      <c r="L512" s="634">
        <v>184.65074063889364</v>
      </c>
      <c r="M512" s="634">
        <v>42</v>
      </c>
      <c r="N512" s="635">
        <v>7755.3311068335333</v>
      </c>
    </row>
    <row r="513" spans="1:14" ht="14.4" customHeight="1" x14ac:dyDescent="0.3">
      <c r="A513" s="630" t="s">
        <v>545</v>
      </c>
      <c r="B513" s="631" t="s">
        <v>1978</v>
      </c>
      <c r="C513" s="632" t="s">
        <v>561</v>
      </c>
      <c r="D513" s="633" t="s">
        <v>1982</v>
      </c>
      <c r="E513" s="632" t="s">
        <v>573</v>
      </c>
      <c r="F513" s="633" t="s">
        <v>1985</v>
      </c>
      <c r="G513" s="632" t="s">
        <v>574</v>
      </c>
      <c r="H513" s="632" t="s">
        <v>1280</v>
      </c>
      <c r="I513" s="632" t="s">
        <v>1281</v>
      </c>
      <c r="J513" s="632" t="s">
        <v>1282</v>
      </c>
      <c r="K513" s="632" t="s">
        <v>1079</v>
      </c>
      <c r="L513" s="634">
        <v>2967.0146080237728</v>
      </c>
      <c r="M513" s="634">
        <v>8</v>
      </c>
      <c r="N513" s="635">
        <v>23736.116864190182</v>
      </c>
    </row>
    <row r="514" spans="1:14" ht="14.4" customHeight="1" x14ac:dyDescent="0.3">
      <c r="A514" s="630" t="s">
        <v>545</v>
      </c>
      <c r="B514" s="631" t="s">
        <v>1978</v>
      </c>
      <c r="C514" s="632" t="s">
        <v>561</v>
      </c>
      <c r="D514" s="633" t="s">
        <v>1982</v>
      </c>
      <c r="E514" s="632" t="s">
        <v>573</v>
      </c>
      <c r="F514" s="633" t="s">
        <v>1985</v>
      </c>
      <c r="G514" s="632" t="s">
        <v>574</v>
      </c>
      <c r="H514" s="632" t="s">
        <v>1865</v>
      </c>
      <c r="I514" s="632" t="s">
        <v>1866</v>
      </c>
      <c r="J514" s="632" t="s">
        <v>1394</v>
      </c>
      <c r="K514" s="632" t="s">
        <v>702</v>
      </c>
      <c r="L514" s="634">
        <v>257.70000000000005</v>
      </c>
      <c r="M514" s="634">
        <v>3</v>
      </c>
      <c r="N514" s="635">
        <v>773.10000000000014</v>
      </c>
    </row>
    <row r="515" spans="1:14" ht="14.4" customHeight="1" x14ac:dyDescent="0.3">
      <c r="A515" s="630" t="s">
        <v>545</v>
      </c>
      <c r="B515" s="631" t="s">
        <v>1978</v>
      </c>
      <c r="C515" s="632" t="s">
        <v>561</v>
      </c>
      <c r="D515" s="633" t="s">
        <v>1982</v>
      </c>
      <c r="E515" s="632" t="s">
        <v>573</v>
      </c>
      <c r="F515" s="633" t="s">
        <v>1985</v>
      </c>
      <c r="G515" s="632" t="s">
        <v>574</v>
      </c>
      <c r="H515" s="632" t="s">
        <v>1867</v>
      </c>
      <c r="I515" s="632" t="s">
        <v>1867</v>
      </c>
      <c r="J515" s="632" t="s">
        <v>1868</v>
      </c>
      <c r="K515" s="632" t="s">
        <v>1869</v>
      </c>
      <c r="L515" s="634">
        <v>658.19475744376575</v>
      </c>
      <c r="M515" s="634">
        <v>6</v>
      </c>
      <c r="N515" s="635">
        <v>3949.1685446625943</v>
      </c>
    </row>
    <row r="516" spans="1:14" ht="14.4" customHeight="1" x14ac:dyDescent="0.3">
      <c r="A516" s="630" t="s">
        <v>545</v>
      </c>
      <c r="B516" s="631" t="s">
        <v>1978</v>
      </c>
      <c r="C516" s="632" t="s">
        <v>561</v>
      </c>
      <c r="D516" s="633" t="s">
        <v>1982</v>
      </c>
      <c r="E516" s="632" t="s">
        <v>573</v>
      </c>
      <c r="F516" s="633" t="s">
        <v>1985</v>
      </c>
      <c r="G516" s="632" t="s">
        <v>574</v>
      </c>
      <c r="H516" s="632" t="s">
        <v>1870</v>
      </c>
      <c r="I516" s="632" t="s">
        <v>1870</v>
      </c>
      <c r="J516" s="632" t="s">
        <v>1871</v>
      </c>
      <c r="K516" s="632" t="s">
        <v>1872</v>
      </c>
      <c r="L516" s="634">
        <v>933.90172393409739</v>
      </c>
      <c r="M516" s="634">
        <v>5</v>
      </c>
      <c r="N516" s="635">
        <v>4669.508619670487</v>
      </c>
    </row>
    <row r="517" spans="1:14" ht="14.4" customHeight="1" x14ac:dyDescent="0.3">
      <c r="A517" s="630" t="s">
        <v>545</v>
      </c>
      <c r="B517" s="631" t="s">
        <v>1978</v>
      </c>
      <c r="C517" s="632" t="s">
        <v>561</v>
      </c>
      <c r="D517" s="633" t="s">
        <v>1982</v>
      </c>
      <c r="E517" s="632" t="s">
        <v>573</v>
      </c>
      <c r="F517" s="633" t="s">
        <v>1985</v>
      </c>
      <c r="G517" s="632" t="s">
        <v>574</v>
      </c>
      <c r="H517" s="632" t="s">
        <v>1873</v>
      </c>
      <c r="I517" s="632" t="s">
        <v>1874</v>
      </c>
      <c r="J517" s="632" t="s">
        <v>1875</v>
      </c>
      <c r="K517" s="632" t="s">
        <v>1876</v>
      </c>
      <c r="L517" s="634">
        <v>649.85030538156479</v>
      </c>
      <c r="M517" s="634">
        <v>39</v>
      </c>
      <c r="N517" s="635">
        <v>25344.161909881026</v>
      </c>
    </row>
    <row r="518" spans="1:14" ht="14.4" customHeight="1" x14ac:dyDescent="0.3">
      <c r="A518" s="630" t="s">
        <v>545</v>
      </c>
      <c r="B518" s="631" t="s">
        <v>1978</v>
      </c>
      <c r="C518" s="632" t="s">
        <v>561</v>
      </c>
      <c r="D518" s="633" t="s">
        <v>1982</v>
      </c>
      <c r="E518" s="632" t="s">
        <v>573</v>
      </c>
      <c r="F518" s="633" t="s">
        <v>1985</v>
      </c>
      <c r="G518" s="632" t="s">
        <v>574</v>
      </c>
      <c r="H518" s="632" t="s">
        <v>1310</v>
      </c>
      <c r="I518" s="632" t="s">
        <v>1311</v>
      </c>
      <c r="J518" s="632" t="s">
        <v>1312</v>
      </c>
      <c r="K518" s="632" t="s">
        <v>1313</v>
      </c>
      <c r="L518" s="634">
        <v>564.05857142857144</v>
      </c>
      <c r="M518" s="634">
        <v>7</v>
      </c>
      <c r="N518" s="635">
        <v>3948.41</v>
      </c>
    </row>
    <row r="519" spans="1:14" ht="14.4" customHeight="1" x14ac:dyDescent="0.3">
      <c r="A519" s="630" t="s">
        <v>545</v>
      </c>
      <c r="B519" s="631" t="s">
        <v>1978</v>
      </c>
      <c r="C519" s="632" t="s">
        <v>561</v>
      </c>
      <c r="D519" s="633" t="s">
        <v>1982</v>
      </c>
      <c r="E519" s="632" t="s">
        <v>573</v>
      </c>
      <c r="F519" s="633" t="s">
        <v>1985</v>
      </c>
      <c r="G519" s="632" t="s">
        <v>574</v>
      </c>
      <c r="H519" s="632" t="s">
        <v>1877</v>
      </c>
      <c r="I519" s="632" t="s">
        <v>1878</v>
      </c>
      <c r="J519" s="632" t="s">
        <v>1879</v>
      </c>
      <c r="K519" s="632" t="s">
        <v>1880</v>
      </c>
      <c r="L519" s="634">
        <v>613.87380003285296</v>
      </c>
      <c r="M519" s="634">
        <v>23</v>
      </c>
      <c r="N519" s="635">
        <v>14119.097400755618</v>
      </c>
    </row>
    <row r="520" spans="1:14" ht="14.4" customHeight="1" x14ac:dyDescent="0.3">
      <c r="A520" s="630" t="s">
        <v>545</v>
      </c>
      <c r="B520" s="631" t="s">
        <v>1978</v>
      </c>
      <c r="C520" s="632" t="s">
        <v>561</v>
      </c>
      <c r="D520" s="633" t="s">
        <v>1982</v>
      </c>
      <c r="E520" s="632" t="s">
        <v>573</v>
      </c>
      <c r="F520" s="633" t="s">
        <v>1985</v>
      </c>
      <c r="G520" s="632" t="s">
        <v>574</v>
      </c>
      <c r="H520" s="632" t="s">
        <v>1344</v>
      </c>
      <c r="I520" s="632" t="s">
        <v>238</v>
      </c>
      <c r="J520" s="632" t="s">
        <v>1345</v>
      </c>
      <c r="K520" s="632" t="s">
        <v>1346</v>
      </c>
      <c r="L520" s="634">
        <v>61.041134560928313</v>
      </c>
      <c r="M520" s="634">
        <v>105</v>
      </c>
      <c r="N520" s="635">
        <v>6409.3191288974731</v>
      </c>
    </row>
    <row r="521" spans="1:14" ht="14.4" customHeight="1" x14ac:dyDescent="0.3">
      <c r="A521" s="630" t="s">
        <v>545</v>
      </c>
      <c r="B521" s="631" t="s">
        <v>1978</v>
      </c>
      <c r="C521" s="632" t="s">
        <v>561</v>
      </c>
      <c r="D521" s="633" t="s">
        <v>1982</v>
      </c>
      <c r="E521" s="632" t="s">
        <v>573</v>
      </c>
      <c r="F521" s="633" t="s">
        <v>1985</v>
      </c>
      <c r="G521" s="632" t="s">
        <v>574</v>
      </c>
      <c r="H521" s="632" t="s">
        <v>1354</v>
      </c>
      <c r="I521" s="632" t="s">
        <v>1355</v>
      </c>
      <c r="J521" s="632" t="s">
        <v>1356</v>
      </c>
      <c r="K521" s="632" t="s">
        <v>1357</v>
      </c>
      <c r="L521" s="634">
        <v>2242.5</v>
      </c>
      <c r="M521" s="634">
        <v>1</v>
      </c>
      <c r="N521" s="635">
        <v>2242.5</v>
      </c>
    </row>
    <row r="522" spans="1:14" ht="14.4" customHeight="1" x14ac:dyDescent="0.3">
      <c r="A522" s="630" t="s">
        <v>545</v>
      </c>
      <c r="B522" s="631" t="s">
        <v>1978</v>
      </c>
      <c r="C522" s="632" t="s">
        <v>561</v>
      </c>
      <c r="D522" s="633" t="s">
        <v>1982</v>
      </c>
      <c r="E522" s="632" t="s">
        <v>573</v>
      </c>
      <c r="F522" s="633" t="s">
        <v>1985</v>
      </c>
      <c r="G522" s="632" t="s">
        <v>574</v>
      </c>
      <c r="H522" s="632" t="s">
        <v>1358</v>
      </c>
      <c r="I522" s="632" t="s">
        <v>1359</v>
      </c>
      <c r="J522" s="632" t="s">
        <v>1360</v>
      </c>
      <c r="K522" s="632"/>
      <c r="L522" s="634">
        <v>667.42962253809662</v>
      </c>
      <c r="M522" s="634">
        <v>252</v>
      </c>
      <c r="N522" s="635">
        <v>168192.26487960035</v>
      </c>
    </row>
    <row r="523" spans="1:14" ht="14.4" customHeight="1" x14ac:dyDescent="0.3">
      <c r="A523" s="630" t="s">
        <v>545</v>
      </c>
      <c r="B523" s="631" t="s">
        <v>1978</v>
      </c>
      <c r="C523" s="632" t="s">
        <v>561</v>
      </c>
      <c r="D523" s="633" t="s">
        <v>1982</v>
      </c>
      <c r="E523" s="632" t="s">
        <v>573</v>
      </c>
      <c r="F523" s="633" t="s">
        <v>1985</v>
      </c>
      <c r="G523" s="632" t="s">
        <v>574</v>
      </c>
      <c r="H523" s="632" t="s">
        <v>1881</v>
      </c>
      <c r="I523" s="632" t="s">
        <v>1882</v>
      </c>
      <c r="J523" s="632" t="s">
        <v>1883</v>
      </c>
      <c r="K523" s="632" t="s">
        <v>1884</v>
      </c>
      <c r="L523" s="634">
        <v>51.050000000000011</v>
      </c>
      <c r="M523" s="634">
        <v>2</v>
      </c>
      <c r="N523" s="635">
        <v>102.10000000000002</v>
      </c>
    </row>
    <row r="524" spans="1:14" ht="14.4" customHeight="1" x14ac:dyDescent="0.3">
      <c r="A524" s="630" t="s">
        <v>545</v>
      </c>
      <c r="B524" s="631" t="s">
        <v>1978</v>
      </c>
      <c r="C524" s="632" t="s">
        <v>561</v>
      </c>
      <c r="D524" s="633" t="s">
        <v>1982</v>
      </c>
      <c r="E524" s="632" t="s">
        <v>573</v>
      </c>
      <c r="F524" s="633" t="s">
        <v>1985</v>
      </c>
      <c r="G524" s="632" t="s">
        <v>574</v>
      </c>
      <c r="H524" s="632" t="s">
        <v>1891</v>
      </c>
      <c r="I524" s="632" t="s">
        <v>1892</v>
      </c>
      <c r="J524" s="632" t="s">
        <v>1893</v>
      </c>
      <c r="K524" s="632" t="s">
        <v>1894</v>
      </c>
      <c r="L524" s="634">
        <v>778.09076359333721</v>
      </c>
      <c r="M524" s="634">
        <v>21</v>
      </c>
      <c r="N524" s="635">
        <v>16339.906035460081</v>
      </c>
    </row>
    <row r="525" spans="1:14" ht="14.4" customHeight="1" x14ac:dyDescent="0.3">
      <c r="A525" s="630" t="s">
        <v>545</v>
      </c>
      <c r="B525" s="631" t="s">
        <v>1978</v>
      </c>
      <c r="C525" s="632" t="s">
        <v>561</v>
      </c>
      <c r="D525" s="633" t="s">
        <v>1982</v>
      </c>
      <c r="E525" s="632" t="s">
        <v>573</v>
      </c>
      <c r="F525" s="633" t="s">
        <v>1985</v>
      </c>
      <c r="G525" s="632" t="s">
        <v>574</v>
      </c>
      <c r="H525" s="632" t="s">
        <v>1895</v>
      </c>
      <c r="I525" s="632" t="s">
        <v>1896</v>
      </c>
      <c r="J525" s="632" t="s">
        <v>1897</v>
      </c>
      <c r="K525" s="632" t="s">
        <v>1898</v>
      </c>
      <c r="L525" s="634">
        <v>580.46993366032052</v>
      </c>
      <c r="M525" s="634">
        <v>17</v>
      </c>
      <c r="N525" s="635">
        <v>9867.9888722254491</v>
      </c>
    </row>
    <row r="526" spans="1:14" ht="14.4" customHeight="1" x14ac:dyDescent="0.3">
      <c r="A526" s="630" t="s">
        <v>545</v>
      </c>
      <c r="B526" s="631" t="s">
        <v>1978</v>
      </c>
      <c r="C526" s="632" t="s">
        <v>561</v>
      </c>
      <c r="D526" s="633" t="s">
        <v>1982</v>
      </c>
      <c r="E526" s="632" t="s">
        <v>573</v>
      </c>
      <c r="F526" s="633" t="s">
        <v>1985</v>
      </c>
      <c r="G526" s="632" t="s">
        <v>574</v>
      </c>
      <c r="H526" s="632" t="s">
        <v>1899</v>
      </c>
      <c r="I526" s="632" t="s">
        <v>1900</v>
      </c>
      <c r="J526" s="632" t="s">
        <v>1901</v>
      </c>
      <c r="K526" s="632" t="s">
        <v>1902</v>
      </c>
      <c r="L526" s="634">
        <v>88.308134394461092</v>
      </c>
      <c r="M526" s="634">
        <v>27</v>
      </c>
      <c r="N526" s="635">
        <v>2384.3196286504494</v>
      </c>
    </row>
    <row r="527" spans="1:14" ht="14.4" customHeight="1" x14ac:dyDescent="0.3">
      <c r="A527" s="630" t="s">
        <v>545</v>
      </c>
      <c r="B527" s="631" t="s">
        <v>1978</v>
      </c>
      <c r="C527" s="632" t="s">
        <v>561</v>
      </c>
      <c r="D527" s="633" t="s">
        <v>1982</v>
      </c>
      <c r="E527" s="632" t="s">
        <v>573</v>
      </c>
      <c r="F527" s="633" t="s">
        <v>1985</v>
      </c>
      <c r="G527" s="632" t="s">
        <v>574</v>
      </c>
      <c r="H527" s="632" t="s">
        <v>1903</v>
      </c>
      <c r="I527" s="632" t="s">
        <v>1904</v>
      </c>
      <c r="J527" s="632" t="s">
        <v>1905</v>
      </c>
      <c r="K527" s="632" t="s">
        <v>1906</v>
      </c>
      <c r="L527" s="634">
        <v>65.075374244344928</v>
      </c>
      <c r="M527" s="634">
        <v>22</v>
      </c>
      <c r="N527" s="635">
        <v>1431.6582333755885</v>
      </c>
    </row>
    <row r="528" spans="1:14" ht="14.4" customHeight="1" x14ac:dyDescent="0.3">
      <c r="A528" s="630" t="s">
        <v>545</v>
      </c>
      <c r="B528" s="631" t="s">
        <v>1978</v>
      </c>
      <c r="C528" s="632" t="s">
        <v>561</v>
      </c>
      <c r="D528" s="633" t="s">
        <v>1982</v>
      </c>
      <c r="E528" s="632" t="s">
        <v>573</v>
      </c>
      <c r="F528" s="633" t="s">
        <v>1985</v>
      </c>
      <c r="G528" s="632" t="s">
        <v>574</v>
      </c>
      <c r="H528" s="632" t="s">
        <v>1907</v>
      </c>
      <c r="I528" s="632" t="s">
        <v>238</v>
      </c>
      <c r="J528" s="632" t="s">
        <v>1908</v>
      </c>
      <c r="K528" s="632"/>
      <c r="L528" s="634">
        <v>420.56260162601632</v>
      </c>
      <c r="M528" s="634">
        <v>41</v>
      </c>
      <c r="N528" s="635">
        <v>17243.066666666669</v>
      </c>
    </row>
    <row r="529" spans="1:14" ht="14.4" customHeight="1" x14ac:dyDescent="0.3">
      <c r="A529" s="630" t="s">
        <v>545</v>
      </c>
      <c r="B529" s="631" t="s">
        <v>1978</v>
      </c>
      <c r="C529" s="632" t="s">
        <v>561</v>
      </c>
      <c r="D529" s="633" t="s">
        <v>1982</v>
      </c>
      <c r="E529" s="632" t="s">
        <v>573</v>
      </c>
      <c r="F529" s="633" t="s">
        <v>1985</v>
      </c>
      <c r="G529" s="632" t="s">
        <v>574</v>
      </c>
      <c r="H529" s="632" t="s">
        <v>1912</v>
      </c>
      <c r="I529" s="632" t="s">
        <v>1913</v>
      </c>
      <c r="J529" s="632" t="s">
        <v>1914</v>
      </c>
      <c r="K529" s="632" t="s">
        <v>1915</v>
      </c>
      <c r="L529" s="634">
        <v>499.99700000000001</v>
      </c>
      <c r="M529" s="634">
        <v>65</v>
      </c>
      <c r="N529" s="635">
        <v>32499.805</v>
      </c>
    </row>
    <row r="530" spans="1:14" ht="14.4" customHeight="1" x14ac:dyDescent="0.3">
      <c r="A530" s="630" t="s">
        <v>545</v>
      </c>
      <c r="B530" s="631" t="s">
        <v>1978</v>
      </c>
      <c r="C530" s="632" t="s">
        <v>561</v>
      </c>
      <c r="D530" s="633" t="s">
        <v>1982</v>
      </c>
      <c r="E530" s="632" t="s">
        <v>573</v>
      </c>
      <c r="F530" s="633" t="s">
        <v>1985</v>
      </c>
      <c r="G530" s="632" t="s">
        <v>574</v>
      </c>
      <c r="H530" s="632" t="s">
        <v>1949</v>
      </c>
      <c r="I530" s="632" t="s">
        <v>238</v>
      </c>
      <c r="J530" s="632" t="s">
        <v>1950</v>
      </c>
      <c r="K530" s="632" t="s">
        <v>1951</v>
      </c>
      <c r="L530" s="634">
        <v>96.800147666247838</v>
      </c>
      <c r="M530" s="634">
        <v>1</v>
      </c>
      <c r="N530" s="635">
        <v>96.800147666247838</v>
      </c>
    </row>
    <row r="531" spans="1:14" ht="14.4" customHeight="1" x14ac:dyDescent="0.3">
      <c r="A531" s="630" t="s">
        <v>545</v>
      </c>
      <c r="B531" s="631" t="s">
        <v>1978</v>
      </c>
      <c r="C531" s="632" t="s">
        <v>561</v>
      </c>
      <c r="D531" s="633" t="s">
        <v>1982</v>
      </c>
      <c r="E531" s="632" t="s">
        <v>573</v>
      </c>
      <c r="F531" s="633" t="s">
        <v>1985</v>
      </c>
      <c r="G531" s="632" t="s">
        <v>574</v>
      </c>
      <c r="H531" s="632" t="s">
        <v>1393</v>
      </c>
      <c r="I531" s="632" t="s">
        <v>1393</v>
      </c>
      <c r="J531" s="632" t="s">
        <v>1394</v>
      </c>
      <c r="K531" s="632" t="s">
        <v>1079</v>
      </c>
      <c r="L531" s="634">
        <v>379.11000000000013</v>
      </c>
      <c r="M531" s="634">
        <v>48</v>
      </c>
      <c r="N531" s="635">
        <v>18197.280000000006</v>
      </c>
    </row>
    <row r="532" spans="1:14" ht="14.4" customHeight="1" x14ac:dyDescent="0.3">
      <c r="A532" s="630" t="s">
        <v>545</v>
      </c>
      <c r="B532" s="631" t="s">
        <v>1978</v>
      </c>
      <c r="C532" s="632" t="s">
        <v>561</v>
      </c>
      <c r="D532" s="633" t="s">
        <v>1982</v>
      </c>
      <c r="E532" s="632" t="s">
        <v>573</v>
      </c>
      <c r="F532" s="633" t="s">
        <v>1985</v>
      </c>
      <c r="G532" s="632" t="s">
        <v>574</v>
      </c>
      <c r="H532" s="632" t="s">
        <v>1920</v>
      </c>
      <c r="I532" s="632" t="s">
        <v>1920</v>
      </c>
      <c r="J532" s="632" t="s">
        <v>1204</v>
      </c>
      <c r="K532" s="632" t="s">
        <v>1921</v>
      </c>
      <c r="L532" s="634">
        <v>285.01679999999999</v>
      </c>
      <c r="M532" s="634">
        <v>1</v>
      </c>
      <c r="N532" s="635">
        <v>285.01679999999999</v>
      </c>
    </row>
    <row r="533" spans="1:14" ht="14.4" customHeight="1" x14ac:dyDescent="0.3">
      <c r="A533" s="630" t="s">
        <v>545</v>
      </c>
      <c r="B533" s="631" t="s">
        <v>1978</v>
      </c>
      <c r="C533" s="632" t="s">
        <v>561</v>
      </c>
      <c r="D533" s="633" t="s">
        <v>1982</v>
      </c>
      <c r="E533" s="632" t="s">
        <v>573</v>
      </c>
      <c r="F533" s="633" t="s">
        <v>1985</v>
      </c>
      <c r="G533" s="632" t="s">
        <v>1438</v>
      </c>
      <c r="H533" s="632" t="s">
        <v>1922</v>
      </c>
      <c r="I533" s="632" t="s">
        <v>1923</v>
      </c>
      <c r="J533" s="632" t="s">
        <v>1491</v>
      </c>
      <c r="K533" s="632" t="s">
        <v>1924</v>
      </c>
      <c r="L533" s="634">
        <v>144.53010342147232</v>
      </c>
      <c r="M533" s="634">
        <v>51</v>
      </c>
      <c r="N533" s="635">
        <v>7371.0352744950878</v>
      </c>
    </row>
    <row r="534" spans="1:14" ht="14.4" customHeight="1" x14ac:dyDescent="0.3">
      <c r="A534" s="630" t="s">
        <v>545</v>
      </c>
      <c r="B534" s="631" t="s">
        <v>1978</v>
      </c>
      <c r="C534" s="632" t="s">
        <v>561</v>
      </c>
      <c r="D534" s="633" t="s">
        <v>1982</v>
      </c>
      <c r="E534" s="632" t="s">
        <v>573</v>
      </c>
      <c r="F534" s="633" t="s">
        <v>1985</v>
      </c>
      <c r="G534" s="632" t="s">
        <v>1438</v>
      </c>
      <c r="H534" s="632" t="s">
        <v>1467</v>
      </c>
      <c r="I534" s="632" t="s">
        <v>1468</v>
      </c>
      <c r="J534" s="632" t="s">
        <v>1449</v>
      </c>
      <c r="K534" s="632" t="s">
        <v>1469</v>
      </c>
      <c r="L534" s="634">
        <v>135.34005020461302</v>
      </c>
      <c r="M534" s="634">
        <v>4</v>
      </c>
      <c r="N534" s="635">
        <v>541.36020081845209</v>
      </c>
    </row>
    <row r="535" spans="1:14" ht="14.4" customHeight="1" x14ac:dyDescent="0.3">
      <c r="A535" s="630" t="s">
        <v>545</v>
      </c>
      <c r="B535" s="631" t="s">
        <v>1978</v>
      </c>
      <c r="C535" s="632" t="s">
        <v>561</v>
      </c>
      <c r="D535" s="633" t="s">
        <v>1982</v>
      </c>
      <c r="E535" s="632" t="s">
        <v>573</v>
      </c>
      <c r="F535" s="633" t="s">
        <v>1985</v>
      </c>
      <c r="G535" s="632" t="s">
        <v>1438</v>
      </c>
      <c r="H535" s="632" t="s">
        <v>1925</v>
      </c>
      <c r="I535" s="632" t="s">
        <v>1926</v>
      </c>
      <c r="J535" s="632" t="s">
        <v>1927</v>
      </c>
      <c r="K535" s="632" t="s">
        <v>1928</v>
      </c>
      <c r="L535" s="634">
        <v>52.810000000000016</v>
      </c>
      <c r="M535" s="634">
        <v>1</v>
      </c>
      <c r="N535" s="635">
        <v>52.810000000000016</v>
      </c>
    </row>
    <row r="536" spans="1:14" ht="14.4" customHeight="1" x14ac:dyDescent="0.3">
      <c r="A536" s="630" t="s">
        <v>545</v>
      </c>
      <c r="B536" s="631" t="s">
        <v>1978</v>
      </c>
      <c r="C536" s="632" t="s">
        <v>561</v>
      </c>
      <c r="D536" s="633" t="s">
        <v>1982</v>
      </c>
      <c r="E536" s="632" t="s">
        <v>573</v>
      </c>
      <c r="F536" s="633" t="s">
        <v>1985</v>
      </c>
      <c r="G536" s="632" t="s">
        <v>1438</v>
      </c>
      <c r="H536" s="632" t="s">
        <v>1929</v>
      </c>
      <c r="I536" s="632" t="s">
        <v>1930</v>
      </c>
      <c r="J536" s="632" t="s">
        <v>1487</v>
      </c>
      <c r="K536" s="632" t="s">
        <v>1931</v>
      </c>
      <c r="L536" s="634">
        <v>266.34998593745212</v>
      </c>
      <c r="M536" s="634">
        <v>72</v>
      </c>
      <c r="N536" s="635">
        <v>19177.198987496551</v>
      </c>
    </row>
    <row r="537" spans="1:14" ht="14.4" customHeight="1" x14ac:dyDescent="0.3">
      <c r="A537" s="630" t="s">
        <v>545</v>
      </c>
      <c r="B537" s="631" t="s">
        <v>1978</v>
      </c>
      <c r="C537" s="632" t="s">
        <v>561</v>
      </c>
      <c r="D537" s="633" t="s">
        <v>1982</v>
      </c>
      <c r="E537" s="632" t="s">
        <v>573</v>
      </c>
      <c r="F537" s="633" t="s">
        <v>1985</v>
      </c>
      <c r="G537" s="632" t="s">
        <v>1438</v>
      </c>
      <c r="H537" s="632" t="s">
        <v>1485</v>
      </c>
      <c r="I537" s="632" t="s">
        <v>1486</v>
      </c>
      <c r="J537" s="632" t="s">
        <v>1487</v>
      </c>
      <c r="K537" s="632" t="s">
        <v>1488</v>
      </c>
      <c r="L537" s="634">
        <v>890.09999996215345</v>
      </c>
      <c r="M537" s="634">
        <v>62</v>
      </c>
      <c r="N537" s="635">
        <v>55186.199997653515</v>
      </c>
    </row>
    <row r="538" spans="1:14" ht="14.4" customHeight="1" x14ac:dyDescent="0.3">
      <c r="A538" s="630" t="s">
        <v>545</v>
      </c>
      <c r="B538" s="631" t="s">
        <v>1978</v>
      </c>
      <c r="C538" s="632" t="s">
        <v>561</v>
      </c>
      <c r="D538" s="633" t="s">
        <v>1982</v>
      </c>
      <c r="E538" s="632" t="s">
        <v>573</v>
      </c>
      <c r="F538" s="633" t="s">
        <v>1985</v>
      </c>
      <c r="G538" s="632" t="s">
        <v>1438</v>
      </c>
      <c r="H538" s="632" t="s">
        <v>1493</v>
      </c>
      <c r="I538" s="632" t="s">
        <v>1494</v>
      </c>
      <c r="J538" s="632" t="s">
        <v>1495</v>
      </c>
      <c r="K538" s="632" t="s">
        <v>1496</v>
      </c>
      <c r="L538" s="634">
        <v>139.67003753723901</v>
      </c>
      <c r="M538" s="634">
        <v>66</v>
      </c>
      <c r="N538" s="635">
        <v>9218.2224774577753</v>
      </c>
    </row>
    <row r="539" spans="1:14" ht="14.4" customHeight="1" x14ac:dyDescent="0.3">
      <c r="A539" s="630" t="s">
        <v>545</v>
      </c>
      <c r="B539" s="631" t="s">
        <v>1978</v>
      </c>
      <c r="C539" s="632" t="s">
        <v>561</v>
      </c>
      <c r="D539" s="633" t="s">
        <v>1982</v>
      </c>
      <c r="E539" s="632" t="s">
        <v>573</v>
      </c>
      <c r="F539" s="633" t="s">
        <v>1985</v>
      </c>
      <c r="G539" s="632" t="s">
        <v>1438</v>
      </c>
      <c r="H539" s="632" t="s">
        <v>1952</v>
      </c>
      <c r="I539" s="632" t="s">
        <v>1953</v>
      </c>
      <c r="J539" s="632" t="s">
        <v>1954</v>
      </c>
      <c r="K539" s="632" t="s">
        <v>1955</v>
      </c>
      <c r="L539" s="634">
        <v>380.51999999999987</v>
      </c>
      <c r="M539" s="634">
        <v>4</v>
      </c>
      <c r="N539" s="635">
        <v>1522.0799999999995</v>
      </c>
    </row>
    <row r="540" spans="1:14" ht="14.4" customHeight="1" x14ac:dyDescent="0.3">
      <c r="A540" s="630" t="s">
        <v>545</v>
      </c>
      <c r="B540" s="631" t="s">
        <v>1978</v>
      </c>
      <c r="C540" s="632" t="s">
        <v>561</v>
      </c>
      <c r="D540" s="633" t="s">
        <v>1982</v>
      </c>
      <c r="E540" s="632" t="s">
        <v>573</v>
      </c>
      <c r="F540" s="633" t="s">
        <v>1985</v>
      </c>
      <c r="G540" s="632" t="s">
        <v>1438</v>
      </c>
      <c r="H540" s="632" t="s">
        <v>1508</v>
      </c>
      <c r="I540" s="632" t="s">
        <v>1509</v>
      </c>
      <c r="J540" s="632" t="s">
        <v>1495</v>
      </c>
      <c r="K540" s="632" t="s">
        <v>1510</v>
      </c>
      <c r="L540" s="634">
        <v>177.9700146811727</v>
      </c>
      <c r="M540" s="634">
        <v>51</v>
      </c>
      <c r="N540" s="635">
        <v>9076.4707487398082</v>
      </c>
    </row>
    <row r="541" spans="1:14" ht="14.4" customHeight="1" x14ac:dyDescent="0.3">
      <c r="A541" s="630" t="s">
        <v>545</v>
      </c>
      <c r="B541" s="631" t="s">
        <v>1978</v>
      </c>
      <c r="C541" s="632" t="s">
        <v>561</v>
      </c>
      <c r="D541" s="633" t="s">
        <v>1982</v>
      </c>
      <c r="E541" s="632" t="s">
        <v>573</v>
      </c>
      <c r="F541" s="633" t="s">
        <v>1985</v>
      </c>
      <c r="G541" s="632" t="s">
        <v>1438</v>
      </c>
      <c r="H541" s="632" t="s">
        <v>1936</v>
      </c>
      <c r="I541" s="632" t="s">
        <v>1937</v>
      </c>
      <c r="J541" s="632" t="s">
        <v>1938</v>
      </c>
      <c r="K541" s="632" t="s">
        <v>1939</v>
      </c>
      <c r="L541" s="634">
        <v>207.7475</v>
      </c>
      <c r="M541" s="634">
        <v>4</v>
      </c>
      <c r="N541" s="635">
        <v>830.99</v>
      </c>
    </row>
    <row r="542" spans="1:14" ht="14.4" customHeight="1" x14ac:dyDescent="0.3">
      <c r="A542" s="630" t="s">
        <v>545</v>
      </c>
      <c r="B542" s="631" t="s">
        <v>1978</v>
      </c>
      <c r="C542" s="632" t="s">
        <v>561</v>
      </c>
      <c r="D542" s="633" t="s">
        <v>1982</v>
      </c>
      <c r="E542" s="632" t="s">
        <v>573</v>
      </c>
      <c r="F542" s="633" t="s">
        <v>1985</v>
      </c>
      <c r="G542" s="632" t="s">
        <v>1438</v>
      </c>
      <c r="H542" s="632" t="s">
        <v>1940</v>
      </c>
      <c r="I542" s="632" t="s">
        <v>1941</v>
      </c>
      <c r="J542" s="632" t="s">
        <v>1938</v>
      </c>
      <c r="K542" s="632" t="s">
        <v>1942</v>
      </c>
      <c r="L542" s="634">
        <v>708.25362882798606</v>
      </c>
      <c r="M542" s="634">
        <v>14</v>
      </c>
      <c r="N542" s="635">
        <v>9915.5508035918047</v>
      </c>
    </row>
    <row r="543" spans="1:14" ht="14.4" customHeight="1" x14ac:dyDescent="0.3">
      <c r="A543" s="630" t="s">
        <v>545</v>
      </c>
      <c r="B543" s="631" t="s">
        <v>1978</v>
      </c>
      <c r="C543" s="632" t="s">
        <v>561</v>
      </c>
      <c r="D543" s="633" t="s">
        <v>1982</v>
      </c>
      <c r="E543" s="632" t="s">
        <v>573</v>
      </c>
      <c r="F543" s="633" t="s">
        <v>1985</v>
      </c>
      <c r="G543" s="632" t="s">
        <v>1438</v>
      </c>
      <c r="H543" s="632" t="s">
        <v>1531</v>
      </c>
      <c r="I543" s="632" t="s">
        <v>1532</v>
      </c>
      <c r="J543" s="632" t="s">
        <v>1533</v>
      </c>
      <c r="K543" s="632" t="s">
        <v>1534</v>
      </c>
      <c r="L543" s="634">
        <v>337.33764227837929</v>
      </c>
      <c r="M543" s="634">
        <v>7</v>
      </c>
      <c r="N543" s="635">
        <v>2361.3634959486549</v>
      </c>
    </row>
    <row r="544" spans="1:14" ht="14.4" customHeight="1" x14ac:dyDescent="0.3">
      <c r="A544" s="630" t="s">
        <v>545</v>
      </c>
      <c r="B544" s="631" t="s">
        <v>1978</v>
      </c>
      <c r="C544" s="632" t="s">
        <v>561</v>
      </c>
      <c r="D544" s="633" t="s">
        <v>1982</v>
      </c>
      <c r="E544" s="632" t="s">
        <v>573</v>
      </c>
      <c r="F544" s="633" t="s">
        <v>1985</v>
      </c>
      <c r="G544" s="632" t="s">
        <v>1438</v>
      </c>
      <c r="H544" s="632" t="s">
        <v>1943</v>
      </c>
      <c r="I544" s="632" t="s">
        <v>1943</v>
      </c>
      <c r="J544" s="632" t="s">
        <v>1944</v>
      </c>
      <c r="K544" s="632" t="s">
        <v>1945</v>
      </c>
      <c r="L544" s="634">
        <v>2798.3333333333335</v>
      </c>
      <c r="M544" s="634">
        <v>144</v>
      </c>
      <c r="N544" s="635">
        <v>402960</v>
      </c>
    </row>
    <row r="545" spans="1:14" ht="14.4" customHeight="1" x14ac:dyDescent="0.3">
      <c r="A545" s="630" t="s">
        <v>545</v>
      </c>
      <c r="B545" s="631" t="s">
        <v>1978</v>
      </c>
      <c r="C545" s="632" t="s">
        <v>564</v>
      </c>
      <c r="D545" s="633" t="s">
        <v>1983</v>
      </c>
      <c r="E545" s="632" t="s">
        <v>573</v>
      </c>
      <c r="F545" s="633" t="s">
        <v>1985</v>
      </c>
      <c r="G545" s="632" t="s">
        <v>574</v>
      </c>
      <c r="H545" s="632" t="s">
        <v>624</v>
      </c>
      <c r="I545" s="632" t="s">
        <v>624</v>
      </c>
      <c r="J545" s="632" t="s">
        <v>576</v>
      </c>
      <c r="K545" s="632" t="s">
        <v>625</v>
      </c>
      <c r="L545" s="634">
        <v>179.4</v>
      </c>
      <c r="M545" s="634">
        <v>1</v>
      </c>
      <c r="N545" s="635">
        <v>179.4</v>
      </c>
    </row>
    <row r="546" spans="1:14" ht="14.4" customHeight="1" x14ac:dyDescent="0.3">
      <c r="A546" s="630" t="s">
        <v>545</v>
      </c>
      <c r="B546" s="631" t="s">
        <v>1978</v>
      </c>
      <c r="C546" s="632" t="s">
        <v>564</v>
      </c>
      <c r="D546" s="633" t="s">
        <v>1983</v>
      </c>
      <c r="E546" s="632" t="s">
        <v>573</v>
      </c>
      <c r="F546" s="633" t="s">
        <v>1985</v>
      </c>
      <c r="G546" s="632" t="s">
        <v>574</v>
      </c>
      <c r="H546" s="632" t="s">
        <v>575</v>
      </c>
      <c r="I546" s="632" t="s">
        <v>575</v>
      </c>
      <c r="J546" s="632" t="s">
        <v>576</v>
      </c>
      <c r="K546" s="632" t="s">
        <v>577</v>
      </c>
      <c r="L546" s="634">
        <v>97.18</v>
      </c>
      <c r="M546" s="634">
        <v>2</v>
      </c>
      <c r="N546" s="635">
        <v>194.36</v>
      </c>
    </row>
    <row r="547" spans="1:14" ht="14.4" customHeight="1" x14ac:dyDescent="0.3">
      <c r="A547" s="630" t="s">
        <v>545</v>
      </c>
      <c r="B547" s="631" t="s">
        <v>1978</v>
      </c>
      <c r="C547" s="632" t="s">
        <v>564</v>
      </c>
      <c r="D547" s="633" t="s">
        <v>1983</v>
      </c>
      <c r="E547" s="632" t="s">
        <v>573</v>
      </c>
      <c r="F547" s="633" t="s">
        <v>1985</v>
      </c>
      <c r="G547" s="632" t="s">
        <v>574</v>
      </c>
      <c r="H547" s="632" t="s">
        <v>578</v>
      </c>
      <c r="I547" s="632" t="s">
        <v>578</v>
      </c>
      <c r="J547" s="632" t="s">
        <v>576</v>
      </c>
      <c r="K547" s="632" t="s">
        <v>579</v>
      </c>
      <c r="L547" s="634">
        <v>97.75</v>
      </c>
      <c r="M547" s="634">
        <v>6</v>
      </c>
      <c r="N547" s="635">
        <v>586.5</v>
      </c>
    </row>
    <row r="548" spans="1:14" ht="14.4" customHeight="1" x14ac:dyDescent="0.3">
      <c r="A548" s="630" t="s">
        <v>545</v>
      </c>
      <c r="B548" s="631" t="s">
        <v>1978</v>
      </c>
      <c r="C548" s="632" t="s">
        <v>564</v>
      </c>
      <c r="D548" s="633" t="s">
        <v>1983</v>
      </c>
      <c r="E548" s="632" t="s">
        <v>573</v>
      </c>
      <c r="F548" s="633" t="s">
        <v>1985</v>
      </c>
      <c r="G548" s="632" t="s">
        <v>574</v>
      </c>
      <c r="H548" s="632" t="s">
        <v>634</v>
      </c>
      <c r="I548" s="632" t="s">
        <v>635</v>
      </c>
      <c r="J548" s="632" t="s">
        <v>636</v>
      </c>
      <c r="K548" s="632" t="s">
        <v>637</v>
      </c>
      <c r="L548" s="634">
        <v>84.57</v>
      </c>
      <c r="M548" s="634">
        <v>2</v>
      </c>
      <c r="N548" s="635">
        <v>169.14</v>
      </c>
    </row>
    <row r="549" spans="1:14" ht="14.4" customHeight="1" x14ac:dyDescent="0.3">
      <c r="A549" s="630" t="s">
        <v>545</v>
      </c>
      <c r="B549" s="631" t="s">
        <v>1978</v>
      </c>
      <c r="C549" s="632" t="s">
        <v>564</v>
      </c>
      <c r="D549" s="633" t="s">
        <v>1983</v>
      </c>
      <c r="E549" s="632" t="s">
        <v>573</v>
      </c>
      <c r="F549" s="633" t="s">
        <v>1985</v>
      </c>
      <c r="G549" s="632" t="s">
        <v>574</v>
      </c>
      <c r="H549" s="632" t="s">
        <v>580</v>
      </c>
      <c r="I549" s="632" t="s">
        <v>581</v>
      </c>
      <c r="J549" s="632" t="s">
        <v>582</v>
      </c>
      <c r="K549" s="632" t="s">
        <v>583</v>
      </c>
      <c r="L549" s="634">
        <v>101.89999999999999</v>
      </c>
      <c r="M549" s="634">
        <v>2</v>
      </c>
      <c r="N549" s="635">
        <v>203.79999999999998</v>
      </c>
    </row>
    <row r="550" spans="1:14" ht="14.4" customHeight="1" x14ac:dyDescent="0.3">
      <c r="A550" s="630" t="s">
        <v>545</v>
      </c>
      <c r="B550" s="631" t="s">
        <v>1978</v>
      </c>
      <c r="C550" s="632" t="s">
        <v>564</v>
      </c>
      <c r="D550" s="633" t="s">
        <v>1983</v>
      </c>
      <c r="E550" s="632" t="s">
        <v>573</v>
      </c>
      <c r="F550" s="633" t="s">
        <v>1985</v>
      </c>
      <c r="G550" s="632" t="s">
        <v>574</v>
      </c>
      <c r="H550" s="632" t="s">
        <v>641</v>
      </c>
      <c r="I550" s="632" t="s">
        <v>642</v>
      </c>
      <c r="J550" s="632" t="s">
        <v>643</v>
      </c>
      <c r="K550" s="632" t="s">
        <v>644</v>
      </c>
      <c r="L550" s="634">
        <v>170.12</v>
      </c>
      <c r="M550" s="634">
        <v>1</v>
      </c>
      <c r="N550" s="635">
        <v>170.12</v>
      </c>
    </row>
    <row r="551" spans="1:14" ht="14.4" customHeight="1" x14ac:dyDescent="0.3">
      <c r="A551" s="630" t="s">
        <v>545</v>
      </c>
      <c r="B551" s="631" t="s">
        <v>1978</v>
      </c>
      <c r="C551" s="632" t="s">
        <v>564</v>
      </c>
      <c r="D551" s="633" t="s">
        <v>1983</v>
      </c>
      <c r="E551" s="632" t="s">
        <v>573</v>
      </c>
      <c r="F551" s="633" t="s">
        <v>1985</v>
      </c>
      <c r="G551" s="632" t="s">
        <v>574</v>
      </c>
      <c r="H551" s="632" t="s">
        <v>664</v>
      </c>
      <c r="I551" s="632" t="s">
        <v>665</v>
      </c>
      <c r="J551" s="632" t="s">
        <v>666</v>
      </c>
      <c r="K551" s="632" t="s">
        <v>667</v>
      </c>
      <c r="L551" s="634">
        <v>27.42</v>
      </c>
      <c r="M551" s="634">
        <v>1</v>
      </c>
      <c r="N551" s="635">
        <v>27.42</v>
      </c>
    </row>
    <row r="552" spans="1:14" ht="14.4" customHeight="1" x14ac:dyDescent="0.3">
      <c r="A552" s="630" t="s">
        <v>545</v>
      </c>
      <c r="B552" s="631" t="s">
        <v>1978</v>
      </c>
      <c r="C552" s="632" t="s">
        <v>564</v>
      </c>
      <c r="D552" s="633" t="s">
        <v>1983</v>
      </c>
      <c r="E552" s="632" t="s">
        <v>573</v>
      </c>
      <c r="F552" s="633" t="s">
        <v>1985</v>
      </c>
      <c r="G552" s="632" t="s">
        <v>574</v>
      </c>
      <c r="H552" s="632" t="s">
        <v>687</v>
      </c>
      <c r="I552" s="632" t="s">
        <v>688</v>
      </c>
      <c r="J552" s="632" t="s">
        <v>689</v>
      </c>
      <c r="K552" s="632" t="s">
        <v>690</v>
      </c>
      <c r="L552" s="634">
        <v>60.350026142197557</v>
      </c>
      <c r="M552" s="634">
        <v>19</v>
      </c>
      <c r="N552" s="635">
        <v>1146.6504967017536</v>
      </c>
    </row>
    <row r="553" spans="1:14" ht="14.4" customHeight="1" x14ac:dyDescent="0.3">
      <c r="A553" s="630" t="s">
        <v>545</v>
      </c>
      <c r="B553" s="631" t="s">
        <v>1978</v>
      </c>
      <c r="C553" s="632" t="s">
        <v>564</v>
      </c>
      <c r="D553" s="633" t="s">
        <v>1983</v>
      </c>
      <c r="E553" s="632" t="s">
        <v>573</v>
      </c>
      <c r="F553" s="633" t="s">
        <v>1985</v>
      </c>
      <c r="G553" s="632" t="s">
        <v>574</v>
      </c>
      <c r="H553" s="632" t="s">
        <v>699</v>
      </c>
      <c r="I553" s="632" t="s">
        <v>700</v>
      </c>
      <c r="J553" s="632" t="s">
        <v>701</v>
      </c>
      <c r="K553" s="632" t="s">
        <v>702</v>
      </c>
      <c r="L553" s="634">
        <v>260</v>
      </c>
      <c r="M553" s="634">
        <v>10</v>
      </c>
      <c r="N553" s="635">
        <v>2600</v>
      </c>
    </row>
    <row r="554" spans="1:14" ht="14.4" customHeight="1" x14ac:dyDescent="0.3">
      <c r="A554" s="630" t="s">
        <v>545</v>
      </c>
      <c r="B554" s="631" t="s">
        <v>1978</v>
      </c>
      <c r="C554" s="632" t="s">
        <v>564</v>
      </c>
      <c r="D554" s="633" t="s">
        <v>1983</v>
      </c>
      <c r="E554" s="632" t="s">
        <v>573</v>
      </c>
      <c r="F554" s="633" t="s">
        <v>1985</v>
      </c>
      <c r="G554" s="632" t="s">
        <v>574</v>
      </c>
      <c r="H554" s="632" t="s">
        <v>737</v>
      </c>
      <c r="I554" s="632" t="s">
        <v>738</v>
      </c>
      <c r="J554" s="632" t="s">
        <v>739</v>
      </c>
      <c r="K554" s="632" t="s">
        <v>740</v>
      </c>
      <c r="L554" s="634">
        <v>46</v>
      </c>
      <c r="M554" s="634">
        <v>1</v>
      </c>
      <c r="N554" s="635">
        <v>46</v>
      </c>
    </row>
    <row r="555" spans="1:14" ht="14.4" customHeight="1" x14ac:dyDescent="0.3">
      <c r="A555" s="630" t="s">
        <v>545</v>
      </c>
      <c r="B555" s="631" t="s">
        <v>1978</v>
      </c>
      <c r="C555" s="632" t="s">
        <v>564</v>
      </c>
      <c r="D555" s="633" t="s">
        <v>1983</v>
      </c>
      <c r="E555" s="632" t="s">
        <v>573</v>
      </c>
      <c r="F555" s="633" t="s">
        <v>1985</v>
      </c>
      <c r="G555" s="632" t="s">
        <v>574</v>
      </c>
      <c r="H555" s="632" t="s">
        <v>1956</v>
      </c>
      <c r="I555" s="632" t="s">
        <v>1957</v>
      </c>
      <c r="J555" s="632" t="s">
        <v>1958</v>
      </c>
      <c r="K555" s="632" t="s">
        <v>1959</v>
      </c>
      <c r="L555" s="634">
        <v>76.999999999999986</v>
      </c>
      <c r="M555" s="634">
        <v>2</v>
      </c>
      <c r="N555" s="635">
        <v>153.99999999999997</v>
      </c>
    </row>
    <row r="556" spans="1:14" ht="14.4" customHeight="1" x14ac:dyDescent="0.3">
      <c r="A556" s="630" t="s">
        <v>545</v>
      </c>
      <c r="B556" s="631" t="s">
        <v>1978</v>
      </c>
      <c r="C556" s="632" t="s">
        <v>564</v>
      </c>
      <c r="D556" s="633" t="s">
        <v>1983</v>
      </c>
      <c r="E556" s="632" t="s">
        <v>573</v>
      </c>
      <c r="F556" s="633" t="s">
        <v>1985</v>
      </c>
      <c r="G556" s="632" t="s">
        <v>574</v>
      </c>
      <c r="H556" s="632" t="s">
        <v>772</v>
      </c>
      <c r="I556" s="632" t="s">
        <v>773</v>
      </c>
      <c r="J556" s="632" t="s">
        <v>774</v>
      </c>
      <c r="K556" s="632" t="s">
        <v>775</v>
      </c>
      <c r="L556" s="634">
        <v>376.0285216324902</v>
      </c>
      <c r="M556" s="634">
        <v>1</v>
      </c>
      <c r="N556" s="635">
        <v>376.0285216324902</v>
      </c>
    </row>
    <row r="557" spans="1:14" ht="14.4" customHeight="1" x14ac:dyDescent="0.3">
      <c r="A557" s="630" t="s">
        <v>545</v>
      </c>
      <c r="B557" s="631" t="s">
        <v>1978</v>
      </c>
      <c r="C557" s="632" t="s">
        <v>564</v>
      </c>
      <c r="D557" s="633" t="s">
        <v>1983</v>
      </c>
      <c r="E557" s="632" t="s">
        <v>573</v>
      </c>
      <c r="F557" s="633" t="s">
        <v>1985</v>
      </c>
      <c r="G557" s="632" t="s">
        <v>574</v>
      </c>
      <c r="H557" s="632" t="s">
        <v>791</v>
      </c>
      <c r="I557" s="632" t="s">
        <v>792</v>
      </c>
      <c r="J557" s="632" t="s">
        <v>697</v>
      </c>
      <c r="K557" s="632" t="s">
        <v>793</v>
      </c>
      <c r="L557" s="634">
        <v>45.78</v>
      </c>
      <c r="M557" s="634">
        <v>5</v>
      </c>
      <c r="N557" s="635">
        <v>228.9</v>
      </c>
    </row>
    <row r="558" spans="1:14" ht="14.4" customHeight="1" x14ac:dyDescent="0.3">
      <c r="A558" s="630" t="s">
        <v>545</v>
      </c>
      <c r="B558" s="631" t="s">
        <v>1978</v>
      </c>
      <c r="C558" s="632" t="s">
        <v>564</v>
      </c>
      <c r="D558" s="633" t="s">
        <v>1983</v>
      </c>
      <c r="E558" s="632" t="s">
        <v>573</v>
      </c>
      <c r="F558" s="633" t="s">
        <v>1985</v>
      </c>
      <c r="G558" s="632" t="s">
        <v>574</v>
      </c>
      <c r="H558" s="632" t="s">
        <v>806</v>
      </c>
      <c r="I558" s="632" t="s">
        <v>807</v>
      </c>
      <c r="J558" s="632" t="s">
        <v>804</v>
      </c>
      <c r="K558" s="632" t="s">
        <v>808</v>
      </c>
      <c r="L558" s="634">
        <v>292.46999999999997</v>
      </c>
      <c r="M558" s="634">
        <v>1</v>
      </c>
      <c r="N558" s="635">
        <v>292.46999999999997</v>
      </c>
    </row>
    <row r="559" spans="1:14" ht="14.4" customHeight="1" x14ac:dyDescent="0.3">
      <c r="A559" s="630" t="s">
        <v>545</v>
      </c>
      <c r="B559" s="631" t="s">
        <v>1978</v>
      </c>
      <c r="C559" s="632" t="s">
        <v>564</v>
      </c>
      <c r="D559" s="633" t="s">
        <v>1983</v>
      </c>
      <c r="E559" s="632" t="s">
        <v>573</v>
      </c>
      <c r="F559" s="633" t="s">
        <v>1985</v>
      </c>
      <c r="G559" s="632" t="s">
        <v>574</v>
      </c>
      <c r="H559" s="632" t="s">
        <v>1960</v>
      </c>
      <c r="I559" s="632" t="s">
        <v>1961</v>
      </c>
      <c r="J559" s="632" t="s">
        <v>1962</v>
      </c>
      <c r="K559" s="632" t="s">
        <v>1963</v>
      </c>
      <c r="L559" s="634">
        <v>39.090000000000003</v>
      </c>
      <c r="M559" s="634">
        <v>3</v>
      </c>
      <c r="N559" s="635">
        <v>117.27000000000001</v>
      </c>
    </row>
    <row r="560" spans="1:14" ht="14.4" customHeight="1" x14ac:dyDescent="0.3">
      <c r="A560" s="630" t="s">
        <v>545</v>
      </c>
      <c r="B560" s="631" t="s">
        <v>1978</v>
      </c>
      <c r="C560" s="632" t="s">
        <v>564</v>
      </c>
      <c r="D560" s="633" t="s">
        <v>1983</v>
      </c>
      <c r="E560" s="632" t="s">
        <v>573</v>
      </c>
      <c r="F560" s="633" t="s">
        <v>1985</v>
      </c>
      <c r="G560" s="632" t="s">
        <v>574</v>
      </c>
      <c r="H560" s="632" t="s">
        <v>1840</v>
      </c>
      <c r="I560" s="632" t="s">
        <v>238</v>
      </c>
      <c r="J560" s="632" t="s">
        <v>1841</v>
      </c>
      <c r="K560" s="632"/>
      <c r="L560" s="634">
        <v>97.320311547696903</v>
      </c>
      <c r="M560" s="634">
        <v>3</v>
      </c>
      <c r="N560" s="635">
        <v>291.9609346430907</v>
      </c>
    </row>
    <row r="561" spans="1:14" ht="14.4" customHeight="1" x14ac:dyDescent="0.3">
      <c r="A561" s="630" t="s">
        <v>545</v>
      </c>
      <c r="B561" s="631" t="s">
        <v>1978</v>
      </c>
      <c r="C561" s="632" t="s">
        <v>564</v>
      </c>
      <c r="D561" s="633" t="s">
        <v>1983</v>
      </c>
      <c r="E561" s="632" t="s">
        <v>573</v>
      </c>
      <c r="F561" s="633" t="s">
        <v>1985</v>
      </c>
      <c r="G561" s="632" t="s">
        <v>574</v>
      </c>
      <c r="H561" s="632" t="s">
        <v>928</v>
      </c>
      <c r="I561" s="632" t="s">
        <v>929</v>
      </c>
      <c r="J561" s="632" t="s">
        <v>930</v>
      </c>
      <c r="K561" s="632" t="s">
        <v>931</v>
      </c>
      <c r="L561" s="634">
        <v>197.48395743415699</v>
      </c>
      <c r="M561" s="634">
        <v>1</v>
      </c>
      <c r="N561" s="635">
        <v>197.48395743415699</v>
      </c>
    </row>
    <row r="562" spans="1:14" ht="14.4" customHeight="1" x14ac:dyDescent="0.3">
      <c r="A562" s="630" t="s">
        <v>545</v>
      </c>
      <c r="B562" s="631" t="s">
        <v>1978</v>
      </c>
      <c r="C562" s="632" t="s">
        <v>564</v>
      </c>
      <c r="D562" s="633" t="s">
        <v>1983</v>
      </c>
      <c r="E562" s="632" t="s">
        <v>573</v>
      </c>
      <c r="F562" s="633" t="s">
        <v>1985</v>
      </c>
      <c r="G562" s="632" t="s">
        <v>574</v>
      </c>
      <c r="H562" s="632" t="s">
        <v>1023</v>
      </c>
      <c r="I562" s="632" t="s">
        <v>1024</v>
      </c>
      <c r="J562" s="632" t="s">
        <v>1025</v>
      </c>
      <c r="K562" s="632" t="s">
        <v>1026</v>
      </c>
      <c r="L562" s="634">
        <v>82.259999999999962</v>
      </c>
      <c r="M562" s="634">
        <v>2</v>
      </c>
      <c r="N562" s="635">
        <v>164.51999999999992</v>
      </c>
    </row>
    <row r="563" spans="1:14" ht="14.4" customHeight="1" x14ac:dyDescent="0.3">
      <c r="A563" s="630" t="s">
        <v>545</v>
      </c>
      <c r="B563" s="631" t="s">
        <v>1978</v>
      </c>
      <c r="C563" s="632" t="s">
        <v>564</v>
      </c>
      <c r="D563" s="633" t="s">
        <v>1983</v>
      </c>
      <c r="E563" s="632" t="s">
        <v>573</v>
      </c>
      <c r="F563" s="633" t="s">
        <v>1985</v>
      </c>
      <c r="G563" s="632" t="s">
        <v>574</v>
      </c>
      <c r="H563" s="632" t="s">
        <v>1063</v>
      </c>
      <c r="I563" s="632" t="s">
        <v>1064</v>
      </c>
      <c r="J563" s="632" t="s">
        <v>1065</v>
      </c>
      <c r="K563" s="632" t="s">
        <v>883</v>
      </c>
      <c r="L563" s="634">
        <v>52.409846613734054</v>
      </c>
      <c r="M563" s="634">
        <v>2</v>
      </c>
      <c r="N563" s="635">
        <v>104.81969322746811</v>
      </c>
    </row>
    <row r="564" spans="1:14" ht="14.4" customHeight="1" x14ac:dyDescent="0.3">
      <c r="A564" s="630" t="s">
        <v>545</v>
      </c>
      <c r="B564" s="631" t="s">
        <v>1978</v>
      </c>
      <c r="C564" s="632" t="s">
        <v>564</v>
      </c>
      <c r="D564" s="633" t="s">
        <v>1983</v>
      </c>
      <c r="E564" s="632" t="s">
        <v>573</v>
      </c>
      <c r="F564" s="633" t="s">
        <v>1985</v>
      </c>
      <c r="G564" s="632" t="s">
        <v>574</v>
      </c>
      <c r="H564" s="632" t="s">
        <v>1074</v>
      </c>
      <c r="I564" s="632" t="s">
        <v>1075</v>
      </c>
      <c r="J564" s="632" t="s">
        <v>588</v>
      </c>
      <c r="K564" s="632" t="s">
        <v>1076</v>
      </c>
      <c r="L564" s="634">
        <v>555.41999999999996</v>
      </c>
      <c r="M564" s="634">
        <v>6</v>
      </c>
      <c r="N564" s="635">
        <v>3332.52</v>
      </c>
    </row>
    <row r="565" spans="1:14" ht="14.4" customHeight="1" x14ac:dyDescent="0.3">
      <c r="A565" s="630" t="s">
        <v>545</v>
      </c>
      <c r="B565" s="631" t="s">
        <v>1978</v>
      </c>
      <c r="C565" s="632" t="s">
        <v>564</v>
      </c>
      <c r="D565" s="633" t="s">
        <v>1983</v>
      </c>
      <c r="E565" s="632" t="s">
        <v>573</v>
      </c>
      <c r="F565" s="633" t="s">
        <v>1985</v>
      </c>
      <c r="G565" s="632" t="s">
        <v>574</v>
      </c>
      <c r="H565" s="632" t="s">
        <v>586</v>
      </c>
      <c r="I565" s="632" t="s">
        <v>587</v>
      </c>
      <c r="J565" s="632" t="s">
        <v>588</v>
      </c>
      <c r="K565" s="632" t="s">
        <v>589</v>
      </c>
      <c r="L565" s="634">
        <v>327.06000000000006</v>
      </c>
      <c r="M565" s="634">
        <v>5</v>
      </c>
      <c r="N565" s="635">
        <v>1635.3000000000002</v>
      </c>
    </row>
    <row r="566" spans="1:14" ht="14.4" customHeight="1" x14ac:dyDescent="0.3">
      <c r="A566" s="630" t="s">
        <v>545</v>
      </c>
      <c r="B566" s="631" t="s">
        <v>1978</v>
      </c>
      <c r="C566" s="632" t="s">
        <v>564</v>
      </c>
      <c r="D566" s="633" t="s">
        <v>1983</v>
      </c>
      <c r="E566" s="632" t="s">
        <v>573</v>
      </c>
      <c r="F566" s="633" t="s">
        <v>1985</v>
      </c>
      <c r="G566" s="632" t="s">
        <v>574</v>
      </c>
      <c r="H566" s="632" t="s">
        <v>1077</v>
      </c>
      <c r="I566" s="632" t="s">
        <v>1078</v>
      </c>
      <c r="J566" s="632" t="s">
        <v>588</v>
      </c>
      <c r="K566" s="632" t="s">
        <v>1079</v>
      </c>
      <c r="L566" s="634">
        <v>246.32942564090038</v>
      </c>
      <c r="M566" s="634">
        <v>29</v>
      </c>
      <c r="N566" s="635">
        <v>7143.5533435861107</v>
      </c>
    </row>
    <row r="567" spans="1:14" ht="14.4" customHeight="1" x14ac:dyDescent="0.3">
      <c r="A567" s="630" t="s">
        <v>545</v>
      </c>
      <c r="B567" s="631" t="s">
        <v>1978</v>
      </c>
      <c r="C567" s="632" t="s">
        <v>564</v>
      </c>
      <c r="D567" s="633" t="s">
        <v>1983</v>
      </c>
      <c r="E567" s="632" t="s">
        <v>573</v>
      </c>
      <c r="F567" s="633" t="s">
        <v>1985</v>
      </c>
      <c r="G567" s="632" t="s">
        <v>574</v>
      </c>
      <c r="H567" s="632" t="s">
        <v>1109</v>
      </c>
      <c r="I567" s="632" t="s">
        <v>1110</v>
      </c>
      <c r="J567" s="632" t="s">
        <v>1111</v>
      </c>
      <c r="K567" s="632" t="s">
        <v>1112</v>
      </c>
      <c r="L567" s="634">
        <v>57.353888888888882</v>
      </c>
      <c r="M567" s="634">
        <v>18</v>
      </c>
      <c r="N567" s="635">
        <v>1032.3699999999999</v>
      </c>
    </row>
    <row r="568" spans="1:14" ht="14.4" customHeight="1" x14ac:dyDescent="0.3">
      <c r="A568" s="630" t="s">
        <v>545</v>
      </c>
      <c r="B568" s="631" t="s">
        <v>1978</v>
      </c>
      <c r="C568" s="632" t="s">
        <v>564</v>
      </c>
      <c r="D568" s="633" t="s">
        <v>1983</v>
      </c>
      <c r="E568" s="632" t="s">
        <v>573</v>
      </c>
      <c r="F568" s="633" t="s">
        <v>1985</v>
      </c>
      <c r="G568" s="632" t="s">
        <v>574</v>
      </c>
      <c r="H568" s="632" t="s">
        <v>1157</v>
      </c>
      <c r="I568" s="632" t="s">
        <v>1158</v>
      </c>
      <c r="J568" s="632" t="s">
        <v>1159</v>
      </c>
      <c r="K568" s="632" t="s">
        <v>1160</v>
      </c>
      <c r="L568" s="634">
        <v>117.73950030276876</v>
      </c>
      <c r="M568" s="634">
        <v>160</v>
      </c>
      <c r="N568" s="635">
        <v>18838.320048443002</v>
      </c>
    </row>
    <row r="569" spans="1:14" ht="14.4" customHeight="1" x14ac:dyDescent="0.3">
      <c r="A569" s="630" t="s">
        <v>545</v>
      </c>
      <c r="B569" s="631" t="s">
        <v>1978</v>
      </c>
      <c r="C569" s="632" t="s">
        <v>564</v>
      </c>
      <c r="D569" s="633" t="s">
        <v>1983</v>
      </c>
      <c r="E569" s="632" t="s">
        <v>573</v>
      </c>
      <c r="F569" s="633" t="s">
        <v>1985</v>
      </c>
      <c r="G569" s="632" t="s">
        <v>574</v>
      </c>
      <c r="H569" s="632" t="s">
        <v>1220</v>
      </c>
      <c r="I569" s="632" t="s">
        <v>1221</v>
      </c>
      <c r="J569" s="632" t="s">
        <v>1222</v>
      </c>
      <c r="K569" s="632" t="s">
        <v>1223</v>
      </c>
      <c r="L569" s="634">
        <v>54.674930566808996</v>
      </c>
      <c r="M569" s="634">
        <v>4</v>
      </c>
      <c r="N569" s="635">
        <v>218.69972226723598</v>
      </c>
    </row>
    <row r="570" spans="1:14" ht="14.4" customHeight="1" x14ac:dyDescent="0.3">
      <c r="A570" s="630" t="s">
        <v>545</v>
      </c>
      <c r="B570" s="631" t="s">
        <v>1978</v>
      </c>
      <c r="C570" s="632" t="s">
        <v>564</v>
      </c>
      <c r="D570" s="633" t="s">
        <v>1983</v>
      </c>
      <c r="E570" s="632" t="s">
        <v>573</v>
      </c>
      <c r="F570" s="633" t="s">
        <v>1985</v>
      </c>
      <c r="G570" s="632" t="s">
        <v>574</v>
      </c>
      <c r="H570" s="632" t="s">
        <v>1244</v>
      </c>
      <c r="I570" s="632" t="s">
        <v>1245</v>
      </c>
      <c r="J570" s="632" t="s">
        <v>588</v>
      </c>
      <c r="K570" s="632" t="s">
        <v>702</v>
      </c>
      <c r="L570" s="634">
        <v>210.44999999999996</v>
      </c>
      <c r="M570" s="634">
        <v>3</v>
      </c>
      <c r="N570" s="635">
        <v>631.34999999999991</v>
      </c>
    </row>
    <row r="571" spans="1:14" ht="14.4" customHeight="1" x14ac:dyDescent="0.3">
      <c r="A571" s="630" t="s">
        <v>545</v>
      </c>
      <c r="B571" s="631" t="s">
        <v>1978</v>
      </c>
      <c r="C571" s="632" t="s">
        <v>564</v>
      </c>
      <c r="D571" s="633" t="s">
        <v>1983</v>
      </c>
      <c r="E571" s="632" t="s">
        <v>573</v>
      </c>
      <c r="F571" s="633" t="s">
        <v>1985</v>
      </c>
      <c r="G571" s="632" t="s">
        <v>574</v>
      </c>
      <c r="H571" s="632" t="s">
        <v>1254</v>
      </c>
      <c r="I571" s="632" t="s">
        <v>1255</v>
      </c>
      <c r="J571" s="632" t="s">
        <v>1256</v>
      </c>
      <c r="K571" s="632" t="s">
        <v>1257</v>
      </c>
      <c r="L571" s="634">
        <v>339.93999750125067</v>
      </c>
      <c r="M571" s="634">
        <v>17</v>
      </c>
      <c r="N571" s="635">
        <v>5778.9799575212619</v>
      </c>
    </row>
    <row r="572" spans="1:14" ht="14.4" customHeight="1" x14ac:dyDescent="0.3">
      <c r="A572" s="630" t="s">
        <v>545</v>
      </c>
      <c r="B572" s="631" t="s">
        <v>1978</v>
      </c>
      <c r="C572" s="632" t="s">
        <v>564</v>
      </c>
      <c r="D572" s="633" t="s">
        <v>1983</v>
      </c>
      <c r="E572" s="632" t="s">
        <v>573</v>
      </c>
      <c r="F572" s="633" t="s">
        <v>1985</v>
      </c>
      <c r="G572" s="632" t="s">
        <v>574</v>
      </c>
      <c r="H572" s="632" t="s">
        <v>590</v>
      </c>
      <c r="I572" s="632" t="s">
        <v>591</v>
      </c>
      <c r="J572" s="632" t="s">
        <v>592</v>
      </c>
      <c r="K572" s="632" t="s">
        <v>593</v>
      </c>
      <c r="L572" s="634">
        <v>291.78999999999996</v>
      </c>
      <c r="M572" s="634">
        <v>8</v>
      </c>
      <c r="N572" s="635">
        <v>2334.3199999999997</v>
      </c>
    </row>
    <row r="573" spans="1:14" ht="14.4" customHeight="1" x14ac:dyDescent="0.3">
      <c r="A573" s="630" t="s">
        <v>545</v>
      </c>
      <c r="B573" s="631" t="s">
        <v>1978</v>
      </c>
      <c r="C573" s="632" t="s">
        <v>564</v>
      </c>
      <c r="D573" s="633" t="s">
        <v>1983</v>
      </c>
      <c r="E573" s="632" t="s">
        <v>573</v>
      </c>
      <c r="F573" s="633" t="s">
        <v>1985</v>
      </c>
      <c r="G573" s="632" t="s">
        <v>574</v>
      </c>
      <c r="H573" s="632" t="s">
        <v>1856</v>
      </c>
      <c r="I573" s="632" t="s">
        <v>238</v>
      </c>
      <c r="J573" s="632" t="s">
        <v>1857</v>
      </c>
      <c r="K573" s="632"/>
      <c r="L573" s="634">
        <v>30.358905205906833</v>
      </c>
      <c r="M573" s="634">
        <v>4</v>
      </c>
      <c r="N573" s="635">
        <v>121.43562082362733</v>
      </c>
    </row>
    <row r="574" spans="1:14" ht="14.4" customHeight="1" x14ac:dyDescent="0.3">
      <c r="A574" s="630" t="s">
        <v>545</v>
      </c>
      <c r="B574" s="631" t="s">
        <v>1978</v>
      </c>
      <c r="C574" s="632" t="s">
        <v>564</v>
      </c>
      <c r="D574" s="633" t="s">
        <v>1983</v>
      </c>
      <c r="E574" s="632" t="s">
        <v>573</v>
      </c>
      <c r="F574" s="633" t="s">
        <v>1985</v>
      </c>
      <c r="G574" s="632" t="s">
        <v>574</v>
      </c>
      <c r="H574" s="632" t="s">
        <v>1873</v>
      </c>
      <c r="I574" s="632" t="s">
        <v>1874</v>
      </c>
      <c r="J574" s="632" t="s">
        <v>1875</v>
      </c>
      <c r="K574" s="632" t="s">
        <v>1876</v>
      </c>
      <c r="L574" s="634">
        <v>649.84999999999991</v>
      </c>
      <c r="M574" s="634">
        <v>2</v>
      </c>
      <c r="N574" s="635">
        <v>1299.6999999999998</v>
      </c>
    </row>
    <row r="575" spans="1:14" ht="14.4" customHeight="1" x14ac:dyDescent="0.3">
      <c r="A575" s="630" t="s">
        <v>545</v>
      </c>
      <c r="B575" s="631" t="s">
        <v>1978</v>
      </c>
      <c r="C575" s="632" t="s">
        <v>564</v>
      </c>
      <c r="D575" s="633" t="s">
        <v>1983</v>
      </c>
      <c r="E575" s="632" t="s">
        <v>573</v>
      </c>
      <c r="F575" s="633" t="s">
        <v>1985</v>
      </c>
      <c r="G575" s="632" t="s">
        <v>574</v>
      </c>
      <c r="H575" s="632" t="s">
        <v>1393</v>
      </c>
      <c r="I575" s="632" t="s">
        <v>1393</v>
      </c>
      <c r="J575" s="632" t="s">
        <v>1394</v>
      </c>
      <c r="K575" s="632" t="s">
        <v>1079</v>
      </c>
      <c r="L575" s="634">
        <v>379.10999999999996</v>
      </c>
      <c r="M575" s="634">
        <v>19</v>
      </c>
      <c r="N575" s="635">
        <v>7203.0899999999992</v>
      </c>
    </row>
    <row r="576" spans="1:14" ht="14.4" customHeight="1" x14ac:dyDescent="0.3">
      <c r="A576" s="630" t="s">
        <v>545</v>
      </c>
      <c r="B576" s="631" t="s">
        <v>1978</v>
      </c>
      <c r="C576" s="632" t="s">
        <v>564</v>
      </c>
      <c r="D576" s="633" t="s">
        <v>1983</v>
      </c>
      <c r="E576" s="632" t="s">
        <v>573</v>
      </c>
      <c r="F576" s="633" t="s">
        <v>1985</v>
      </c>
      <c r="G576" s="632" t="s">
        <v>574</v>
      </c>
      <c r="H576" s="632" t="s">
        <v>1428</v>
      </c>
      <c r="I576" s="632" t="s">
        <v>1428</v>
      </c>
      <c r="J576" s="632" t="s">
        <v>655</v>
      </c>
      <c r="K576" s="632" t="s">
        <v>1429</v>
      </c>
      <c r="L576" s="634">
        <v>59.96</v>
      </c>
      <c r="M576" s="634">
        <v>2</v>
      </c>
      <c r="N576" s="635">
        <v>119.92</v>
      </c>
    </row>
    <row r="577" spans="1:14" ht="14.4" customHeight="1" x14ac:dyDescent="0.3">
      <c r="A577" s="630" t="s">
        <v>545</v>
      </c>
      <c r="B577" s="631" t="s">
        <v>1978</v>
      </c>
      <c r="C577" s="632" t="s">
        <v>564</v>
      </c>
      <c r="D577" s="633" t="s">
        <v>1983</v>
      </c>
      <c r="E577" s="632" t="s">
        <v>573</v>
      </c>
      <c r="F577" s="633" t="s">
        <v>1985</v>
      </c>
      <c r="G577" s="632" t="s">
        <v>1438</v>
      </c>
      <c r="H577" s="632" t="s">
        <v>1443</v>
      </c>
      <c r="I577" s="632" t="s">
        <v>1444</v>
      </c>
      <c r="J577" s="632" t="s">
        <v>1445</v>
      </c>
      <c r="K577" s="632" t="s">
        <v>1446</v>
      </c>
      <c r="L577" s="634">
        <v>36.330000000000005</v>
      </c>
      <c r="M577" s="634">
        <v>4</v>
      </c>
      <c r="N577" s="635">
        <v>145.32000000000002</v>
      </c>
    </row>
    <row r="578" spans="1:14" ht="14.4" customHeight="1" x14ac:dyDescent="0.3">
      <c r="A578" s="630" t="s">
        <v>545</v>
      </c>
      <c r="B578" s="631" t="s">
        <v>1978</v>
      </c>
      <c r="C578" s="632" t="s">
        <v>564</v>
      </c>
      <c r="D578" s="633" t="s">
        <v>1983</v>
      </c>
      <c r="E578" s="632" t="s">
        <v>573</v>
      </c>
      <c r="F578" s="633" t="s">
        <v>1985</v>
      </c>
      <c r="G578" s="632" t="s">
        <v>1438</v>
      </c>
      <c r="H578" s="632" t="s">
        <v>1964</v>
      </c>
      <c r="I578" s="632" t="s">
        <v>1965</v>
      </c>
      <c r="J578" s="632" t="s">
        <v>1966</v>
      </c>
      <c r="K578" s="632" t="s">
        <v>1967</v>
      </c>
      <c r="L578" s="634">
        <v>58.88</v>
      </c>
      <c r="M578" s="634">
        <v>2</v>
      </c>
      <c r="N578" s="635">
        <v>117.76</v>
      </c>
    </row>
    <row r="579" spans="1:14" ht="14.4" customHeight="1" x14ac:dyDescent="0.3">
      <c r="A579" s="630" t="s">
        <v>545</v>
      </c>
      <c r="B579" s="631" t="s">
        <v>1978</v>
      </c>
      <c r="C579" s="632" t="s">
        <v>564</v>
      </c>
      <c r="D579" s="633" t="s">
        <v>1983</v>
      </c>
      <c r="E579" s="632" t="s">
        <v>573</v>
      </c>
      <c r="F579" s="633" t="s">
        <v>1985</v>
      </c>
      <c r="G579" s="632" t="s">
        <v>1438</v>
      </c>
      <c r="H579" s="632" t="s">
        <v>1952</v>
      </c>
      <c r="I579" s="632" t="s">
        <v>1953</v>
      </c>
      <c r="J579" s="632" t="s">
        <v>1954</v>
      </c>
      <c r="K579" s="632" t="s">
        <v>1955</v>
      </c>
      <c r="L579" s="634">
        <v>380.52019148817112</v>
      </c>
      <c r="M579" s="634">
        <v>8</v>
      </c>
      <c r="N579" s="635">
        <v>3044.161531905369</v>
      </c>
    </row>
    <row r="580" spans="1:14" ht="14.4" customHeight="1" x14ac:dyDescent="0.3">
      <c r="A580" s="630" t="s">
        <v>545</v>
      </c>
      <c r="B580" s="631" t="s">
        <v>1978</v>
      </c>
      <c r="C580" s="632" t="s">
        <v>567</v>
      </c>
      <c r="D580" s="633" t="s">
        <v>1984</v>
      </c>
      <c r="E580" s="632" t="s">
        <v>573</v>
      </c>
      <c r="F580" s="633" t="s">
        <v>1985</v>
      </c>
      <c r="G580" s="632"/>
      <c r="H580" s="632" t="s">
        <v>1968</v>
      </c>
      <c r="I580" s="632" t="s">
        <v>1969</v>
      </c>
      <c r="J580" s="632" t="s">
        <v>1970</v>
      </c>
      <c r="K580" s="632" t="s">
        <v>1971</v>
      </c>
      <c r="L580" s="634">
        <v>3714.7276117723645</v>
      </c>
      <c r="M580" s="634">
        <v>16</v>
      </c>
      <c r="N580" s="635">
        <v>59435.641788357832</v>
      </c>
    </row>
    <row r="581" spans="1:14" ht="14.4" customHeight="1" x14ac:dyDescent="0.3">
      <c r="A581" s="630" t="s">
        <v>545</v>
      </c>
      <c r="B581" s="631" t="s">
        <v>1978</v>
      </c>
      <c r="C581" s="632" t="s">
        <v>567</v>
      </c>
      <c r="D581" s="633" t="s">
        <v>1984</v>
      </c>
      <c r="E581" s="632" t="s">
        <v>573</v>
      </c>
      <c r="F581" s="633" t="s">
        <v>1985</v>
      </c>
      <c r="G581" s="632"/>
      <c r="H581" s="632" t="s">
        <v>1826</v>
      </c>
      <c r="I581" s="632" t="s">
        <v>1827</v>
      </c>
      <c r="J581" s="632" t="s">
        <v>1828</v>
      </c>
      <c r="K581" s="632" t="s">
        <v>1829</v>
      </c>
      <c r="L581" s="634">
        <v>227.87360000000001</v>
      </c>
      <c r="M581" s="634">
        <v>9</v>
      </c>
      <c r="N581" s="635">
        <v>2050.8624</v>
      </c>
    </row>
    <row r="582" spans="1:14" ht="14.4" customHeight="1" x14ac:dyDescent="0.3">
      <c r="A582" s="630" t="s">
        <v>545</v>
      </c>
      <c r="B582" s="631" t="s">
        <v>1978</v>
      </c>
      <c r="C582" s="632" t="s">
        <v>567</v>
      </c>
      <c r="D582" s="633" t="s">
        <v>1984</v>
      </c>
      <c r="E582" s="632" t="s">
        <v>573</v>
      </c>
      <c r="F582" s="633" t="s">
        <v>1985</v>
      </c>
      <c r="G582" s="632" t="s">
        <v>574</v>
      </c>
      <c r="H582" s="632" t="s">
        <v>624</v>
      </c>
      <c r="I582" s="632" t="s">
        <v>624</v>
      </c>
      <c r="J582" s="632" t="s">
        <v>576</v>
      </c>
      <c r="K582" s="632" t="s">
        <v>625</v>
      </c>
      <c r="L582" s="634">
        <v>179.4</v>
      </c>
      <c r="M582" s="634">
        <v>2</v>
      </c>
      <c r="N582" s="635">
        <v>358.8</v>
      </c>
    </row>
    <row r="583" spans="1:14" ht="14.4" customHeight="1" x14ac:dyDescent="0.3">
      <c r="A583" s="630" t="s">
        <v>545</v>
      </c>
      <c r="B583" s="631" t="s">
        <v>1978</v>
      </c>
      <c r="C583" s="632" t="s">
        <v>567</v>
      </c>
      <c r="D583" s="633" t="s">
        <v>1984</v>
      </c>
      <c r="E583" s="632" t="s">
        <v>573</v>
      </c>
      <c r="F583" s="633" t="s">
        <v>1985</v>
      </c>
      <c r="G583" s="632" t="s">
        <v>574</v>
      </c>
      <c r="H583" s="632" t="s">
        <v>575</v>
      </c>
      <c r="I583" s="632" t="s">
        <v>575</v>
      </c>
      <c r="J583" s="632" t="s">
        <v>576</v>
      </c>
      <c r="K583" s="632" t="s">
        <v>577</v>
      </c>
      <c r="L583" s="634">
        <v>97.18</v>
      </c>
      <c r="M583" s="634">
        <v>1</v>
      </c>
      <c r="N583" s="635">
        <v>97.18</v>
      </c>
    </row>
    <row r="584" spans="1:14" ht="14.4" customHeight="1" x14ac:dyDescent="0.3">
      <c r="A584" s="630" t="s">
        <v>545</v>
      </c>
      <c r="B584" s="631" t="s">
        <v>1978</v>
      </c>
      <c r="C584" s="632" t="s">
        <v>567</v>
      </c>
      <c r="D584" s="633" t="s">
        <v>1984</v>
      </c>
      <c r="E584" s="632" t="s">
        <v>573</v>
      </c>
      <c r="F584" s="633" t="s">
        <v>1985</v>
      </c>
      <c r="G584" s="632" t="s">
        <v>574</v>
      </c>
      <c r="H584" s="632" t="s">
        <v>634</v>
      </c>
      <c r="I584" s="632" t="s">
        <v>635</v>
      </c>
      <c r="J584" s="632" t="s">
        <v>636</v>
      </c>
      <c r="K584" s="632" t="s">
        <v>637</v>
      </c>
      <c r="L584" s="634">
        <v>84.569999999999951</v>
      </c>
      <c r="M584" s="634">
        <v>1</v>
      </c>
      <c r="N584" s="635">
        <v>84.569999999999951</v>
      </c>
    </row>
    <row r="585" spans="1:14" ht="14.4" customHeight="1" x14ac:dyDescent="0.3">
      <c r="A585" s="630" t="s">
        <v>545</v>
      </c>
      <c r="B585" s="631" t="s">
        <v>1978</v>
      </c>
      <c r="C585" s="632" t="s">
        <v>567</v>
      </c>
      <c r="D585" s="633" t="s">
        <v>1984</v>
      </c>
      <c r="E585" s="632" t="s">
        <v>573</v>
      </c>
      <c r="F585" s="633" t="s">
        <v>1985</v>
      </c>
      <c r="G585" s="632" t="s">
        <v>574</v>
      </c>
      <c r="H585" s="632" t="s">
        <v>641</v>
      </c>
      <c r="I585" s="632" t="s">
        <v>642</v>
      </c>
      <c r="J585" s="632" t="s">
        <v>643</v>
      </c>
      <c r="K585" s="632" t="s">
        <v>644</v>
      </c>
      <c r="L585" s="634">
        <v>170.23</v>
      </c>
      <c r="M585" s="634">
        <v>6</v>
      </c>
      <c r="N585" s="635">
        <v>1021.38</v>
      </c>
    </row>
    <row r="586" spans="1:14" ht="14.4" customHeight="1" x14ac:dyDescent="0.3">
      <c r="A586" s="630" t="s">
        <v>545</v>
      </c>
      <c r="B586" s="631" t="s">
        <v>1978</v>
      </c>
      <c r="C586" s="632" t="s">
        <v>567</v>
      </c>
      <c r="D586" s="633" t="s">
        <v>1984</v>
      </c>
      <c r="E586" s="632" t="s">
        <v>573</v>
      </c>
      <c r="F586" s="633" t="s">
        <v>1985</v>
      </c>
      <c r="G586" s="632" t="s">
        <v>574</v>
      </c>
      <c r="H586" s="632" t="s">
        <v>645</v>
      </c>
      <c r="I586" s="632" t="s">
        <v>646</v>
      </c>
      <c r="J586" s="632" t="s">
        <v>647</v>
      </c>
      <c r="K586" s="632" t="s">
        <v>648</v>
      </c>
      <c r="L586" s="634">
        <v>66.557135014023075</v>
      </c>
      <c r="M586" s="634">
        <v>14</v>
      </c>
      <c r="N586" s="635">
        <v>931.79989019632296</v>
      </c>
    </row>
    <row r="587" spans="1:14" ht="14.4" customHeight="1" x14ac:dyDescent="0.3">
      <c r="A587" s="630" t="s">
        <v>545</v>
      </c>
      <c r="B587" s="631" t="s">
        <v>1978</v>
      </c>
      <c r="C587" s="632" t="s">
        <v>567</v>
      </c>
      <c r="D587" s="633" t="s">
        <v>1984</v>
      </c>
      <c r="E587" s="632" t="s">
        <v>573</v>
      </c>
      <c r="F587" s="633" t="s">
        <v>1985</v>
      </c>
      <c r="G587" s="632" t="s">
        <v>574</v>
      </c>
      <c r="H587" s="632" t="s">
        <v>687</v>
      </c>
      <c r="I587" s="632" t="s">
        <v>688</v>
      </c>
      <c r="J587" s="632" t="s">
        <v>689</v>
      </c>
      <c r="K587" s="632" t="s">
        <v>690</v>
      </c>
      <c r="L587" s="634">
        <v>60.350049826331336</v>
      </c>
      <c r="M587" s="634">
        <v>8</v>
      </c>
      <c r="N587" s="635">
        <v>482.80039861065069</v>
      </c>
    </row>
    <row r="588" spans="1:14" ht="14.4" customHeight="1" x14ac:dyDescent="0.3">
      <c r="A588" s="630" t="s">
        <v>545</v>
      </c>
      <c r="B588" s="631" t="s">
        <v>1978</v>
      </c>
      <c r="C588" s="632" t="s">
        <v>567</v>
      </c>
      <c r="D588" s="633" t="s">
        <v>1984</v>
      </c>
      <c r="E588" s="632" t="s">
        <v>573</v>
      </c>
      <c r="F588" s="633" t="s">
        <v>1985</v>
      </c>
      <c r="G588" s="632" t="s">
        <v>574</v>
      </c>
      <c r="H588" s="632" t="s">
        <v>699</v>
      </c>
      <c r="I588" s="632" t="s">
        <v>700</v>
      </c>
      <c r="J588" s="632" t="s">
        <v>701</v>
      </c>
      <c r="K588" s="632" t="s">
        <v>702</v>
      </c>
      <c r="L588" s="634">
        <v>260</v>
      </c>
      <c r="M588" s="634">
        <v>2</v>
      </c>
      <c r="N588" s="635">
        <v>520</v>
      </c>
    </row>
    <row r="589" spans="1:14" ht="14.4" customHeight="1" x14ac:dyDescent="0.3">
      <c r="A589" s="630" t="s">
        <v>545</v>
      </c>
      <c r="B589" s="631" t="s">
        <v>1978</v>
      </c>
      <c r="C589" s="632" t="s">
        <v>567</v>
      </c>
      <c r="D589" s="633" t="s">
        <v>1984</v>
      </c>
      <c r="E589" s="632" t="s">
        <v>573</v>
      </c>
      <c r="F589" s="633" t="s">
        <v>1985</v>
      </c>
      <c r="G589" s="632" t="s">
        <v>574</v>
      </c>
      <c r="H589" s="632" t="s">
        <v>776</v>
      </c>
      <c r="I589" s="632" t="s">
        <v>777</v>
      </c>
      <c r="J589" s="632" t="s">
        <v>778</v>
      </c>
      <c r="K589" s="632" t="s">
        <v>779</v>
      </c>
      <c r="L589" s="634">
        <v>65.973317125428892</v>
      </c>
      <c r="M589" s="634">
        <v>6</v>
      </c>
      <c r="N589" s="635">
        <v>395.83990275257338</v>
      </c>
    </row>
    <row r="590" spans="1:14" ht="14.4" customHeight="1" x14ac:dyDescent="0.3">
      <c r="A590" s="630" t="s">
        <v>545</v>
      </c>
      <c r="B590" s="631" t="s">
        <v>1978</v>
      </c>
      <c r="C590" s="632" t="s">
        <v>567</v>
      </c>
      <c r="D590" s="633" t="s">
        <v>1984</v>
      </c>
      <c r="E590" s="632" t="s">
        <v>573</v>
      </c>
      <c r="F590" s="633" t="s">
        <v>1985</v>
      </c>
      <c r="G590" s="632" t="s">
        <v>574</v>
      </c>
      <c r="H590" s="632" t="s">
        <v>1840</v>
      </c>
      <c r="I590" s="632" t="s">
        <v>238</v>
      </c>
      <c r="J590" s="632" t="s">
        <v>1841</v>
      </c>
      <c r="K590" s="632"/>
      <c r="L590" s="634">
        <v>97.320299523288398</v>
      </c>
      <c r="M590" s="634">
        <v>6</v>
      </c>
      <c r="N590" s="635">
        <v>583.92179713973042</v>
      </c>
    </row>
    <row r="591" spans="1:14" ht="14.4" customHeight="1" x14ac:dyDescent="0.3">
      <c r="A591" s="630" t="s">
        <v>545</v>
      </c>
      <c r="B591" s="631" t="s">
        <v>1978</v>
      </c>
      <c r="C591" s="632" t="s">
        <v>567</v>
      </c>
      <c r="D591" s="633" t="s">
        <v>1984</v>
      </c>
      <c r="E591" s="632" t="s">
        <v>573</v>
      </c>
      <c r="F591" s="633" t="s">
        <v>1985</v>
      </c>
      <c r="G591" s="632" t="s">
        <v>574</v>
      </c>
      <c r="H591" s="632" t="s">
        <v>1972</v>
      </c>
      <c r="I591" s="632" t="s">
        <v>238</v>
      </c>
      <c r="J591" s="632" t="s">
        <v>1973</v>
      </c>
      <c r="K591" s="632"/>
      <c r="L591" s="634">
        <v>97.320302065233122</v>
      </c>
      <c r="M591" s="634">
        <v>2</v>
      </c>
      <c r="N591" s="635">
        <v>194.64060413046624</v>
      </c>
    </row>
    <row r="592" spans="1:14" ht="14.4" customHeight="1" x14ac:dyDescent="0.3">
      <c r="A592" s="630" t="s">
        <v>545</v>
      </c>
      <c r="B592" s="631" t="s">
        <v>1978</v>
      </c>
      <c r="C592" s="632" t="s">
        <v>567</v>
      </c>
      <c r="D592" s="633" t="s">
        <v>1984</v>
      </c>
      <c r="E592" s="632" t="s">
        <v>573</v>
      </c>
      <c r="F592" s="633" t="s">
        <v>1985</v>
      </c>
      <c r="G592" s="632" t="s">
        <v>574</v>
      </c>
      <c r="H592" s="632" t="s">
        <v>877</v>
      </c>
      <c r="I592" s="632" t="s">
        <v>878</v>
      </c>
      <c r="J592" s="632" t="s">
        <v>879</v>
      </c>
      <c r="K592" s="632" t="s">
        <v>637</v>
      </c>
      <c r="L592" s="634">
        <v>121.73</v>
      </c>
      <c r="M592" s="634">
        <v>2</v>
      </c>
      <c r="N592" s="635">
        <v>243.46</v>
      </c>
    </row>
    <row r="593" spans="1:14" ht="14.4" customHeight="1" x14ac:dyDescent="0.3">
      <c r="A593" s="630" t="s">
        <v>545</v>
      </c>
      <c r="B593" s="631" t="s">
        <v>1978</v>
      </c>
      <c r="C593" s="632" t="s">
        <v>567</v>
      </c>
      <c r="D593" s="633" t="s">
        <v>1984</v>
      </c>
      <c r="E593" s="632" t="s">
        <v>573</v>
      </c>
      <c r="F593" s="633" t="s">
        <v>1985</v>
      </c>
      <c r="G593" s="632" t="s">
        <v>574</v>
      </c>
      <c r="H593" s="632" t="s">
        <v>880</v>
      </c>
      <c r="I593" s="632" t="s">
        <v>881</v>
      </c>
      <c r="J593" s="632" t="s">
        <v>882</v>
      </c>
      <c r="K593" s="632" t="s">
        <v>883</v>
      </c>
      <c r="L593" s="634">
        <v>63.480000000000011</v>
      </c>
      <c r="M593" s="634">
        <v>3</v>
      </c>
      <c r="N593" s="635">
        <v>190.44000000000003</v>
      </c>
    </row>
    <row r="594" spans="1:14" ht="14.4" customHeight="1" x14ac:dyDescent="0.3">
      <c r="A594" s="630" t="s">
        <v>545</v>
      </c>
      <c r="B594" s="631" t="s">
        <v>1978</v>
      </c>
      <c r="C594" s="632" t="s">
        <v>567</v>
      </c>
      <c r="D594" s="633" t="s">
        <v>1984</v>
      </c>
      <c r="E594" s="632" t="s">
        <v>573</v>
      </c>
      <c r="F594" s="633" t="s">
        <v>1985</v>
      </c>
      <c r="G594" s="632" t="s">
        <v>574</v>
      </c>
      <c r="H594" s="632" t="s">
        <v>916</v>
      </c>
      <c r="I594" s="632" t="s">
        <v>917</v>
      </c>
      <c r="J594" s="632" t="s">
        <v>918</v>
      </c>
      <c r="K594" s="632" t="s">
        <v>919</v>
      </c>
      <c r="L594" s="634">
        <v>260</v>
      </c>
      <c r="M594" s="634">
        <v>8</v>
      </c>
      <c r="N594" s="635">
        <v>2080</v>
      </c>
    </row>
    <row r="595" spans="1:14" ht="14.4" customHeight="1" x14ac:dyDescent="0.3">
      <c r="A595" s="630" t="s">
        <v>545</v>
      </c>
      <c r="B595" s="631" t="s">
        <v>1978</v>
      </c>
      <c r="C595" s="632" t="s">
        <v>567</v>
      </c>
      <c r="D595" s="633" t="s">
        <v>1984</v>
      </c>
      <c r="E595" s="632" t="s">
        <v>573</v>
      </c>
      <c r="F595" s="633" t="s">
        <v>1985</v>
      </c>
      <c r="G595" s="632" t="s">
        <v>574</v>
      </c>
      <c r="H595" s="632" t="s">
        <v>928</v>
      </c>
      <c r="I595" s="632" t="s">
        <v>929</v>
      </c>
      <c r="J595" s="632" t="s">
        <v>930</v>
      </c>
      <c r="K595" s="632" t="s">
        <v>931</v>
      </c>
      <c r="L595" s="634">
        <v>197.4727914868314</v>
      </c>
      <c r="M595" s="634">
        <v>10</v>
      </c>
      <c r="N595" s="635">
        <v>1974.727914868314</v>
      </c>
    </row>
    <row r="596" spans="1:14" ht="14.4" customHeight="1" x14ac:dyDescent="0.3">
      <c r="A596" s="630" t="s">
        <v>545</v>
      </c>
      <c r="B596" s="631" t="s">
        <v>1978</v>
      </c>
      <c r="C596" s="632" t="s">
        <v>567</v>
      </c>
      <c r="D596" s="633" t="s">
        <v>1984</v>
      </c>
      <c r="E596" s="632" t="s">
        <v>573</v>
      </c>
      <c r="F596" s="633" t="s">
        <v>1985</v>
      </c>
      <c r="G596" s="632" t="s">
        <v>574</v>
      </c>
      <c r="H596" s="632" t="s">
        <v>1974</v>
      </c>
      <c r="I596" s="632" t="s">
        <v>1975</v>
      </c>
      <c r="J596" s="632" t="s">
        <v>1976</v>
      </c>
      <c r="K596" s="632" t="s">
        <v>1977</v>
      </c>
      <c r="L596" s="634">
        <v>177.80000000000004</v>
      </c>
      <c r="M596" s="634">
        <v>1</v>
      </c>
      <c r="N596" s="635">
        <v>177.80000000000004</v>
      </c>
    </row>
    <row r="597" spans="1:14" ht="14.4" customHeight="1" x14ac:dyDescent="0.3">
      <c r="A597" s="630" t="s">
        <v>545</v>
      </c>
      <c r="B597" s="631" t="s">
        <v>1978</v>
      </c>
      <c r="C597" s="632" t="s">
        <v>567</v>
      </c>
      <c r="D597" s="633" t="s">
        <v>1984</v>
      </c>
      <c r="E597" s="632" t="s">
        <v>573</v>
      </c>
      <c r="F597" s="633" t="s">
        <v>1985</v>
      </c>
      <c r="G597" s="632" t="s">
        <v>574</v>
      </c>
      <c r="H597" s="632" t="s">
        <v>1000</v>
      </c>
      <c r="I597" s="632" t="s">
        <v>1001</v>
      </c>
      <c r="J597" s="632" t="s">
        <v>1002</v>
      </c>
      <c r="K597" s="632" t="s">
        <v>659</v>
      </c>
      <c r="L597" s="634">
        <v>41.566666666666663</v>
      </c>
      <c r="M597" s="634">
        <v>6</v>
      </c>
      <c r="N597" s="635">
        <v>249.39999999999998</v>
      </c>
    </row>
    <row r="598" spans="1:14" ht="14.4" customHeight="1" x14ac:dyDescent="0.3">
      <c r="A598" s="630" t="s">
        <v>545</v>
      </c>
      <c r="B598" s="631" t="s">
        <v>1978</v>
      </c>
      <c r="C598" s="632" t="s">
        <v>567</v>
      </c>
      <c r="D598" s="633" t="s">
        <v>1984</v>
      </c>
      <c r="E598" s="632" t="s">
        <v>573</v>
      </c>
      <c r="F598" s="633" t="s">
        <v>1985</v>
      </c>
      <c r="G598" s="632" t="s">
        <v>574</v>
      </c>
      <c r="H598" s="632" t="s">
        <v>584</v>
      </c>
      <c r="I598" s="632" t="s">
        <v>238</v>
      </c>
      <c r="J598" s="632" t="s">
        <v>585</v>
      </c>
      <c r="K598" s="632"/>
      <c r="L598" s="634">
        <v>37.70000000000001</v>
      </c>
      <c r="M598" s="634">
        <v>2</v>
      </c>
      <c r="N598" s="635">
        <v>75.40000000000002</v>
      </c>
    </row>
    <row r="599" spans="1:14" ht="14.4" customHeight="1" x14ac:dyDescent="0.3">
      <c r="A599" s="630" t="s">
        <v>545</v>
      </c>
      <c r="B599" s="631" t="s">
        <v>1978</v>
      </c>
      <c r="C599" s="632" t="s">
        <v>567</v>
      </c>
      <c r="D599" s="633" t="s">
        <v>1984</v>
      </c>
      <c r="E599" s="632" t="s">
        <v>573</v>
      </c>
      <c r="F599" s="633" t="s">
        <v>1985</v>
      </c>
      <c r="G599" s="632" t="s">
        <v>574</v>
      </c>
      <c r="H599" s="632" t="s">
        <v>1849</v>
      </c>
      <c r="I599" s="632" t="s">
        <v>238</v>
      </c>
      <c r="J599" s="632" t="s">
        <v>1850</v>
      </c>
      <c r="K599" s="632" t="s">
        <v>1851</v>
      </c>
      <c r="L599" s="634">
        <v>422.007495230308</v>
      </c>
      <c r="M599" s="634">
        <v>2</v>
      </c>
      <c r="N599" s="635">
        <v>844.01499046061599</v>
      </c>
    </row>
    <row r="600" spans="1:14" ht="14.4" customHeight="1" x14ac:dyDescent="0.3">
      <c r="A600" s="630" t="s">
        <v>545</v>
      </c>
      <c r="B600" s="631" t="s">
        <v>1978</v>
      </c>
      <c r="C600" s="632" t="s">
        <v>567</v>
      </c>
      <c r="D600" s="633" t="s">
        <v>1984</v>
      </c>
      <c r="E600" s="632" t="s">
        <v>573</v>
      </c>
      <c r="F600" s="633" t="s">
        <v>1985</v>
      </c>
      <c r="G600" s="632" t="s">
        <v>574</v>
      </c>
      <c r="H600" s="632" t="s">
        <v>1056</v>
      </c>
      <c r="I600" s="632" t="s">
        <v>238</v>
      </c>
      <c r="J600" s="632" t="s">
        <v>1057</v>
      </c>
      <c r="K600" s="632"/>
      <c r="L600" s="634">
        <v>65.7</v>
      </c>
      <c r="M600" s="634">
        <v>3</v>
      </c>
      <c r="N600" s="635">
        <v>197.1</v>
      </c>
    </row>
    <row r="601" spans="1:14" ht="14.4" customHeight="1" x14ac:dyDescent="0.3">
      <c r="A601" s="630" t="s">
        <v>545</v>
      </c>
      <c r="B601" s="631" t="s">
        <v>1978</v>
      </c>
      <c r="C601" s="632" t="s">
        <v>567</v>
      </c>
      <c r="D601" s="633" t="s">
        <v>1984</v>
      </c>
      <c r="E601" s="632" t="s">
        <v>573</v>
      </c>
      <c r="F601" s="633" t="s">
        <v>1985</v>
      </c>
      <c r="G601" s="632" t="s">
        <v>574</v>
      </c>
      <c r="H601" s="632" t="s">
        <v>1063</v>
      </c>
      <c r="I601" s="632" t="s">
        <v>1064</v>
      </c>
      <c r="J601" s="632" t="s">
        <v>1065</v>
      </c>
      <c r="K601" s="632" t="s">
        <v>883</v>
      </c>
      <c r="L601" s="634">
        <v>52.418643327919504</v>
      </c>
      <c r="M601" s="634">
        <v>23</v>
      </c>
      <c r="N601" s="635">
        <v>1205.6287965421486</v>
      </c>
    </row>
    <row r="602" spans="1:14" ht="14.4" customHeight="1" x14ac:dyDescent="0.3">
      <c r="A602" s="630" t="s">
        <v>545</v>
      </c>
      <c r="B602" s="631" t="s">
        <v>1978</v>
      </c>
      <c r="C602" s="632" t="s">
        <v>567</v>
      </c>
      <c r="D602" s="633" t="s">
        <v>1984</v>
      </c>
      <c r="E602" s="632" t="s">
        <v>573</v>
      </c>
      <c r="F602" s="633" t="s">
        <v>1985</v>
      </c>
      <c r="G602" s="632" t="s">
        <v>574</v>
      </c>
      <c r="H602" s="632" t="s">
        <v>1074</v>
      </c>
      <c r="I602" s="632" t="s">
        <v>1075</v>
      </c>
      <c r="J602" s="632" t="s">
        <v>588</v>
      </c>
      <c r="K602" s="632" t="s">
        <v>1076</v>
      </c>
      <c r="L602" s="634">
        <v>555.42000000000007</v>
      </c>
      <c r="M602" s="634">
        <v>1</v>
      </c>
      <c r="N602" s="635">
        <v>555.42000000000007</v>
      </c>
    </row>
    <row r="603" spans="1:14" ht="14.4" customHeight="1" x14ac:dyDescent="0.3">
      <c r="A603" s="630" t="s">
        <v>545</v>
      </c>
      <c r="B603" s="631" t="s">
        <v>1978</v>
      </c>
      <c r="C603" s="632" t="s">
        <v>567</v>
      </c>
      <c r="D603" s="633" t="s">
        <v>1984</v>
      </c>
      <c r="E603" s="632" t="s">
        <v>573</v>
      </c>
      <c r="F603" s="633" t="s">
        <v>1985</v>
      </c>
      <c r="G603" s="632" t="s">
        <v>574</v>
      </c>
      <c r="H603" s="632" t="s">
        <v>586</v>
      </c>
      <c r="I603" s="632" t="s">
        <v>587</v>
      </c>
      <c r="J603" s="632" t="s">
        <v>588</v>
      </c>
      <c r="K603" s="632" t="s">
        <v>589</v>
      </c>
      <c r="L603" s="634">
        <v>327.06</v>
      </c>
      <c r="M603" s="634">
        <v>2</v>
      </c>
      <c r="N603" s="635">
        <v>654.12</v>
      </c>
    </row>
    <row r="604" spans="1:14" ht="14.4" customHeight="1" x14ac:dyDescent="0.3">
      <c r="A604" s="630" t="s">
        <v>545</v>
      </c>
      <c r="B604" s="631" t="s">
        <v>1978</v>
      </c>
      <c r="C604" s="632" t="s">
        <v>567</v>
      </c>
      <c r="D604" s="633" t="s">
        <v>1984</v>
      </c>
      <c r="E604" s="632" t="s">
        <v>573</v>
      </c>
      <c r="F604" s="633" t="s">
        <v>1985</v>
      </c>
      <c r="G604" s="632" t="s">
        <v>574</v>
      </c>
      <c r="H604" s="632" t="s">
        <v>1109</v>
      </c>
      <c r="I604" s="632" t="s">
        <v>1110</v>
      </c>
      <c r="J604" s="632" t="s">
        <v>1111</v>
      </c>
      <c r="K604" s="632" t="s">
        <v>1112</v>
      </c>
      <c r="L604" s="634">
        <v>58.58</v>
      </c>
      <c r="M604" s="634">
        <v>4</v>
      </c>
      <c r="N604" s="635">
        <v>234.32</v>
      </c>
    </row>
    <row r="605" spans="1:14" ht="14.4" customHeight="1" x14ac:dyDescent="0.3">
      <c r="A605" s="630" t="s">
        <v>545</v>
      </c>
      <c r="B605" s="631" t="s">
        <v>1978</v>
      </c>
      <c r="C605" s="632" t="s">
        <v>567</v>
      </c>
      <c r="D605" s="633" t="s">
        <v>1984</v>
      </c>
      <c r="E605" s="632" t="s">
        <v>573</v>
      </c>
      <c r="F605" s="633" t="s">
        <v>1985</v>
      </c>
      <c r="G605" s="632" t="s">
        <v>574</v>
      </c>
      <c r="H605" s="632" t="s">
        <v>1131</v>
      </c>
      <c r="I605" s="632" t="s">
        <v>238</v>
      </c>
      <c r="J605" s="632" t="s">
        <v>1132</v>
      </c>
      <c r="K605" s="632" t="s">
        <v>1130</v>
      </c>
      <c r="L605" s="634">
        <v>24.037194261613497</v>
      </c>
      <c r="M605" s="634">
        <v>6</v>
      </c>
      <c r="N605" s="635">
        <v>144.22316556968099</v>
      </c>
    </row>
    <row r="606" spans="1:14" ht="14.4" customHeight="1" x14ac:dyDescent="0.3">
      <c r="A606" s="630" t="s">
        <v>545</v>
      </c>
      <c r="B606" s="631" t="s">
        <v>1978</v>
      </c>
      <c r="C606" s="632" t="s">
        <v>567</v>
      </c>
      <c r="D606" s="633" t="s">
        <v>1984</v>
      </c>
      <c r="E606" s="632" t="s">
        <v>573</v>
      </c>
      <c r="F606" s="633" t="s">
        <v>1985</v>
      </c>
      <c r="G606" s="632" t="s">
        <v>574</v>
      </c>
      <c r="H606" s="632" t="s">
        <v>1220</v>
      </c>
      <c r="I606" s="632" t="s">
        <v>1221</v>
      </c>
      <c r="J606" s="632" t="s">
        <v>1222</v>
      </c>
      <c r="K606" s="632" t="s">
        <v>1223</v>
      </c>
      <c r="L606" s="634">
        <v>54.650112112467809</v>
      </c>
      <c r="M606" s="634">
        <v>9</v>
      </c>
      <c r="N606" s="635">
        <v>491.85100901221028</v>
      </c>
    </row>
    <row r="607" spans="1:14" ht="14.4" customHeight="1" x14ac:dyDescent="0.3">
      <c r="A607" s="630" t="s">
        <v>545</v>
      </c>
      <c r="B607" s="631" t="s">
        <v>1978</v>
      </c>
      <c r="C607" s="632" t="s">
        <v>567</v>
      </c>
      <c r="D607" s="633" t="s">
        <v>1984</v>
      </c>
      <c r="E607" s="632" t="s">
        <v>573</v>
      </c>
      <c r="F607" s="633" t="s">
        <v>1985</v>
      </c>
      <c r="G607" s="632" t="s">
        <v>574</v>
      </c>
      <c r="H607" s="632" t="s">
        <v>590</v>
      </c>
      <c r="I607" s="632" t="s">
        <v>591</v>
      </c>
      <c r="J607" s="632" t="s">
        <v>592</v>
      </c>
      <c r="K607" s="632" t="s">
        <v>593</v>
      </c>
      <c r="L607" s="634">
        <v>291.5</v>
      </c>
      <c r="M607" s="634">
        <v>2</v>
      </c>
      <c r="N607" s="635">
        <v>583</v>
      </c>
    </row>
    <row r="608" spans="1:14" ht="14.4" customHeight="1" x14ac:dyDescent="0.3">
      <c r="A608" s="630" t="s">
        <v>545</v>
      </c>
      <c r="B608" s="631" t="s">
        <v>1978</v>
      </c>
      <c r="C608" s="632" t="s">
        <v>567</v>
      </c>
      <c r="D608" s="633" t="s">
        <v>1984</v>
      </c>
      <c r="E608" s="632" t="s">
        <v>573</v>
      </c>
      <c r="F608" s="633" t="s">
        <v>1985</v>
      </c>
      <c r="G608" s="632" t="s">
        <v>574</v>
      </c>
      <c r="H608" s="632" t="s">
        <v>1862</v>
      </c>
      <c r="I608" s="632" t="s">
        <v>1862</v>
      </c>
      <c r="J608" s="632" t="s">
        <v>1863</v>
      </c>
      <c r="K608" s="632" t="s">
        <v>1864</v>
      </c>
      <c r="L608" s="634">
        <v>174.39</v>
      </c>
      <c r="M608" s="634">
        <v>1</v>
      </c>
      <c r="N608" s="635">
        <v>174.39</v>
      </c>
    </row>
    <row r="609" spans="1:14" ht="14.4" customHeight="1" x14ac:dyDescent="0.3">
      <c r="A609" s="630" t="s">
        <v>545</v>
      </c>
      <c r="B609" s="631" t="s">
        <v>1978</v>
      </c>
      <c r="C609" s="632" t="s">
        <v>567</v>
      </c>
      <c r="D609" s="633" t="s">
        <v>1984</v>
      </c>
      <c r="E609" s="632" t="s">
        <v>573</v>
      </c>
      <c r="F609" s="633" t="s">
        <v>1985</v>
      </c>
      <c r="G609" s="632" t="s">
        <v>574</v>
      </c>
      <c r="H609" s="632" t="s">
        <v>1865</v>
      </c>
      <c r="I609" s="632" t="s">
        <v>1866</v>
      </c>
      <c r="J609" s="632" t="s">
        <v>1394</v>
      </c>
      <c r="K609" s="632" t="s">
        <v>702</v>
      </c>
      <c r="L609" s="634">
        <v>257.7</v>
      </c>
      <c r="M609" s="634">
        <v>2</v>
      </c>
      <c r="N609" s="635">
        <v>515.4</v>
      </c>
    </row>
    <row r="610" spans="1:14" ht="14.4" customHeight="1" x14ac:dyDescent="0.3">
      <c r="A610" s="630" t="s">
        <v>545</v>
      </c>
      <c r="B610" s="631" t="s">
        <v>1978</v>
      </c>
      <c r="C610" s="632" t="s">
        <v>567</v>
      </c>
      <c r="D610" s="633" t="s">
        <v>1984</v>
      </c>
      <c r="E610" s="632" t="s">
        <v>573</v>
      </c>
      <c r="F610" s="633" t="s">
        <v>1985</v>
      </c>
      <c r="G610" s="632" t="s">
        <v>574</v>
      </c>
      <c r="H610" s="632" t="s">
        <v>1867</v>
      </c>
      <c r="I610" s="632" t="s">
        <v>1867</v>
      </c>
      <c r="J610" s="632" t="s">
        <v>1868</v>
      </c>
      <c r="K610" s="632" t="s">
        <v>1869</v>
      </c>
      <c r="L610" s="634">
        <v>657.87973085819579</v>
      </c>
      <c r="M610" s="634">
        <v>12</v>
      </c>
      <c r="N610" s="635">
        <v>7894.5567702983499</v>
      </c>
    </row>
    <row r="611" spans="1:14" ht="14.4" customHeight="1" x14ac:dyDescent="0.3">
      <c r="A611" s="630" t="s">
        <v>545</v>
      </c>
      <c r="B611" s="631" t="s">
        <v>1978</v>
      </c>
      <c r="C611" s="632" t="s">
        <v>567</v>
      </c>
      <c r="D611" s="633" t="s">
        <v>1984</v>
      </c>
      <c r="E611" s="632" t="s">
        <v>573</v>
      </c>
      <c r="F611" s="633" t="s">
        <v>1985</v>
      </c>
      <c r="G611" s="632" t="s">
        <v>574</v>
      </c>
      <c r="H611" s="632" t="s">
        <v>1873</v>
      </c>
      <c r="I611" s="632" t="s">
        <v>1874</v>
      </c>
      <c r="J611" s="632" t="s">
        <v>1875</v>
      </c>
      <c r="K611" s="632" t="s">
        <v>1876</v>
      </c>
      <c r="L611" s="634">
        <v>649.84980664466491</v>
      </c>
      <c r="M611" s="634">
        <v>15</v>
      </c>
      <c r="N611" s="635">
        <v>9747.747099669974</v>
      </c>
    </row>
    <row r="612" spans="1:14" ht="14.4" customHeight="1" x14ac:dyDescent="0.3">
      <c r="A612" s="630" t="s">
        <v>545</v>
      </c>
      <c r="B612" s="631" t="s">
        <v>1978</v>
      </c>
      <c r="C612" s="632" t="s">
        <v>567</v>
      </c>
      <c r="D612" s="633" t="s">
        <v>1984</v>
      </c>
      <c r="E612" s="632" t="s">
        <v>573</v>
      </c>
      <c r="F612" s="633" t="s">
        <v>1985</v>
      </c>
      <c r="G612" s="632" t="s">
        <v>574</v>
      </c>
      <c r="H612" s="632" t="s">
        <v>1344</v>
      </c>
      <c r="I612" s="632" t="s">
        <v>238</v>
      </c>
      <c r="J612" s="632" t="s">
        <v>1345</v>
      </c>
      <c r="K612" s="632" t="s">
        <v>1346</v>
      </c>
      <c r="L612" s="634">
        <v>59.990016318606223</v>
      </c>
      <c r="M612" s="634">
        <v>6</v>
      </c>
      <c r="N612" s="635">
        <v>359.94009791163734</v>
      </c>
    </row>
    <row r="613" spans="1:14" ht="14.4" customHeight="1" x14ac:dyDescent="0.3">
      <c r="A613" s="630" t="s">
        <v>545</v>
      </c>
      <c r="B613" s="631" t="s">
        <v>1978</v>
      </c>
      <c r="C613" s="632" t="s">
        <v>567</v>
      </c>
      <c r="D613" s="633" t="s">
        <v>1984</v>
      </c>
      <c r="E613" s="632" t="s">
        <v>573</v>
      </c>
      <c r="F613" s="633" t="s">
        <v>1985</v>
      </c>
      <c r="G613" s="632" t="s">
        <v>574</v>
      </c>
      <c r="H613" s="632" t="s">
        <v>1881</v>
      </c>
      <c r="I613" s="632" t="s">
        <v>1882</v>
      </c>
      <c r="J613" s="632" t="s">
        <v>1883</v>
      </c>
      <c r="K613" s="632" t="s">
        <v>1884</v>
      </c>
      <c r="L613" s="634">
        <v>51.049914516190888</v>
      </c>
      <c r="M613" s="634">
        <v>2</v>
      </c>
      <c r="N613" s="635">
        <v>102.09982903238178</v>
      </c>
    </row>
    <row r="614" spans="1:14" ht="14.4" customHeight="1" x14ac:dyDescent="0.3">
      <c r="A614" s="630" t="s">
        <v>545</v>
      </c>
      <c r="B614" s="631" t="s">
        <v>1978</v>
      </c>
      <c r="C614" s="632" t="s">
        <v>567</v>
      </c>
      <c r="D614" s="633" t="s">
        <v>1984</v>
      </c>
      <c r="E614" s="632" t="s">
        <v>573</v>
      </c>
      <c r="F614" s="633" t="s">
        <v>1985</v>
      </c>
      <c r="G614" s="632" t="s">
        <v>574</v>
      </c>
      <c r="H614" s="632" t="s">
        <v>1907</v>
      </c>
      <c r="I614" s="632" t="s">
        <v>238</v>
      </c>
      <c r="J614" s="632" t="s">
        <v>1908</v>
      </c>
      <c r="K614" s="632"/>
      <c r="L614" s="634">
        <v>435.6</v>
      </c>
      <c r="M614" s="634">
        <v>1</v>
      </c>
      <c r="N614" s="635">
        <v>435.6</v>
      </c>
    </row>
    <row r="615" spans="1:14" ht="14.4" customHeight="1" x14ac:dyDescent="0.3">
      <c r="A615" s="630" t="s">
        <v>545</v>
      </c>
      <c r="B615" s="631" t="s">
        <v>1978</v>
      </c>
      <c r="C615" s="632" t="s">
        <v>567</v>
      </c>
      <c r="D615" s="633" t="s">
        <v>1984</v>
      </c>
      <c r="E615" s="632" t="s">
        <v>573</v>
      </c>
      <c r="F615" s="633" t="s">
        <v>1985</v>
      </c>
      <c r="G615" s="632" t="s">
        <v>574</v>
      </c>
      <c r="H615" s="632" t="s">
        <v>1393</v>
      </c>
      <c r="I615" s="632" t="s">
        <v>1393</v>
      </c>
      <c r="J615" s="632" t="s">
        <v>1394</v>
      </c>
      <c r="K615" s="632" t="s">
        <v>1079</v>
      </c>
      <c r="L615" s="634">
        <v>379.11</v>
      </c>
      <c r="M615" s="634">
        <v>5</v>
      </c>
      <c r="N615" s="635">
        <v>1895.5500000000002</v>
      </c>
    </row>
    <row r="616" spans="1:14" ht="14.4" customHeight="1" x14ac:dyDescent="0.3">
      <c r="A616" s="630" t="s">
        <v>545</v>
      </c>
      <c r="B616" s="631" t="s">
        <v>1978</v>
      </c>
      <c r="C616" s="632" t="s">
        <v>567</v>
      </c>
      <c r="D616" s="633" t="s">
        <v>1984</v>
      </c>
      <c r="E616" s="632" t="s">
        <v>573</v>
      </c>
      <c r="F616" s="633" t="s">
        <v>1985</v>
      </c>
      <c r="G616" s="632" t="s">
        <v>574</v>
      </c>
      <c r="H616" s="632" t="s">
        <v>1920</v>
      </c>
      <c r="I616" s="632" t="s">
        <v>1920</v>
      </c>
      <c r="J616" s="632" t="s">
        <v>1204</v>
      </c>
      <c r="K616" s="632" t="s">
        <v>1921</v>
      </c>
      <c r="L616" s="634">
        <v>285.01600000000002</v>
      </c>
      <c r="M616" s="634">
        <v>1</v>
      </c>
      <c r="N616" s="635">
        <v>285.01600000000002</v>
      </c>
    </row>
    <row r="617" spans="1:14" ht="14.4" customHeight="1" x14ac:dyDescent="0.3">
      <c r="A617" s="630" t="s">
        <v>545</v>
      </c>
      <c r="B617" s="631" t="s">
        <v>1978</v>
      </c>
      <c r="C617" s="632" t="s">
        <v>567</v>
      </c>
      <c r="D617" s="633" t="s">
        <v>1984</v>
      </c>
      <c r="E617" s="632" t="s">
        <v>573</v>
      </c>
      <c r="F617" s="633" t="s">
        <v>1985</v>
      </c>
      <c r="G617" s="632" t="s">
        <v>1438</v>
      </c>
      <c r="H617" s="632" t="s">
        <v>1929</v>
      </c>
      <c r="I617" s="632" t="s">
        <v>1930</v>
      </c>
      <c r="J617" s="632" t="s">
        <v>1487</v>
      </c>
      <c r="K617" s="632" t="s">
        <v>1931</v>
      </c>
      <c r="L617" s="634">
        <v>266.34999636868997</v>
      </c>
      <c r="M617" s="634">
        <v>5</v>
      </c>
      <c r="N617" s="635">
        <v>1331.7499818434499</v>
      </c>
    </row>
    <row r="618" spans="1:14" ht="14.4" customHeight="1" x14ac:dyDescent="0.3">
      <c r="A618" s="630" t="s">
        <v>545</v>
      </c>
      <c r="B618" s="631" t="s">
        <v>1978</v>
      </c>
      <c r="C618" s="632" t="s">
        <v>567</v>
      </c>
      <c r="D618" s="633" t="s">
        <v>1984</v>
      </c>
      <c r="E618" s="632" t="s">
        <v>573</v>
      </c>
      <c r="F618" s="633" t="s">
        <v>1985</v>
      </c>
      <c r="G618" s="632" t="s">
        <v>1438</v>
      </c>
      <c r="H618" s="632" t="s">
        <v>1485</v>
      </c>
      <c r="I618" s="632" t="s">
        <v>1486</v>
      </c>
      <c r="J618" s="632" t="s">
        <v>1487</v>
      </c>
      <c r="K618" s="632" t="s">
        <v>1488</v>
      </c>
      <c r="L618" s="634">
        <v>890.1</v>
      </c>
      <c r="M618" s="634">
        <v>7</v>
      </c>
      <c r="N618" s="635">
        <v>6230.7</v>
      </c>
    </row>
    <row r="619" spans="1:14" ht="14.4" customHeight="1" x14ac:dyDescent="0.3">
      <c r="A619" s="630" t="s">
        <v>545</v>
      </c>
      <c r="B619" s="631" t="s">
        <v>1978</v>
      </c>
      <c r="C619" s="632" t="s">
        <v>567</v>
      </c>
      <c r="D619" s="633" t="s">
        <v>1984</v>
      </c>
      <c r="E619" s="632" t="s">
        <v>573</v>
      </c>
      <c r="F619" s="633" t="s">
        <v>1985</v>
      </c>
      <c r="G619" s="632" t="s">
        <v>1438</v>
      </c>
      <c r="H619" s="632" t="s">
        <v>1493</v>
      </c>
      <c r="I619" s="632" t="s">
        <v>1494</v>
      </c>
      <c r="J619" s="632" t="s">
        <v>1495</v>
      </c>
      <c r="K619" s="632" t="s">
        <v>1496</v>
      </c>
      <c r="L619" s="634">
        <v>139.66999999999999</v>
      </c>
      <c r="M619" s="634">
        <v>5</v>
      </c>
      <c r="N619" s="635">
        <v>698.34999999999991</v>
      </c>
    </row>
    <row r="620" spans="1:14" ht="14.4" customHeight="1" thickBot="1" x14ac:dyDescent="0.35">
      <c r="A620" s="636" t="s">
        <v>545</v>
      </c>
      <c r="B620" s="637" t="s">
        <v>1978</v>
      </c>
      <c r="C620" s="638" t="s">
        <v>567</v>
      </c>
      <c r="D620" s="639" t="s">
        <v>1984</v>
      </c>
      <c r="E620" s="638" t="s">
        <v>573</v>
      </c>
      <c r="F620" s="639" t="s">
        <v>1985</v>
      </c>
      <c r="G620" s="638" t="s">
        <v>1438</v>
      </c>
      <c r="H620" s="638" t="s">
        <v>1952</v>
      </c>
      <c r="I620" s="638" t="s">
        <v>1953</v>
      </c>
      <c r="J620" s="638" t="s">
        <v>1954</v>
      </c>
      <c r="K620" s="638" t="s">
        <v>1955</v>
      </c>
      <c r="L620" s="640">
        <v>380.52</v>
      </c>
      <c r="M620" s="640">
        <v>1</v>
      </c>
      <c r="N620" s="641">
        <v>380.52</v>
      </c>
    </row>
  </sheetData>
  <autoFilter ref="A4:N4"/>
  <mergeCells count="3">
    <mergeCell ref="C3:I3"/>
    <mergeCell ref="J3:K3"/>
    <mergeCell ref="A1:N1"/>
  </mergeCells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8">
    <tabColor theme="0" tint="-0.249977111117893"/>
    <pageSetUpPr fitToPage="1"/>
  </sheetPr>
  <dimension ref="A1:F60"/>
  <sheetViews>
    <sheetView showGridLines="0" showRowColHeaders="0" workbookViewId="0">
      <pane ySplit="4" topLeftCell="A5" activePane="bottomLeft" state="frozen"/>
      <selection activeCell="A6" sqref="A6"/>
      <selection pane="bottomLeft" sqref="A1:F1"/>
    </sheetView>
  </sheetViews>
  <sheetFormatPr defaultRowHeight="14.4" customHeight="1" x14ac:dyDescent="0.3"/>
  <cols>
    <col min="1" max="1" width="46.6640625" style="257" customWidth="1"/>
    <col min="2" max="2" width="10" style="340" customWidth="1"/>
    <col min="3" max="3" width="5.5546875" style="343" customWidth="1"/>
    <col min="4" max="4" width="10" style="340" customWidth="1"/>
    <col min="5" max="5" width="5.5546875" style="343" customWidth="1"/>
    <col min="6" max="6" width="10" style="340" customWidth="1"/>
    <col min="7" max="16384" width="8.88671875" style="257"/>
  </cols>
  <sheetData>
    <row r="1" spans="1:6" ht="37.200000000000003" customHeight="1" thickBot="1" x14ac:dyDescent="0.4">
      <c r="A1" s="495" t="s">
        <v>209</v>
      </c>
      <c r="B1" s="496"/>
      <c r="C1" s="496"/>
      <c r="D1" s="496"/>
      <c r="E1" s="496"/>
      <c r="F1" s="496"/>
    </row>
    <row r="2" spans="1:6" ht="14.4" customHeight="1" thickBot="1" x14ac:dyDescent="0.35">
      <c r="A2" s="386" t="s">
        <v>321</v>
      </c>
      <c r="B2" s="67"/>
      <c r="C2" s="68"/>
      <c r="D2" s="69"/>
      <c r="E2" s="68"/>
      <c r="F2" s="69"/>
    </row>
    <row r="3" spans="1:6" ht="14.4" customHeight="1" thickBot="1" x14ac:dyDescent="0.35">
      <c r="A3" s="212"/>
      <c r="B3" s="497" t="s">
        <v>162</v>
      </c>
      <c r="C3" s="498"/>
      <c r="D3" s="499" t="s">
        <v>161</v>
      </c>
      <c r="E3" s="498"/>
      <c r="F3" s="105" t="s">
        <v>3</v>
      </c>
    </row>
    <row r="4" spans="1:6" ht="14.4" customHeight="1" thickBot="1" x14ac:dyDescent="0.35">
      <c r="A4" s="642" t="s">
        <v>186</v>
      </c>
      <c r="B4" s="643" t="s">
        <v>14</v>
      </c>
      <c r="C4" s="644" t="s">
        <v>2</v>
      </c>
      <c r="D4" s="643" t="s">
        <v>14</v>
      </c>
      <c r="E4" s="644" t="s">
        <v>2</v>
      </c>
      <c r="F4" s="645" t="s">
        <v>14</v>
      </c>
    </row>
    <row r="5" spans="1:6" ht="14.4" customHeight="1" x14ac:dyDescent="0.3">
      <c r="A5" s="656" t="s">
        <v>1991</v>
      </c>
      <c r="B5" s="628">
        <v>88532.770661048911</v>
      </c>
      <c r="C5" s="646">
        <v>4.3584793094792434E-2</v>
      </c>
      <c r="D5" s="628">
        <v>1942743.8369506761</v>
      </c>
      <c r="E5" s="646">
        <v>0.95641520690520765</v>
      </c>
      <c r="F5" s="629">
        <v>2031276.6076117249</v>
      </c>
    </row>
    <row r="6" spans="1:6" ht="14.4" customHeight="1" x14ac:dyDescent="0.3">
      <c r="A6" s="657" t="s">
        <v>1992</v>
      </c>
      <c r="B6" s="634">
        <v>61486.504188357823</v>
      </c>
      <c r="C6" s="647">
        <v>0.87677758316198662</v>
      </c>
      <c r="D6" s="634">
        <v>8641.3199818434496</v>
      </c>
      <c r="E6" s="647">
        <v>0.12322241683801335</v>
      </c>
      <c r="F6" s="635">
        <v>70127.824170201275</v>
      </c>
    </row>
    <row r="7" spans="1:6" ht="14.4" customHeight="1" x14ac:dyDescent="0.3">
      <c r="A7" s="657" t="s">
        <v>1993</v>
      </c>
      <c r="B7" s="634">
        <v>1127.8742888535776</v>
      </c>
      <c r="C7" s="647">
        <v>1.5649911464273951E-3</v>
      </c>
      <c r="D7" s="634">
        <v>719562.64937852952</v>
      </c>
      <c r="E7" s="647">
        <v>0.99843500885357261</v>
      </c>
      <c r="F7" s="635">
        <v>720690.52366738312</v>
      </c>
    </row>
    <row r="8" spans="1:6" ht="14.4" customHeight="1" x14ac:dyDescent="0.3">
      <c r="A8" s="657" t="s">
        <v>1994</v>
      </c>
      <c r="B8" s="634">
        <v>911.49436044702338</v>
      </c>
      <c r="C8" s="647">
        <v>1.7558290453052231E-3</v>
      </c>
      <c r="D8" s="634">
        <v>518213.28198620153</v>
      </c>
      <c r="E8" s="647">
        <v>0.99824417095469475</v>
      </c>
      <c r="F8" s="635">
        <v>519124.77634664858</v>
      </c>
    </row>
    <row r="9" spans="1:6" ht="14.4" customHeight="1" thickBot="1" x14ac:dyDescent="0.35">
      <c r="A9" s="658" t="s">
        <v>1995</v>
      </c>
      <c r="B9" s="649"/>
      <c r="C9" s="650">
        <v>0</v>
      </c>
      <c r="D9" s="649">
        <v>3307.2415319053698</v>
      </c>
      <c r="E9" s="650">
        <v>1</v>
      </c>
      <c r="F9" s="651">
        <v>3307.2415319053698</v>
      </c>
    </row>
    <row r="10" spans="1:6" ht="14.4" customHeight="1" thickBot="1" x14ac:dyDescent="0.35">
      <c r="A10" s="652" t="s">
        <v>3</v>
      </c>
      <c r="B10" s="653">
        <v>152058.64349870733</v>
      </c>
      <c r="C10" s="654">
        <v>4.5464917673367217E-2</v>
      </c>
      <c r="D10" s="653">
        <v>3192468.3298291555</v>
      </c>
      <c r="E10" s="654">
        <v>0.95453508232663276</v>
      </c>
      <c r="F10" s="655">
        <v>3344526.973327863</v>
      </c>
    </row>
    <row r="11" spans="1:6" ht="14.4" customHeight="1" thickBot="1" x14ac:dyDescent="0.35"/>
    <row r="12" spans="1:6" ht="14.4" customHeight="1" x14ac:dyDescent="0.3">
      <c r="A12" s="656" t="s">
        <v>1996</v>
      </c>
      <c r="B12" s="628">
        <v>59435.641788357825</v>
      </c>
      <c r="C12" s="646">
        <v>6.8587779611417959E-2</v>
      </c>
      <c r="D12" s="628">
        <v>807127.5</v>
      </c>
      <c r="E12" s="646">
        <v>0.93141222038858196</v>
      </c>
      <c r="F12" s="629">
        <v>866563.14178835787</v>
      </c>
    </row>
    <row r="13" spans="1:6" ht="14.4" customHeight="1" x14ac:dyDescent="0.3">
      <c r="A13" s="657" t="s">
        <v>1997</v>
      </c>
      <c r="B13" s="634">
        <v>49869.717484882523</v>
      </c>
      <c r="C13" s="647">
        <v>0.29426562753221713</v>
      </c>
      <c r="D13" s="634">
        <v>119602.05501910327</v>
      </c>
      <c r="E13" s="647">
        <v>0.70573437246778281</v>
      </c>
      <c r="F13" s="635">
        <v>169471.77250398579</v>
      </c>
    </row>
    <row r="14" spans="1:6" ht="14.4" customHeight="1" x14ac:dyDescent="0.3">
      <c r="A14" s="657" t="s">
        <v>1998</v>
      </c>
      <c r="B14" s="634">
        <v>32672.959999999995</v>
      </c>
      <c r="C14" s="647">
        <v>1</v>
      </c>
      <c r="D14" s="634"/>
      <c r="E14" s="647">
        <v>0</v>
      </c>
      <c r="F14" s="635">
        <v>32672.959999999995</v>
      </c>
    </row>
    <row r="15" spans="1:6" ht="14.4" customHeight="1" x14ac:dyDescent="0.3">
      <c r="A15" s="657" t="s">
        <v>1999</v>
      </c>
      <c r="B15" s="634">
        <v>4117.7242071633527</v>
      </c>
      <c r="C15" s="647">
        <v>1</v>
      </c>
      <c r="D15" s="634"/>
      <c r="E15" s="647">
        <v>0</v>
      </c>
      <c r="F15" s="635">
        <v>4117.7242071633527</v>
      </c>
    </row>
    <row r="16" spans="1:6" ht="14.4" customHeight="1" x14ac:dyDescent="0.3">
      <c r="A16" s="657" t="s">
        <v>2000</v>
      </c>
      <c r="B16" s="634">
        <v>4090.2310493006007</v>
      </c>
      <c r="C16" s="647">
        <v>1.8441379297137801E-2</v>
      </c>
      <c r="D16" s="634">
        <v>217706.14238874402</v>
      </c>
      <c r="E16" s="647">
        <v>0.98155862070286215</v>
      </c>
      <c r="F16" s="635">
        <v>221796.37343804463</v>
      </c>
    </row>
    <row r="17" spans="1:6" ht="14.4" customHeight="1" x14ac:dyDescent="0.3">
      <c r="A17" s="657" t="s">
        <v>2001</v>
      </c>
      <c r="B17" s="634">
        <v>1410.4</v>
      </c>
      <c r="C17" s="647">
        <v>1</v>
      </c>
      <c r="D17" s="634"/>
      <c r="E17" s="647">
        <v>0</v>
      </c>
      <c r="F17" s="635">
        <v>1410.4</v>
      </c>
    </row>
    <row r="18" spans="1:6" ht="14.4" customHeight="1" x14ac:dyDescent="0.3">
      <c r="A18" s="657" t="s">
        <v>2002</v>
      </c>
      <c r="B18" s="634">
        <v>297.45896900305002</v>
      </c>
      <c r="C18" s="647">
        <v>1</v>
      </c>
      <c r="D18" s="634"/>
      <c r="E18" s="647">
        <v>0</v>
      </c>
      <c r="F18" s="635">
        <v>297.45896900305002</v>
      </c>
    </row>
    <row r="19" spans="1:6" ht="14.4" customHeight="1" x14ac:dyDescent="0.3">
      <c r="A19" s="657" t="s">
        <v>2003</v>
      </c>
      <c r="B19" s="634">
        <v>164.50999999999993</v>
      </c>
      <c r="C19" s="647">
        <v>0.57044280314851414</v>
      </c>
      <c r="D19" s="634">
        <v>123.87999999999992</v>
      </c>
      <c r="E19" s="647">
        <v>0.42955719685148575</v>
      </c>
      <c r="F19" s="635">
        <v>288.38999999999987</v>
      </c>
    </row>
    <row r="20" spans="1:6" ht="14.4" customHeight="1" x14ac:dyDescent="0.3">
      <c r="A20" s="657" t="s">
        <v>2004</v>
      </c>
      <c r="B20" s="634"/>
      <c r="C20" s="647">
        <v>0</v>
      </c>
      <c r="D20" s="634">
        <v>5551.8565683440138</v>
      </c>
      <c r="E20" s="647">
        <v>1</v>
      </c>
      <c r="F20" s="635">
        <v>5551.8565683440138</v>
      </c>
    </row>
    <row r="21" spans="1:6" ht="14.4" customHeight="1" x14ac:dyDescent="0.3">
      <c r="A21" s="657" t="s">
        <v>2005</v>
      </c>
      <c r="B21" s="634"/>
      <c r="C21" s="647">
        <v>0</v>
      </c>
      <c r="D21" s="634">
        <v>12566.538964310166</v>
      </c>
      <c r="E21" s="647">
        <v>1</v>
      </c>
      <c r="F21" s="635">
        <v>12566.538964310166</v>
      </c>
    </row>
    <row r="22" spans="1:6" ht="14.4" customHeight="1" x14ac:dyDescent="0.3">
      <c r="A22" s="657" t="s">
        <v>2006</v>
      </c>
      <c r="B22" s="634"/>
      <c r="C22" s="647">
        <v>0</v>
      </c>
      <c r="D22" s="634">
        <v>256003.52372925854</v>
      </c>
      <c r="E22" s="647">
        <v>1</v>
      </c>
      <c r="F22" s="635">
        <v>256003.52372925854</v>
      </c>
    </row>
    <row r="23" spans="1:6" ht="14.4" customHeight="1" x14ac:dyDescent="0.3">
      <c r="A23" s="657" t="s">
        <v>2007</v>
      </c>
      <c r="B23" s="634"/>
      <c r="C23" s="647">
        <v>0</v>
      </c>
      <c r="D23" s="634">
        <v>26.060000000000006</v>
      </c>
      <c r="E23" s="647">
        <v>1</v>
      </c>
      <c r="F23" s="635">
        <v>26.060000000000006</v>
      </c>
    </row>
    <row r="24" spans="1:6" ht="14.4" customHeight="1" x14ac:dyDescent="0.3">
      <c r="A24" s="657" t="s">
        <v>2008</v>
      </c>
      <c r="B24" s="634"/>
      <c r="C24" s="647">
        <v>0</v>
      </c>
      <c r="D24" s="634">
        <v>91.280000000000015</v>
      </c>
      <c r="E24" s="647">
        <v>1</v>
      </c>
      <c r="F24" s="635">
        <v>91.280000000000015</v>
      </c>
    </row>
    <row r="25" spans="1:6" ht="14.4" customHeight="1" x14ac:dyDescent="0.3">
      <c r="A25" s="657" t="s">
        <v>2009</v>
      </c>
      <c r="B25" s="634"/>
      <c r="C25" s="647">
        <v>0</v>
      </c>
      <c r="D25" s="634">
        <v>159.88</v>
      </c>
      <c r="E25" s="647">
        <v>1</v>
      </c>
      <c r="F25" s="635">
        <v>159.88</v>
      </c>
    </row>
    <row r="26" spans="1:6" ht="14.4" customHeight="1" x14ac:dyDescent="0.3">
      <c r="A26" s="657" t="s">
        <v>2010</v>
      </c>
      <c r="B26" s="634"/>
      <c r="C26" s="647">
        <v>0</v>
      </c>
      <c r="D26" s="634">
        <v>8629.5200728691852</v>
      </c>
      <c r="E26" s="647">
        <v>1</v>
      </c>
      <c r="F26" s="635">
        <v>8629.5200728691852</v>
      </c>
    </row>
    <row r="27" spans="1:6" ht="14.4" customHeight="1" x14ac:dyDescent="0.3">
      <c r="A27" s="657" t="s">
        <v>2011</v>
      </c>
      <c r="B27" s="634"/>
      <c r="C27" s="647">
        <v>0</v>
      </c>
      <c r="D27" s="634">
        <v>7247.88</v>
      </c>
      <c r="E27" s="647">
        <v>1</v>
      </c>
      <c r="F27" s="635">
        <v>7247.88</v>
      </c>
    </row>
    <row r="28" spans="1:6" ht="14.4" customHeight="1" x14ac:dyDescent="0.3">
      <c r="A28" s="657" t="s">
        <v>2012</v>
      </c>
      <c r="B28" s="634"/>
      <c r="C28" s="647">
        <v>0</v>
      </c>
      <c r="D28" s="634">
        <v>1062.7399999999998</v>
      </c>
      <c r="E28" s="647">
        <v>1</v>
      </c>
      <c r="F28" s="635">
        <v>1062.7399999999998</v>
      </c>
    </row>
    <row r="29" spans="1:6" ht="14.4" customHeight="1" x14ac:dyDescent="0.3">
      <c r="A29" s="657" t="s">
        <v>2013</v>
      </c>
      <c r="B29" s="634"/>
      <c r="C29" s="647">
        <v>0</v>
      </c>
      <c r="D29" s="634">
        <v>3308.58</v>
      </c>
      <c r="E29" s="647">
        <v>1</v>
      </c>
      <c r="F29" s="635">
        <v>3308.58</v>
      </c>
    </row>
    <row r="30" spans="1:6" ht="14.4" customHeight="1" x14ac:dyDescent="0.3">
      <c r="A30" s="657" t="s">
        <v>2014</v>
      </c>
      <c r="B30" s="634"/>
      <c r="C30" s="647">
        <v>0</v>
      </c>
      <c r="D30" s="634">
        <v>339174.32622528094</v>
      </c>
      <c r="E30" s="647">
        <v>1</v>
      </c>
      <c r="F30" s="635">
        <v>339174.32622528094</v>
      </c>
    </row>
    <row r="31" spans="1:6" ht="14.4" customHeight="1" x14ac:dyDescent="0.3">
      <c r="A31" s="657" t="s">
        <v>2015</v>
      </c>
      <c r="B31" s="634"/>
      <c r="C31" s="647">
        <v>0</v>
      </c>
      <c r="D31" s="634">
        <v>117.76</v>
      </c>
      <c r="E31" s="647">
        <v>1</v>
      </c>
      <c r="F31" s="635">
        <v>117.76</v>
      </c>
    </row>
    <row r="32" spans="1:6" ht="14.4" customHeight="1" x14ac:dyDescent="0.3">
      <c r="A32" s="657" t="s">
        <v>2016</v>
      </c>
      <c r="B32" s="634"/>
      <c r="C32" s="647">
        <v>0</v>
      </c>
      <c r="D32" s="634">
        <v>273.08</v>
      </c>
      <c r="E32" s="647">
        <v>1</v>
      </c>
      <c r="F32" s="635">
        <v>273.08</v>
      </c>
    </row>
    <row r="33" spans="1:6" ht="14.4" customHeight="1" x14ac:dyDescent="0.3">
      <c r="A33" s="657" t="s">
        <v>2017</v>
      </c>
      <c r="B33" s="634"/>
      <c r="C33" s="647">
        <v>0</v>
      </c>
      <c r="D33" s="634">
        <v>23160.530574975779</v>
      </c>
      <c r="E33" s="647">
        <v>1</v>
      </c>
      <c r="F33" s="635">
        <v>23160.530574975779</v>
      </c>
    </row>
    <row r="34" spans="1:6" ht="14.4" customHeight="1" x14ac:dyDescent="0.3">
      <c r="A34" s="657" t="s">
        <v>2018</v>
      </c>
      <c r="B34" s="634"/>
      <c r="C34" s="647">
        <v>0</v>
      </c>
      <c r="D34" s="634">
        <v>138297.12</v>
      </c>
      <c r="E34" s="647">
        <v>1</v>
      </c>
      <c r="F34" s="635">
        <v>138297.12</v>
      </c>
    </row>
    <row r="35" spans="1:6" ht="14.4" customHeight="1" x14ac:dyDescent="0.3">
      <c r="A35" s="657" t="s">
        <v>2019</v>
      </c>
      <c r="B35" s="634"/>
      <c r="C35" s="647">
        <v>0</v>
      </c>
      <c r="D35" s="634">
        <v>747.00198224303062</v>
      </c>
      <c r="E35" s="647">
        <v>1</v>
      </c>
      <c r="F35" s="635">
        <v>747.00198224303062</v>
      </c>
    </row>
    <row r="36" spans="1:6" ht="14.4" customHeight="1" x14ac:dyDescent="0.3">
      <c r="A36" s="657" t="s">
        <v>2020</v>
      </c>
      <c r="B36" s="634"/>
      <c r="C36" s="647">
        <v>0</v>
      </c>
      <c r="D36" s="634">
        <v>15954.869889362664</v>
      </c>
      <c r="E36" s="647">
        <v>1</v>
      </c>
      <c r="F36" s="635">
        <v>15954.869889362664</v>
      </c>
    </row>
    <row r="37" spans="1:6" ht="14.4" customHeight="1" x14ac:dyDescent="0.3">
      <c r="A37" s="657" t="s">
        <v>2021</v>
      </c>
      <c r="B37" s="634"/>
      <c r="C37" s="647">
        <v>0</v>
      </c>
      <c r="D37" s="634">
        <v>35780.746115408692</v>
      </c>
      <c r="E37" s="647">
        <v>1</v>
      </c>
      <c r="F37" s="635">
        <v>35780.746115408692</v>
      </c>
    </row>
    <row r="38" spans="1:6" ht="14.4" customHeight="1" x14ac:dyDescent="0.3">
      <c r="A38" s="657" t="s">
        <v>2022</v>
      </c>
      <c r="B38" s="634"/>
      <c r="C38" s="647">
        <v>0</v>
      </c>
      <c r="D38" s="634">
        <v>10795.982055641849</v>
      </c>
      <c r="E38" s="647">
        <v>1</v>
      </c>
      <c r="F38" s="635">
        <v>10795.982055641849</v>
      </c>
    </row>
    <row r="39" spans="1:6" ht="14.4" customHeight="1" x14ac:dyDescent="0.3">
      <c r="A39" s="657" t="s">
        <v>2023</v>
      </c>
      <c r="B39" s="634"/>
      <c r="C39" s="647">
        <v>0</v>
      </c>
      <c r="D39" s="634">
        <v>211704.60054582122</v>
      </c>
      <c r="E39" s="647">
        <v>1</v>
      </c>
      <c r="F39" s="635">
        <v>211704.60054582122</v>
      </c>
    </row>
    <row r="40" spans="1:6" ht="14.4" customHeight="1" x14ac:dyDescent="0.3">
      <c r="A40" s="657" t="s">
        <v>2024</v>
      </c>
      <c r="B40" s="634"/>
      <c r="C40" s="647">
        <v>0</v>
      </c>
      <c r="D40" s="634">
        <v>1407.6000000000004</v>
      </c>
      <c r="E40" s="647">
        <v>1</v>
      </c>
      <c r="F40" s="635">
        <v>1407.6000000000004</v>
      </c>
    </row>
    <row r="41" spans="1:6" ht="14.4" customHeight="1" x14ac:dyDescent="0.3">
      <c r="A41" s="657" t="s">
        <v>2025</v>
      </c>
      <c r="B41" s="634"/>
      <c r="C41" s="647">
        <v>0</v>
      </c>
      <c r="D41" s="634">
        <v>4385.9469918973091</v>
      </c>
      <c r="E41" s="647">
        <v>1</v>
      </c>
      <c r="F41" s="635">
        <v>4385.9469918973091</v>
      </c>
    </row>
    <row r="42" spans="1:6" ht="14.4" customHeight="1" x14ac:dyDescent="0.3">
      <c r="A42" s="657" t="s">
        <v>2026</v>
      </c>
      <c r="B42" s="634"/>
      <c r="C42" s="647">
        <v>0</v>
      </c>
      <c r="D42" s="634">
        <v>4663.6499652778011</v>
      </c>
      <c r="E42" s="647">
        <v>1</v>
      </c>
      <c r="F42" s="635">
        <v>4663.6499652778011</v>
      </c>
    </row>
    <row r="43" spans="1:6" ht="14.4" customHeight="1" x14ac:dyDescent="0.3">
      <c r="A43" s="657" t="s">
        <v>2027</v>
      </c>
      <c r="B43" s="634"/>
      <c r="C43" s="647">
        <v>0</v>
      </c>
      <c r="D43" s="634">
        <v>1335.9591223613825</v>
      </c>
      <c r="E43" s="647">
        <v>1</v>
      </c>
      <c r="F43" s="635">
        <v>1335.9591223613825</v>
      </c>
    </row>
    <row r="44" spans="1:6" ht="14.4" customHeight="1" x14ac:dyDescent="0.3">
      <c r="A44" s="657" t="s">
        <v>2028</v>
      </c>
      <c r="B44" s="634"/>
      <c r="C44" s="647">
        <v>0</v>
      </c>
      <c r="D44" s="634">
        <v>41399.990799149135</v>
      </c>
      <c r="E44" s="647">
        <v>1</v>
      </c>
      <c r="F44" s="635">
        <v>41399.990799149135</v>
      </c>
    </row>
    <row r="45" spans="1:6" ht="14.4" customHeight="1" x14ac:dyDescent="0.3">
      <c r="A45" s="657" t="s">
        <v>2029</v>
      </c>
      <c r="B45" s="634"/>
      <c r="C45" s="647">
        <v>0</v>
      </c>
      <c r="D45" s="634">
        <v>452113.27</v>
      </c>
      <c r="E45" s="647">
        <v>1</v>
      </c>
      <c r="F45" s="635">
        <v>452113.27</v>
      </c>
    </row>
    <row r="46" spans="1:6" ht="14.4" customHeight="1" x14ac:dyDescent="0.3">
      <c r="A46" s="657" t="s">
        <v>2030</v>
      </c>
      <c r="B46" s="634"/>
      <c r="C46" s="647">
        <v>0</v>
      </c>
      <c r="D46" s="634">
        <v>55351.510944831076</v>
      </c>
      <c r="E46" s="647">
        <v>1</v>
      </c>
      <c r="F46" s="635">
        <v>55351.510944831076</v>
      </c>
    </row>
    <row r="47" spans="1:6" ht="14.4" customHeight="1" x14ac:dyDescent="0.3">
      <c r="A47" s="657" t="s">
        <v>2031</v>
      </c>
      <c r="B47" s="634"/>
      <c r="C47" s="647">
        <v>0</v>
      </c>
      <c r="D47" s="634">
        <v>119541.30130397493</v>
      </c>
      <c r="E47" s="647">
        <v>1</v>
      </c>
      <c r="F47" s="635">
        <v>119541.30130397493</v>
      </c>
    </row>
    <row r="48" spans="1:6" ht="14.4" customHeight="1" x14ac:dyDescent="0.3">
      <c r="A48" s="657" t="s">
        <v>2032</v>
      </c>
      <c r="B48" s="634"/>
      <c r="C48" s="647">
        <v>0</v>
      </c>
      <c r="D48" s="634">
        <v>62.009999999999977</v>
      </c>
      <c r="E48" s="647">
        <v>1</v>
      </c>
      <c r="F48" s="635">
        <v>62.009999999999977</v>
      </c>
    </row>
    <row r="49" spans="1:6" ht="14.4" customHeight="1" x14ac:dyDescent="0.3">
      <c r="A49" s="657" t="s">
        <v>2033</v>
      </c>
      <c r="B49" s="634"/>
      <c r="C49" s="647">
        <v>0</v>
      </c>
      <c r="D49" s="634">
        <v>25076.372671278441</v>
      </c>
      <c r="E49" s="647">
        <v>1</v>
      </c>
      <c r="F49" s="635">
        <v>25076.372671278441</v>
      </c>
    </row>
    <row r="50" spans="1:6" ht="14.4" customHeight="1" x14ac:dyDescent="0.3">
      <c r="A50" s="657" t="s">
        <v>2034</v>
      </c>
      <c r="B50" s="634"/>
      <c r="C50" s="647">
        <v>0</v>
      </c>
      <c r="D50" s="634">
        <v>10121.512660133265</v>
      </c>
      <c r="E50" s="647">
        <v>1</v>
      </c>
      <c r="F50" s="635">
        <v>10121.512660133265</v>
      </c>
    </row>
    <row r="51" spans="1:6" ht="14.4" customHeight="1" x14ac:dyDescent="0.3">
      <c r="A51" s="657" t="s">
        <v>2035</v>
      </c>
      <c r="B51" s="634"/>
      <c r="C51" s="647">
        <v>0</v>
      </c>
      <c r="D51" s="634">
        <v>4946.7615319053684</v>
      </c>
      <c r="E51" s="647">
        <v>1</v>
      </c>
      <c r="F51" s="635">
        <v>4946.7615319053684</v>
      </c>
    </row>
    <row r="52" spans="1:6" ht="14.4" customHeight="1" x14ac:dyDescent="0.3">
      <c r="A52" s="657" t="s">
        <v>2036</v>
      </c>
      <c r="B52" s="634"/>
      <c r="C52" s="647">
        <v>0</v>
      </c>
      <c r="D52" s="634">
        <v>207.5200509719823</v>
      </c>
      <c r="E52" s="647">
        <v>1</v>
      </c>
      <c r="F52" s="635">
        <v>207.5200509719823</v>
      </c>
    </row>
    <row r="53" spans="1:6" ht="14.4" customHeight="1" x14ac:dyDescent="0.3">
      <c r="A53" s="657" t="s">
        <v>2037</v>
      </c>
      <c r="B53" s="634"/>
      <c r="C53" s="647">
        <v>0</v>
      </c>
      <c r="D53" s="634">
        <v>1540.5279999999998</v>
      </c>
      <c r="E53" s="647">
        <v>1</v>
      </c>
      <c r="F53" s="635">
        <v>1540.5279999999998</v>
      </c>
    </row>
    <row r="54" spans="1:6" ht="14.4" customHeight="1" x14ac:dyDescent="0.3">
      <c r="A54" s="657" t="s">
        <v>2038</v>
      </c>
      <c r="B54" s="634"/>
      <c r="C54" s="647">
        <v>0</v>
      </c>
      <c r="D54" s="634">
        <v>1066.0393734546699</v>
      </c>
      <c r="E54" s="647">
        <v>1</v>
      </c>
      <c r="F54" s="635">
        <v>1066.0393734546699</v>
      </c>
    </row>
    <row r="55" spans="1:6" ht="14.4" customHeight="1" x14ac:dyDescent="0.3">
      <c r="A55" s="657" t="s">
        <v>2039</v>
      </c>
      <c r="B55" s="634"/>
      <c r="C55" s="647">
        <v>0</v>
      </c>
      <c r="D55" s="634">
        <v>54272.111838250348</v>
      </c>
      <c r="E55" s="647">
        <v>1</v>
      </c>
      <c r="F55" s="635">
        <v>54272.111838250348</v>
      </c>
    </row>
    <row r="56" spans="1:6" ht="14.4" customHeight="1" x14ac:dyDescent="0.3">
      <c r="A56" s="657" t="s">
        <v>2040</v>
      </c>
      <c r="B56" s="634"/>
      <c r="C56" s="647">
        <v>0</v>
      </c>
      <c r="D56" s="634">
        <v>229.78932034680446</v>
      </c>
      <c r="E56" s="647">
        <v>1</v>
      </c>
      <c r="F56" s="635">
        <v>229.78932034680446</v>
      </c>
    </row>
    <row r="57" spans="1:6" ht="14.4" customHeight="1" x14ac:dyDescent="0.3">
      <c r="A57" s="657" t="s">
        <v>2041</v>
      </c>
      <c r="B57" s="634"/>
      <c r="C57" s="647">
        <v>0</v>
      </c>
      <c r="D57" s="634">
        <v>122506.41</v>
      </c>
      <c r="E57" s="647">
        <v>1</v>
      </c>
      <c r="F57" s="635">
        <v>122506.41</v>
      </c>
    </row>
    <row r="58" spans="1:6" ht="14.4" customHeight="1" x14ac:dyDescent="0.3">
      <c r="A58" s="657" t="s">
        <v>2042</v>
      </c>
      <c r="B58" s="634"/>
      <c r="C58" s="647">
        <v>0</v>
      </c>
      <c r="D58" s="634">
        <v>70938.771925226494</v>
      </c>
      <c r="E58" s="647">
        <v>1</v>
      </c>
      <c r="F58" s="635">
        <v>70938.771925226494</v>
      </c>
    </row>
    <row r="59" spans="1:6" ht="14.4" customHeight="1" thickBot="1" x14ac:dyDescent="0.35">
      <c r="A59" s="658" t="s">
        <v>2043</v>
      </c>
      <c r="B59" s="649"/>
      <c r="C59" s="650">
        <v>0</v>
      </c>
      <c r="D59" s="649">
        <v>6087.8191987332211</v>
      </c>
      <c r="E59" s="650">
        <v>1</v>
      </c>
      <c r="F59" s="651">
        <v>6087.8191987332211</v>
      </c>
    </row>
    <row r="60" spans="1:6" ht="14.4" customHeight="1" thickBot="1" x14ac:dyDescent="0.35">
      <c r="A60" s="652" t="s">
        <v>3</v>
      </c>
      <c r="B60" s="653">
        <v>152058.64349870736</v>
      </c>
      <c r="C60" s="654">
        <v>4.5464917673367237E-2</v>
      </c>
      <c r="D60" s="653">
        <v>3192468.329829155</v>
      </c>
      <c r="E60" s="654">
        <v>0.95453508232663287</v>
      </c>
      <c r="F60" s="655">
        <v>3344526.9733278621</v>
      </c>
    </row>
  </sheetData>
  <mergeCells count="3">
    <mergeCell ref="A1:F1"/>
    <mergeCell ref="B3:C3"/>
    <mergeCell ref="D3:E3"/>
  </mergeCells>
  <conditionalFormatting sqref="C5:C1048576">
    <cfRule type="cellIs" dxfId="53" priority="8" stopIfTrue="1" operator="greaterThan">
      <formula>0.1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7">
    <tabColor theme="0" tint="-0.249977111117893"/>
    <pageSetUpPr fitToPage="1"/>
  </sheetPr>
  <dimension ref="A1:M110"/>
  <sheetViews>
    <sheetView showGridLines="0" showRowColHeaders="0" workbookViewId="0">
      <pane ySplit="5" topLeftCell="A6" activePane="bottomLeft" state="frozen"/>
      <selection activeCell="A6" sqref="A6"/>
      <selection pane="bottomLeft" sqref="A1:M1"/>
    </sheetView>
  </sheetViews>
  <sheetFormatPr defaultRowHeight="14.4" customHeight="1" x14ac:dyDescent="0.3"/>
  <cols>
    <col min="1" max="1" width="5.77734375" style="257" bestFit="1" customWidth="1"/>
    <col min="2" max="2" width="8.88671875" style="257" bestFit="1" customWidth="1"/>
    <col min="3" max="3" width="7" style="257" bestFit="1" customWidth="1"/>
    <col min="4" max="4" width="53.44140625" style="257" bestFit="1" customWidth="1"/>
    <col min="5" max="5" width="28.44140625" style="257" bestFit="1" customWidth="1"/>
    <col min="6" max="6" width="6.6640625" style="340" customWidth="1"/>
    <col min="7" max="7" width="10" style="340" customWidth="1"/>
    <col min="8" max="8" width="6.77734375" style="343" bestFit="1" customWidth="1"/>
    <col min="9" max="9" width="6.6640625" style="340" customWidth="1"/>
    <col min="10" max="10" width="10" style="340" customWidth="1"/>
    <col min="11" max="11" width="6.77734375" style="343" bestFit="1" customWidth="1"/>
    <col min="12" max="12" width="6.6640625" style="340" customWidth="1"/>
    <col min="13" max="13" width="10" style="340" customWidth="1"/>
    <col min="14" max="16384" width="8.88671875" style="257"/>
  </cols>
  <sheetData>
    <row r="1" spans="1:13" ht="18.600000000000001" customHeight="1" thickBot="1" x14ac:dyDescent="0.4">
      <c r="A1" s="496" t="s">
        <v>2132</v>
      </c>
      <c r="B1" s="496"/>
      <c r="C1" s="496"/>
      <c r="D1" s="496"/>
      <c r="E1" s="496"/>
      <c r="F1" s="496"/>
      <c r="G1" s="496"/>
      <c r="H1" s="496"/>
      <c r="I1" s="496"/>
      <c r="J1" s="496"/>
      <c r="K1" s="496"/>
      <c r="L1" s="458"/>
      <c r="M1" s="458"/>
    </row>
    <row r="2" spans="1:13" ht="14.4" customHeight="1" thickBot="1" x14ac:dyDescent="0.35">
      <c r="A2" s="386" t="s">
        <v>321</v>
      </c>
      <c r="B2" s="339"/>
      <c r="C2" s="339"/>
      <c r="D2" s="339"/>
      <c r="E2" s="339"/>
      <c r="F2" s="347"/>
      <c r="G2" s="347"/>
      <c r="H2" s="348"/>
      <c r="I2" s="347"/>
      <c r="J2" s="347"/>
      <c r="K2" s="348"/>
      <c r="L2" s="347"/>
    </row>
    <row r="3" spans="1:13" ht="14.4" customHeight="1" thickBot="1" x14ac:dyDescent="0.35">
      <c r="E3" s="104" t="s">
        <v>160</v>
      </c>
      <c r="F3" s="47">
        <f>SUBTOTAL(9,F6:F1048576)</f>
        <v>305</v>
      </c>
      <c r="G3" s="47">
        <f>SUBTOTAL(9,G6:G1048576)</f>
        <v>152058.64349870736</v>
      </c>
      <c r="H3" s="48">
        <f>IF(M3=0,0,G3/M3)</f>
        <v>4.546491767336721E-2</v>
      </c>
      <c r="I3" s="47">
        <f>SUBTOTAL(9,I6:I1048576)</f>
        <v>6537.2</v>
      </c>
      <c r="J3" s="47">
        <f>SUBTOTAL(9,J6:J1048576)</f>
        <v>3192468.3298291573</v>
      </c>
      <c r="K3" s="48">
        <f>IF(M3=0,0,J3/M3)</f>
        <v>0.95453508232663287</v>
      </c>
      <c r="L3" s="47">
        <f>SUBTOTAL(9,L6:L1048576)</f>
        <v>6842.2</v>
      </c>
      <c r="M3" s="49">
        <f>SUBTOTAL(9,M6:M1048576)</f>
        <v>3344526.9733278644</v>
      </c>
    </row>
    <row r="4" spans="1:13" ht="14.4" customHeight="1" thickBot="1" x14ac:dyDescent="0.35">
      <c r="A4" s="45"/>
      <c r="B4" s="45"/>
      <c r="C4" s="45"/>
      <c r="D4" s="45"/>
      <c r="E4" s="46"/>
      <c r="F4" s="500" t="s">
        <v>162</v>
      </c>
      <c r="G4" s="501"/>
      <c r="H4" s="502"/>
      <c r="I4" s="503" t="s">
        <v>161</v>
      </c>
      <c r="J4" s="501"/>
      <c r="K4" s="502"/>
      <c r="L4" s="504" t="s">
        <v>3</v>
      </c>
      <c r="M4" s="505"/>
    </row>
    <row r="5" spans="1:13" ht="14.4" customHeight="1" thickBot="1" x14ac:dyDescent="0.35">
      <c r="A5" s="642" t="s">
        <v>163</v>
      </c>
      <c r="B5" s="660" t="s">
        <v>164</v>
      </c>
      <c r="C5" s="660" t="s">
        <v>90</v>
      </c>
      <c r="D5" s="660" t="s">
        <v>165</v>
      </c>
      <c r="E5" s="660" t="s">
        <v>166</v>
      </c>
      <c r="F5" s="661" t="s">
        <v>28</v>
      </c>
      <c r="G5" s="661" t="s">
        <v>14</v>
      </c>
      <c r="H5" s="644" t="s">
        <v>167</v>
      </c>
      <c r="I5" s="643" t="s">
        <v>28</v>
      </c>
      <c r="J5" s="661" t="s">
        <v>14</v>
      </c>
      <c r="K5" s="644" t="s">
        <v>167</v>
      </c>
      <c r="L5" s="643" t="s">
        <v>28</v>
      </c>
      <c r="M5" s="662" t="s">
        <v>14</v>
      </c>
    </row>
    <row r="6" spans="1:13" ht="14.4" customHeight="1" x14ac:dyDescent="0.3">
      <c r="A6" s="624" t="s">
        <v>555</v>
      </c>
      <c r="B6" s="625" t="s">
        <v>2044</v>
      </c>
      <c r="C6" s="625" t="s">
        <v>1482</v>
      </c>
      <c r="D6" s="625" t="s">
        <v>1483</v>
      </c>
      <c r="E6" s="625" t="s">
        <v>1484</v>
      </c>
      <c r="F6" s="628"/>
      <c r="G6" s="628"/>
      <c r="H6" s="646">
        <v>0</v>
      </c>
      <c r="I6" s="628">
        <v>1000</v>
      </c>
      <c r="J6" s="628">
        <v>70938.771925226494</v>
      </c>
      <c r="K6" s="646">
        <v>1</v>
      </c>
      <c r="L6" s="628">
        <v>1000</v>
      </c>
      <c r="M6" s="629">
        <v>70938.771925226494</v>
      </c>
    </row>
    <row r="7" spans="1:13" ht="14.4" customHeight="1" x14ac:dyDescent="0.3">
      <c r="A7" s="630" t="s">
        <v>555</v>
      </c>
      <c r="B7" s="631" t="s">
        <v>2045</v>
      </c>
      <c r="C7" s="631" t="s">
        <v>1478</v>
      </c>
      <c r="D7" s="631" t="s">
        <v>1479</v>
      </c>
      <c r="E7" s="631" t="s">
        <v>1480</v>
      </c>
      <c r="F7" s="634"/>
      <c r="G7" s="634"/>
      <c r="H7" s="647">
        <v>0</v>
      </c>
      <c r="I7" s="634">
        <v>18</v>
      </c>
      <c r="J7" s="634">
        <v>1335.9591223613825</v>
      </c>
      <c r="K7" s="647">
        <v>1</v>
      </c>
      <c r="L7" s="634">
        <v>18</v>
      </c>
      <c r="M7" s="635">
        <v>1335.9591223613825</v>
      </c>
    </row>
    <row r="8" spans="1:13" ht="14.4" customHeight="1" x14ac:dyDescent="0.3">
      <c r="A8" s="630" t="s">
        <v>555</v>
      </c>
      <c r="B8" s="631" t="s">
        <v>2046</v>
      </c>
      <c r="C8" s="631" t="s">
        <v>1475</v>
      </c>
      <c r="D8" s="631" t="s">
        <v>1476</v>
      </c>
      <c r="E8" s="631" t="s">
        <v>1353</v>
      </c>
      <c r="F8" s="634"/>
      <c r="G8" s="634"/>
      <c r="H8" s="647">
        <v>0</v>
      </c>
      <c r="I8" s="634">
        <v>53</v>
      </c>
      <c r="J8" s="634">
        <v>25076.372671278441</v>
      </c>
      <c r="K8" s="647">
        <v>1</v>
      </c>
      <c r="L8" s="634">
        <v>53</v>
      </c>
      <c r="M8" s="635">
        <v>25076.372671278441</v>
      </c>
    </row>
    <row r="9" spans="1:13" ht="14.4" customHeight="1" x14ac:dyDescent="0.3">
      <c r="A9" s="630" t="s">
        <v>555</v>
      </c>
      <c r="B9" s="631" t="s">
        <v>2047</v>
      </c>
      <c r="C9" s="631" t="s">
        <v>1016</v>
      </c>
      <c r="D9" s="631" t="s">
        <v>2048</v>
      </c>
      <c r="E9" s="631" t="s">
        <v>2049</v>
      </c>
      <c r="F9" s="634"/>
      <c r="G9" s="634"/>
      <c r="H9" s="647">
        <v>0</v>
      </c>
      <c r="I9" s="634">
        <v>26</v>
      </c>
      <c r="J9" s="634">
        <v>10121.512660133265</v>
      </c>
      <c r="K9" s="647">
        <v>1</v>
      </c>
      <c r="L9" s="634">
        <v>26</v>
      </c>
      <c r="M9" s="635">
        <v>10121.512660133265</v>
      </c>
    </row>
    <row r="10" spans="1:13" ht="14.4" customHeight="1" x14ac:dyDescent="0.3">
      <c r="A10" s="630" t="s">
        <v>555</v>
      </c>
      <c r="B10" s="631" t="s">
        <v>2050</v>
      </c>
      <c r="C10" s="631" t="s">
        <v>1460</v>
      </c>
      <c r="D10" s="631" t="s">
        <v>1461</v>
      </c>
      <c r="E10" s="631" t="s">
        <v>2051</v>
      </c>
      <c r="F10" s="634"/>
      <c r="G10" s="634"/>
      <c r="H10" s="647">
        <v>0</v>
      </c>
      <c r="I10" s="634">
        <v>12</v>
      </c>
      <c r="J10" s="634">
        <v>41399.990799149135</v>
      </c>
      <c r="K10" s="647">
        <v>1</v>
      </c>
      <c r="L10" s="634">
        <v>12</v>
      </c>
      <c r="M10" s="635">
        <v>41399.990799149135</v>
      </c>
    </row>
    <row r="11" spans="1:13" ht="14.4" customHeight="1" x14ac:dyDescent="0.3">
      <c r="A11" s="630" t="s">
        <v>555</v>
      </c>
      <c r="B11" s="631" t="s">
        <v>2052</v>
      </c>
      <c r="C11" s="631" t="s">
        <v>1539</v>
      </c>
      <c r="D11" s="631" t="s">
        <v>1540</v>
      </c>
      <c r="E11" s="631" t="s">
        <v>1541</v>
      </c>
      <c r="F11" s="634"/>
      <c r="G11" s="634"/>
      <c r="H11" s="647">
        <v>0</v>
      </c>
      <c r="I11" s="634">
        <v>14</v>
      </c>
      <c r="J11" s="634">
        <v>452113.27</v>
      </c>
      <c r="K11" s="647">
        <v>1</v>
      </c>
      <c r="L11" s="634">
        <v>14</v>
      </c>
      <c r="M11" s="635">
        <v>452113.27</v>
      </c>
    </row>
    <row r="12" spans="1:13" ht="14.4" customHeight="1" x14ac:dyDescent="0.3">
      <c r="A12" s="630" t="s">
        <v>555</v>
      </c>
      <c r="B12" s="631" t="s">
        <v>2053</v>
      </c>
      <c r="C12" s="631" t="s">
        <v>1468</v>
      </c>
      <c r="D12" s="631" t="s">
        <v>1449</v>
      </c>
      <c r="E12" s="631" t="s">
        <v>1469</v>
      </c>
      <c r="F12" s="634"/>
      <c r="G12" s="634"/>
      <c r="H12" s="647">
        <v>0</v>
      </c>
      <c r="I12" s="634">
        <v>163</v>
      </c>
      <c r="J12" s="634">
        <v>22064.739345212984</v>
      </c>
      <c r="K12" s="647">
        <v>1</v>
      </c>
      <c r="L12" s="634">
        <v>163</v>
      </c>
      <c r="M12" s="635">
        <v>22064.739345212984</v>
      </c>
    </row>
    <row r="13" spans="1:13" ht="14.4" customHeight="1" x14ac:dyDescent="0.3">
      <c r="A13" s="630" t="s">
        <v>555</v>
      </c>
      <c r="B13" s="631" t="s">
        <v>2053</v>
      </c>
      <c r="C13" s="631" t="s">
        <v>1448</v>
      </c>
      <c r="D13" s="631" t="s">
        <v>1449</v>
      </c>
      <c r="E13" s="631" t="s">
        <v>2054</v>
      </c>
      <c r="F13" s="634"/>
      <c r="G13" s="634"/>
      <c r="H13" s="647">
        <v>0</v>
      </c>
      <c r="I13" s="634">
        <v>3</v>
      </c>
      <c r="J13" s="634">
        <v>284.01102894434462</v>
      </c>
      <c r="K13" s="647">
        <v>1</v>
      </c>
      <c r="L13" s="634">
        <v>3</v>
      </c>
      <c r="M13" s="635">
        <v>284.01102894434462</v>
      </c>
    </row>
    <row r="14" spans="1:13" ht="14.4" customHeight="1" x14ac:dyDescent="0.3">
      <c r="A14" s="630" t="s">
        <v>555</v>
      </c>
      <c r="B14" s="631" t="s">
        <v>2055</v>
      </c>
      <c r="C14" s="631" t="s">
        <v>1456</v>
      </c>
      <c r="D14" s="631" t="s">
        <v>1457</v>
      </c>
      <c r="E14" s="631" t="s">
        <v>1458</v>
      </c>
      <c r="F14" s="634"/>
      <c r="G14" s="634"/>
      <c r="H14" s="647">
        <v>0</v>
      </c>
      <c r="I14" s="634">
        <v>2</v>
      </c>
      <c r="J14" s="634">
        <v>91.280000000000015</v>
      </c>
      <c r="K14" s="647">
        <v>1</v>
      </c>
      <c r="L14" s="634">
        <v>2</v>
      </c>
      <c r="M14" s="635">
        <v>91.280000000000015</v>
      </c>
    </row>
    <row r="15" spans="1:13" ht="14.4" customHeight="1" x14ac:dyDescent="0.3">
      <c r="A15" s="630" t="s">
        <v>555</v>
      </c>
      <c r="B15" s="631" t="s">
        <v>2056</v>
      </c>
      <c r="C15" s="631" t="s">
        <v>1471</v>
      </c>
      <c r="D15" s="631" t="s">
        <v>1472</v>
      </c>
      <c r="E15" s="631" t="s">
        <v>1473</v>
      </c>
      <c r="F15" s="634"/>
      <c r="G15" s="634"/>
      <c r="H15" s="647">
        <v>0</v>
      </c>
      <c r="I15" s="634">
        <v>1</v>
      </c>
      <c r="J15" s="634">
        <v>26.060000000000006</v>
      </c>
      <c r="K15" s="647">
        <v>1</v>
      </c>
      <c r="L15" s="634">
        <v>1</v>
      </c>
      <c r="M15" s="635">
        <v>26.060000000000006</v>
      </c>
    </row>
    <row r="16" spans="1:13" ht="14.4" customHeight="1" x14ac:dyDescent="0.3">
      <c r="A16" s="630" t="s">
        <v>555</v>
      </c>
      <c r="B16" s="631" t="s">
        <v>2057</v>
      </c>
      <c r="C16" s="631" t="s">
        <v>1024</v>
      </c>
      <c r="D16" s="631" t="s">
        <v>1025</v>
      </c>
      <c r="E16" s="631" t="s">
        <v>2058</v>
      </c>
      <c r="F16" s="634"/>
      <c r="G16" s="634"/>
      <c r="H16" s="647">
        <v>0</v>
      </c>
      <c r="I16" s="634">
        <v>2</v>
      </c>
      <c r="J16" s="634">
        <v>159.88</v>
      </c>
      <c r="K16" s="647">
        <v>1</v>
      </c>
      <c r="L16" s="634">
        <v>2</v>
      </c>
      <c r="M16" s="635">
        <v>159.88</v>
      </c>
    </row>
    <row r="17" spans="1:13" ht="14.4" customHeight="1" x14ac:dyDescent="0.3">
      <c r="A17" s="630" t="s">
        <v>555</v>
      </c>
      <c r="B17" s="631" t="s">
        <v>2059</v>
      </c>
      <c r="C17" s="631" t="s">
        <v>1516</v>
      </c>
      <c r="D17" s="631" t="s">
        <v>2060</v>
      </c>
      <c r="E17" s="631" t="s">
        <v>2061</v>
      </c>
      <c r="F17" s="634"/>
      <c r="G17" s="634"/>
      <c r="H17" s="647">
        <v>0</v>
      </c>
      <c r="I17" s="634">
        <v>5</v>
      </c>
      <c r="J17" s="634">
        <v>7247.88</v>
      </c>
      <c r="K17" s="647">
        <v>1</v>
      </c>
      <c r="L17" s="634">
        <v>5</v>
      </c>
      <c r="M17" s="635">
        <v>7247.88</v>
      </c>
    </row>
    <row r="18" spans="1:13" ht="14.4" customHeight="1" x14ac:dyDescent="0.3">
      <c r="A18" s="630" t="s">
        <v>555</v>
      </c>
      <c r="B18" s="631" t="s">
        <v>2062</v>
      </c>
      <c r="C18" s="631" t="s">
        <v>1444</v>
      </c>
      <c r="D18" s="631" t="s">
        <v>2063</v>
      </c>
      <c r="E18" s="631" t="s">
        <v>2064</v>
      </c>
      <c r="F18" s="634"/>
      <c r="G18" s="634"/>
      <c r="H18" s="647">
        <v>0</v>
      </c>
      <c r="I18" s="634">
        <v>50</v>
      </c>
      <c r="J18" s="634">
        <v>1816.4999999999995</v>
      </c>
      <c r="K18" s="647">
        <v>1</v>
      </c>
      <c r="L18" s="634">
        <v>50</v>
      </c>
      <c r="M18" s="635">
        <v>1816.4999999999995</v>
      </c>
    </row>
    <row r="19" spans="1:13" ht="14.4" customHeight="1" x14ac:dyDescent="0.3">
      <c r="A19" s="630" t="s">
        <v>555</v>
      </c>
      <c r="B19" s="631" t="s">
        <v>2062</v>
      </c>
      <c r="C19" s="631" t="s">
        <v>1498</v>
      </c>
      <c r="D19" s="631" t="s">
        <v>2065</v>
      </c>
      <c r="E19" s="631" t="s">
        <v>2066</v>
      </c>
      <c r="F19" s="634"/>
      <c r="G19" s="634"/>
      <c r="H19" s="647">
        <v>0</v>
      </c>
      <c r="I19" s="634">
        <v>6</v>
      </c>
      <c r="J19" s="634">
        <v>1346.7600000000002</v>
      </c>
      <c r="K19" s="647">
        <v>1</v>
      </c>
      <c r="L19" s="634">
        <v>6</v>
      </c>
      <c r="M19" s="635">
        <v>1346.7600000000002</v>
      </c>
    </row>
    <row r="20" spans="1:13" ht="14.4" customHeight="1" x14ac:dyDescent="0.3">
      <c r="A20" s="630" t="s">
        <v>555</v>
      </c>
      <c r="B20" s="631" t="s">
        <v>2067</v>
      </c>
      <c r="C20" s="631" t="s">
        <v>614</v>
      </c>
      <c r="D20" s="631" t="s">
        <v>615</v>
      </c>
      <c r="E20" s="631" t="s">
        <v>616</v>
      </c>
      <c r="F20" s="634">
        <v>1</v>
      </c>
      <c r="G20" s="634">
        <v>64.729999999999976</v>
      </c>
      <c r="H20" s="647">
        <v>1</v>
      </c>
      <c r="I20" s="634"/>
      <c r="J20" s="634"/>
      <c r="K20" s="647">
        <v>0</v>
      </c>
      <c r="L20" s="634">
        <v>1</v>
      </c>
      <c r="M20" s="635">
        <v>64.729999999999976</v>
      </c>
    </row>
    <row r="21" spans="1:13" ht="14.4" customHeight="1" x14ac:dyDescent="0.3">
      <c r="A21" s="630" t="s">
        <v>555</v>
      </c>
      <c r="B21" s="631" t="s">
        <v>2067</v>
      </c>
      <c r="C21" s="631" t="s">
        <v>611</v>
      </c>
      <c r="D21" s="631" t="s">
        <v>612</v>
      </c>
      <c r="E21" s="631" t="s">
        <v>613</v>
      </c>
      <c r="F21" s="634">
        <v>2</v>
      </c>
      <c r="G21" s="634">
        <v>99.779999999999973</v>
      </c>
      <c r="H21" s="647">
        <v>1</v>
      </c>
      <c r="I21" s="634"/>
      <c r="J21" s="634"/>
      <c r="K21" s="647">
        <v>0</v>
      </c>
      <c r="L21" s="634">
        <v>2</v>
      </c>
      <c r="M21" s="635">
        <v>99.779999999999973</v>
      </c>
    </row>
    <row r="22" spans="1:13" ht="14.4" customHeight="1" x14ac:dyDescent="0.3">
      <c r="A22" s="630" t="s">
        <v>555</v>
      </c>
      <c r="B22" s="631" t="s">
        <v>2067</v>
      </c>
      <c r="C22" s="631" t="s">
        <v>1452</v>
      </c>
      <c r="D22" s="631" t="s">
        <v>1453</v>
      </c>
      <c r="E22" s="631" t="s">
        <v>2068</v>
      </c>
      <c r="F22" s="634"/>
      <c r="G22" s="634"/>
      <c r="H22" s="647">
        <v>0</v>
      </c>
      <c r="I22" s="634">
        <v>2</v>
      </c>
      <c r="J22" s="634">
        <v>123.87999999999992</v>
      </c>
      <c r="K22" s="647">
        <v>1</v>
      </c>
      <c r="L22" s="634">
        <v>2</v>
      </c>
      <c r="M22" s="635">
        <v>123.87999999999992</v>
      </c>
    </row>
    <row r="23" spans="1:13" ht="14.4" customHeight="1" x14ac:dyDescent="0.3">
      <c r="A23" s="630" t="s">
        <v>555</v>
      </c>
      <c r="B23" s="631" t="s">
        <v>2069</v>
      </c>
      <c r="C23" s="631" t="s">
        <v>1770</v>
      </c>
      <c r="D23" s="631" t="s">
        <v>1771</v>
      </c>
      <c r="E23" s="631" t="s">
        <v>1772</v>
      </c>
      <c r="F23" s="634"/>
      <c r="G23" s="634"/>
      <c r="H23" s="647">
        <v>0</v>
      </c>
      <c r="I23" s="634">
        <v>11</v>
      </c>
      <c r="J23" s="634">
        <v>138297.12</v>
      </c>
      <c r="K23" s="647">
        <v>1</v>
      </c>
      <c r="L23" s="634">
        <v>11</v>
      </c>
      <c r="M23" s="635">
        <v>138297.12</v>
      </c>
    </row>
    <row r="24" spans="1:13" ht="14.4" customHeight="1" x14ac:dyDescent="0.3">
      <c r="A24" s="630" t="s">
        <v>555</v>
      </c>
      <c r="B24" s="631" t="s">
        <v>2070</v>
      </c>
      <c r="C24" s="631" t="s">
        <v>1736</v>
      </c>
      <c r="D24" s="631" t="s">
        <v>1737</v>
      </c>
      <c r="E24" s="631" t="s">
        <v>1738</v>
      </c>
      <c r="F24" s="634"/>
      <c r="G24" s="634"/>
      <c r="H24" s="647">
        <v>0</v>
      </c>
      <c r="I24" s="634">
        <v>348</v>
      </c>
      <c r="J24" s="634">
        <v>15954.869889362664</v>
      </c>
      <c r="K24" s="647">
        <v>1</v>
      </c>
      <c r="L24" s="634">
        <v>348</v>
      </c>
      <c r="M24" s="635">
        <v>15954.869889362664</v>
      </c>
    </row>
    <row r="25" spans="1:13" ht="14.4" customHeight="1" x14ac:dyDescent="0.3">
      <c r="A25" s="630" t="s">
        <v>555</v>
      </c>
      <c r="B25" s="631" t="s">
        <v>2071</v>
      </c>
      <c r="C25" s="631" t="s">
        <v>1751</v>
      </c>
      <c r="D25" s="631" t="s">
        <v>2072</v>
      </c>
      <c r="E25" s="631" t="s">
        <v>2073</v>
      </c>
      <c r="F25" s="634"/>
      <c r="G25" s="634"/>
      <c r="H25" s="647">
        <v>0</v>
      </c>
      <c r="I25" s="634">
        <v>114.4</v>
      </c>
      <c r="J25" s="634">
        <v>10795.982055641849</v>
      </c>
      <c r="K25" s="647">
        <v>1</v>
      </c>
      <c r="L25" s="634">
        <v>114.4</v>
      </c>
      <c r="M25" s="635">
        <v>10795.982055641849</v>
      </c>
    </row>
    <row r="26" spans="1:13" ht="14.4" customHeight="1" x14ac:dyDescent="0.3">
      <c r="A26" s="630" t="s">
        <v>555</v>
      </c>
      <c r="B26" s="631" t="s">
        <v>2074</v>
      </c>
      <c r="C26" s="631" t="s">
        <v>1748</v>
      </c>
      <c r="D26" s="631" t="s">
        <v>1749</v>
      </c>
      <c r="E26" s="631" t="s">
        <v>1667</v>
      </c>
      <c r="F26" s="634"/>
      <c r="G26" s="634"/>
      <c r="H26" s="647">
        <v>0</v>
      </c>
      <c r="I26" s="634">
        <v>6.8</v>
      </c>
      <c r="J26" s="634">
        <v>1407.6000000000004</v>
      </c>
      <c r="K26" s="647">
        <v>1</v>
      </c>
      <c r="L26" s="634">
        <v>6.8</v>
      </c>
      <c r="M26" s="635">
        <v>1407.6000000000004</v>
      </c>
    </row>
    <row r="27" spans="1:13" ht="14.4" customHeight="1" x14ac:dyDescent="0.3">
      <c r="A27" s="630" t="s">
        <v>555</v>
      </c>
      <c r="B27" s="631" t="s">
        <v>2075</v>
      </c>
      <c r="C27" s="631" t="s">
        <v>1755</v>
      </c>
      <c r="D27" s="631" t="s">
        <v>2076</v>
      </c>
      <c r="E27" s="631" t="s">
        <v>1738</v>
      </c>
      <c r="F27" s="634"/>
      <c r="G27" s="634"/>
      <c r="H27" s="647">
        <v>0</v>
      </c>
      <c r="I27" s="634">
        <v>62</v>
      </c>
      <c r="J27" s="634">
        <v>4663.6499652778011</v>
      </c>
      <c r="K27" s="647">
        <v>1</v>
      </c>
      <c r="L27" s="634">
        <v>62</v>
      </c>
      <c r="M27" s="635">
        <v>4663.6499652778011</v>
      </c>
    </row>
    <row r="28" spans="1:13" ht="14.4" customHeight="1" x14ac:dyDescent="0.3">
      <c r="A28" s="630" t="s">
        <v>555</v>
      </c>
      <c r="B28" s="631" t="s">
        <v>2077</v>
      </c>
      <c r="C28" s="631" t="s">
        <v>1634</v>
      </c>
      <c r="D28" s="631" t="s">
        <v>1635</v>
      </c>
      <c r="E28" s="631" t="s">
        <v>1304</v>
      </c>
      <c r="F28" s="634">
        <v>40</v>
      </c>
      <c r="G28" s="634">
        <v>1410.4</v>
      </c>
      <c r="H28" s="647">
        <v>1</v>
      </c>
      <c r="I28" s="634"/>
      <c r="J28" s="634"/>
      <c r="K28" s="647">
        <v>0</v>
      </c>
      <c r="L28" s="634">
        <v>40</v>
      </c>
      <c r="M28" s="635">
        <v>1410.4</v>
      </c>
    </row>
    <row r="29" spans="1:13" ht="14.4" customHeight="1" x14ac:dyDescent="0.3">
      <c r="A29" s="630" t="s">
        <v>555</v>
      </c>
      <c r="B29" s="631" t="s">
        <v>2078</v>
      </c>
      <c r="C29" s="631" t="s">
        <v>1759</v>
      </c>
      <c r="D29" s="631" t="s">
        <v>1760</v>
      </c>
      <c r="E29" s="631" t="s">
        <v>1304</v>
      </c>
      <c r="F29" s="634"/>
      <c r="G29" s="634"/>
      <c r="H29" s="647">
        <v>0</v>
      </c>
      <c r="I29" s="634">
        <v>10</v>
      </c>
      <c r="J29" s="634">
        <v>1540.5279999999998</v>
      </c>
      <c r="K29" s="647">
        <v>1</v>
      </c>
      <c r="L29" s="634">
        <v>10</v>
      </c>
      <c r="M29" s="635">
        <v>1540.5279999999998</v>
      </c>
    </row>
    <row r="30" spans="1:13" ht="14.4" customHeight="1" x14ac:dyDescent="0.3">
      <c r="A30" s="630" t="s">
        <v>555</v>
      </c>
      <c r="B30" s="631" t="s">
        <v>2079</v>
      </c>
      <c r="C30" s="631" t="s">
        <v>1773</v>
      </c>
      <c r="D30" s="631" t="s">
        <v>1774</v>
      </c>
      <c r="E30" s="631" t="s">
        <v>1775</v>
      </c>
      <c r="F30" s="634"/>
      <c r="G30" s="634"/>
      <c r="H30" s="647">
        <v>0</v>
      </c>
      <c r="I30" s="634">
        <v>30</v>
      </c>
      <c r="J30" s="634">
        <v>54272.111838250348</v>
      </c>
      <c r="K30" s="647">
        <v>1</v>
      </c>
      <c r="L30" s="634">
        <v>30</v>
      </c>
      <c r="M30" s="635">
        <v>54272.111838250348</v>
      </c>
    </row>
    <row r="31" spans="1:13" ht="14.4" customHeight="1" x14ac:dyDescent="0.3">
      <c r="A31" s="630" t="s">
        <v>555</v>
      </c>
      <c r="B31" s="631" t="s">
        <v>2080</v>
      </c>
      <c r="C31" s="631" t="s">
        <v>1744</v>
      </c>
      <c r="D31" s="631" t="s">
        <v>1745</v>
      </c>
      <c r="E31" s="631" t="s">
        <v>2081</v>
      </c>
      <c r="F31" s="634"/>
      <c r="G31" s="634"/>
      <c r="H31" s="647">
        <v>0</v>
      </c>
      <c r="I31" s="634">
        <v>468</v>
      </c>
      <c r="J31" s="634">
        <v>122506.41</v>
      </c>
      <c r="K31" s="647">
        <v>1</v>
      </c>
      <c r="L31" s="634">
        <v>468</v>
      </c>
      <c r="M31" s="635">
        <v>122506.41</v>
      </c>
    </row>
    <row r="32" spans="1:13" ht="14.4" customHeight="1" x14ac:dyDescent="0.3">
      <c r="A32" s="630" t="s">
        <v>555</v>
      </c>
      <c r="B32" s="631" t="s">
        <v>2082</v>
      </c>
      <c r="C32" s="631" t="s">
        <v>1732</v>
      </c>
      <c r="D32" s="631" t="s">
        <v>1767</v>
      </c>
      <c r="E32" s="631" t="s">
        <v>2083</v>
      </c>
      <c r="F32" s="634"/>
      <c r="G32" s="634"/>
      <c r="H32" s="647">
        <v>0</v>
      </c>
      <c r="I32" s="634">
        <v>62</v>
      </c>
      <c r="J32" s="634">
        <v>5489.9205048571566</v>
      </c>
      <c r="K32" s="647">
        <v>1</v>
      </c>
      <c r="L32" s="634">
        <v>62</v>
      </c>
      <c r="M32" s="635">
        <v>5489.9205048571566</v>
      </c>
    </row>
    <row r="33" spans="1:13" ht="14.4" customHeight="1" x14ac:dyDescent="0.3">
      <c r="A33" s="630" t="s">
        <v>555</v>
      </c>
      <c r="B33" s="631" t="s">
        <v>2082</v>
      </c>
      <c r="C33" s="631" t="s">
        <v>1766</v>
      </c>
      <c r="D33" s="631" t="s">
        <v>1767</v>
      </c>
      <c r="E33" s="631" t="s">
        <v>1768</v>
      </c>
      <c r="F33" s="634"/>
      <c r="G33" s="634"/>
      <c r="H33" s="647">
        <v>0</v>
      </c>
      <c r="I33" s="634">
        <v>10</v>
      </c>
      <c r="J33" s="634">
        <v>597.89869387606495</v>
      </c>
      <c r="K33" s="647">
        <v>1</v>
      </c>
      <c r="L33" s="634">
        <v>10</v>
      </c>
      <c r="M33" s="635">
        <v>597.89869387606495</v>
      </c>
    </row>
    <row r="34" spans="1:13" ht="14.4" customHeight="1" x14ac:dyDescent="0.3">
      <c r="A34" s="630" t="s">
        <v>555</v>
      </c>
      <c r="B34" s="631" t="s">
        <v>2084</v>
      </c>
      <c r="C34" s="631" t="s">
        <v>1763</v>
      </c>
      <c r="D34" s="631" t="s">
        <v>1764</v>
      </c>
      <c r="E34" s="631" t="s">
        <v>2085</v>
      </c>
      <c r="F34" s="634"/>
      <c r="G34" s="634"/>
      <c r="H34" s="647">
        <v>0</v>
      </c>
      <c r="I34" s="634">
        <v>102</v>
      </c>
      <c r="J34" s="634">
        <v>5551.8565683440138</v>
      </c>
      <c r="K34" s="647">
        <v>1</v>
      </c>
      <c r="L34" s="634">
        <v>102</v>
      </c>
      <c r="M34" s="635">
        <v>5551.8565683440138</v>
      </c>
    </row>
    <row r="35" spans="1:13" ht="14.4" customHeight="1" x14ac:dyDescent="0.3">
      <c r="A35" s="630" t="s">
        <v>555</v>
      </c>
      <c r="B35" s="631" t="s">
        <v>2086</v>
      </c>
      <c r="C35" s="631" t="s">
        <v>1740</v>
      </c>
      <c r="D35" s="631" t="s">
        <v>2087</v>
      </c>
      <c r="E35" s="631" t="s">
        <v>2085</v>
      </c>
      <c r="F35" s="634"/>
      <c r="G35" s="634"/>
      <c r="H35" s="647">
        <v>0</v>
      </c>
      <c r="I35" s="634">
        <v>10</v>
      </c>
      <c r="J35" s="634">
        <v>747.00198224303062</v>
      </c>
      <c r="K35" s="647">
        <v>1</v>
      </c>
      <c r="L35" s="634">
        <v>10</v>
      </c>
      <c r="M35" s="635">
        <v>747.00198224303062</v>
      </c>
    </row>
    <row r="36" spans="1:13" ht="14.4" customHeight="1" x14ac:dyDescent="0.3">
      <c r="A36" s="630" t="s">
        <v>555</v>
      </c>
      <c r="B36" s="631" t="s">
        <v>2088</v>
      </c>
      <c r="C36" s="631" t="s">
        <v>1673</v>
      </c>
      <c r="D36" s="631" t="s">
        <v>2089</v>
      </c>
      <c r="E36" s="631" t="s">
        <v>2090</v>
      </c>
      <c r="F36" s="634"/>
      <c r="G36" s="634"/>
      <c r="H36" s="647">
        <v>0</v>
      </c>
      <c r="I36" s="634">
        <v>84</v>
      </c>
      <c r="J36" s="634">
        <v>5390.9220642531245</v>
      </c>
      <c r="K36" s="647">
        <v>1</v>
      </c>
      <c r="L36" s="634">
        <v>84</v>
      </c>
      <c r="M36" s="635">
        <v>5390.9220642531245</v>
      </c>
    </row>
    <row r="37" spans="1:13" ht="14.4" customHeight="1" x14ac:dyDescent="0.3">
      <c r="A37" s="630" t="s">
        <v>555</v>
      </c>
      <c r="B37" s="631" t="s">
        <v>2088</v>
      </c>
      <c r="C37" s="631" t="s">
        <v>1677</v>
      </c>
      <c r="D37" s="631" t="s">
        <v>2091</v>
      </c>
      <c r="E37" s="631" t="s">
        <v>1304</v>
      </c>
      <c r="F37" s="634"/>
      <c r="G37" s="634"/>
      <c r="H37" s="647">
        <v>0</v>
      </c>
      <c r="I37" s="634">
        <v>10</v>
      </c>
      <c r="J37" s="634">
        <v>3238.5980086160598</v>
      </c>
      <c r="K37" s="647">
        <v>1</v>
      </c>
      <c r="L37" s="634">
        <v>10</v>
      </c>
      <c r="M37" s="635">
        <v>3238.5980086160598</v>
      </c>
    </row>
    <row r="38" spans="1:13" ht="14.4" customHeight="1" x14ac:dyDescent="0.3">
      <c r="A38" s="630" t="s">
        <v>555</v>
      </c>
      <c r="B38" s="631" t="s">
        <v>2092</v>
      </c>
      <c r="C38" s="631" t="s">
        <v>1797</v>
      </c>
      <c r="D38" s="631" t="s">
        <v>2093</v>
      </c>
      <c r="E38" s="631" t="s">
        <v>2094</v>
      </c>
      <c r="F38" s="634"/>
      <c r="G38" s="634"/>
      <c r="H38" s="647">
        <v>0</v>
      </c>
      <c r="I38" s="634">
        <v>733</v>
      </c>
      <c r="J38" s="634">
        <v>35780.746115408692</v>
      </c>
      <c r="K38" s="647">
        <v>1</v>
      </c>
      <c r="L38" s="634">
        <v>733</v>
      </c>
      <c r="M38" s="635">
        <v>35780.746115408692</v>
      </c>
    </row>
    <row r="39" spans="1:13" ht="14.4" customHeight="1" x14ac:dyDescent="0.3">
      <c r="A39" s="630" t="s">
        <v>555</v>
      </c>
      <c r="B39" s="631" t="s">
        <v>2095</v>
      </c>
      <c r="C39" s="631" t="s">
        <v>1800</v>
      </c>
      <c r="D39" s="631" t="s">
        <v>1801</v>
      </c>
      <c r="E39" s="631" t="s">
        <v>1802</v>
      </c>
      <c r="F39" s="634"/>
      <c r="G39" s="634"/>
      <c r="H39" s="647">
        <v>0</v>
      </c>
      <c r="I39" s="634">
        <v>86</v>
      </c>
      <c r="J39" s="634">
        <v>256003.52372925854</v>
      </c>
      <c r="K39" s="647">
        <v>1</v>
      </c>
      <c r="L39" s="634">
        <v>86</v>
      </c>
      <c r="M39" s="635">
        <v>256003.52372925854</v>
      </c>
    </row>
    <row r="40" spans="1:13" ht="14.4" customHeight="1" x14ac:dyDescent="0.3">
      <c r="A40" s="630" t="s">
        <v>555</v>
      </c>
      <c r="B40" s="631" t="s">
        <v>2096</v>
      </c>
      <c r="C40" s="631" t="s">
        <v>1804</v>
      </c>
      <c r="D40" s="631" t="s">
        <v>1805</v>
      </c>
      <c r="E40" s="631" t="s">
        <v>1806</v>
      </c>
      <c r="F40" s="634"/>
      <c r="G40" s="634"/>
      <c r="H40" s="647">
        <v>0</v>
      </c>
      <c r="I40" s="634">
        <v>27</v>
      </c>
      <c r="J40" s="634">
        <v>211704.60054582122</v>
      </c>
      <c r="K40" s="647">
        <v>1</v>
      </c>
      <c r="L40" s="634">
        <v>27</v>
      </c>
      <c r="M40" s="635">
        <v>211704.60054582122</v>
      </c>
    </row>
    <row r="41" spans="1:13" ht="14.4" customHeight="1" x14ac:dyDescent="0.3">
      <c r="A41" s="630" t="s">
        <v>555</v>
      </c>
      <c r="B41" s="631" t="s">
        <v>2097</v>
      </c>
      <c r="C41" s="631" t="s">
        <v>1536</v>
      </c>
      <c r="D41" s="631" t="s">
        <v>1537</v>
      </c>
      <c r="E41" s="631" t="s">
        <v>2098</v>
      </c>
      <c r="F41" s="634"/>
      <c r="G41" s="634"/>
      <c r="H41" s="647">
        <v>0</v>
      </c>
      <c r="I41" s="634">
        <v>1</v>
      </c>
      <c r="J41" s="634">
        <v>1062.7399999999998</v>
      </c>
      <c r="K41" s="647">
        <v>1</v>
      </c>
      <c r="L41" s="634">
        <v>1</v>
      </c>
      <c r="M41" s="635">
        <v>1062.7399999999998</v>
      </c>
    </row>
    <row r="42" spans="1:13" ht="14.4" customHeight="1" x14ac:dyDescent="0.3">
      <c r="A42" s="630" t="s">
        <v>555</v>
      </c>
      <c r="B42" s="631" t="s">
        <v>2099</v>
      </c>
      <c r="C42" s="631" t="s">
        <v>1532</v>
      </c>
      <c r="D42" s="631" t="s">
        <v>1533</v>
      </c>
      <c r="E42" s="631" t="s">
        <v>1168</v>
      </c>
      <c r="F42" s="634"/>
      <c r="G42" s="634"/>
      <c r="H42" s="647">
        <v>0</v>
      </c>
      <c r="I42" s="634">
        <v>2</v>
      </c>
      <c r="J42" s="634">
        <v>674.86</v>
      </c>
      <c r="K42" s="647">
        <v>1</v>
      </c>
      <c r="L42" s="634">
        <v>2</v>
      </c>
      <c r="M42" s="635">
        <v>674.86</v>
      </c>
    </row>
    <row r="43" spans="1:13" ht="14.4" customHeight="1" x14ac:dyDescent="0.3">
      <c r="A43" s="630" t="s">
        <v>555</v>
      </c>
      <c r="B43" s="631" t="s">
        <v>2100</v>
      </c>
      <c r="C43" s="631" t="s">
        <v>1520</v>
      </c>
      <c r="D43" s="631" t="s">
        <v>1521</v>
      </c>
      <c r="E43" s="631" t="s">
        <v>1522</v>
      </c>
      <c r="F43" s="634"/>
      <c r="G43" s="634"/>
      <c r="H43" s="647">
        <v>0</v>
      </c>
      <c r="I43" s="634">
        <v>180</v>
      </c>
      <c r="J43" s="634">
        <v>130118.27036804982</v>
      </c>
      <c r="K43" s="647">
        <v>1</v>
      </c>
      <c r="L43" s="634">
        <v>180</v>
      </c>
      <c r="M43" s="635">
        <v>130118.27036804982</v>
      </c>
    </row>
    <row r="44" spans="1:13" ht="14.4" customHeight="1" x14ac:dyDescent="0.3">
      <c r="A44" s="630" t="s">
        <v>555</v>
      </c>
      <c r="B44" s="631" t="s">
        <v>2100</v>
      </c>
      <c r="C44" s="631" t="s">
        <v>1512</v>
      </c>
      <c r="D44" s="631" t="s">
        <v>1513</v>
      </c>
      <c r="E44" s="631" t="s">
        <v>1514</v>
      </c>
      <c r="F44" s="634"/>
      <c r="G44" s="634"/>
      <c r="H44" s="647">
        <v>0</v>
      </c>
      <c r="I44" s="634">
        <v>40</v>
      </c>
      <c r="J44" s="634">
        <v>7691.2</v>
      </c>
      <c r="K44" s="647">
        <v>1</v>
      </c>
      <c r="L44" s="634">
        <v>40</v>
      </c>
      <c r="M44" s="635">
        <v>7691.2</v>
      </c>
    </row>
    <row r="45" spans="1:13" ht="14.4" customHeight="1" x14ac:dyDescent="0.3">
      <c r="A45" s="630" t="s">
        <v>555</v>
      </c>
      <c r="B45" s="631" t="s">
        <v>2101</v>
      </c>
      <c r="C45" s="631" t="s">
        <v>1486</v>
      </c>
      <c r="D45" s="631" t="s">
        <v>1487</v>
      </c>
      <c r="E45" s="631" t="s">
        <v>1488</v>
      </c>
      <c r="F45" s="634"/>
      <c r="G45" s="634"/>
      <c r="H45" s="647">
        <v>0</v>
      </c>
      <c r="I45" s="634">
        <v>54</v>
      </c>
      <c r="J45" s="634">
        <v>48065.398983624873</v>
      </c>
      <c r="K45" s="647">
        <v>1</v>
      </c>
      <c r="L45" s="634">
        <v>54</v>
      </c>
      <c r="M45" s="635">
        <v>48065.398983624873</v>
      </c>
    </row>
    <row r="46" spans="1:13" ht="14.4" customHeight="1" x14ac:dyDescent="0.3">
      <c r="A46" s="630" t="s">
        <v>555</v>
      </c>
      <c r="B46" s="631" t="s">
        <v>2102</v>
      </c>
      <c r="C46" s="631" t="s">
        <v>1524</v>
      </c>
      <c r="D46" s="631" t="s">
        <v>1525</v>
      </c>
      <c r="E46" s="631" t="s">
        <v>1526</v>
      </c>
      <c r="F46" s="634"/>
      <c r="G46" s="634"/>
      <c r="H46" s="647">
        <v>0</v>
      </c>
      <c r="I46" s="634">
        <v>119</v>
      </c>
      <c r="J46" s="634">
        <v>119541.30130397493</v>
      </c>
      <c r="K46" s="647">
        <v>1</v>
      </c>
      <c r="L46" s="634">
        <v>119</v>
      </c>
      <c r="M46" s="635">
        <v>119541.30130397493</v>
      </c>
    </row>
    <row r="47" spans="1:13" ht="14.4" customHeight="1" x14ac:dyDescent="0.3">
      <c r="A47" s="630" t="s">
        <v>555</v>
      </c>
      <c r="B47" s="631" t="s">
        <v>2103</v>
      </c>
      <c r="C47" s="631" t="s">
        <v>1505</v>
      </c>
      <c r="D47" s="631" t="s">
        <v>1506</v>
      </c>
      <c r="E47" s="631" t="s">
        <v>1507</v>
      </c>
      <c r="F47" s="634"/>
      <c r="G47" s="634"/>
      <c r="H47" s="647">
        <v>0</v>
      </c>
      <c r="I47" s="634">
        <v>2</v>
      </c>
      <c r="J47" s="634">
        <v>273.08</v>
      </c>
      <c r="K47" s="647">
        <v>1</v>
      </c>
      <c r="L47" s="634">
        <v>2</v>
      </c>
      <c r="M47" s="635">
        <v>273.08</v>
      </c>
    </row>
    <row r="48" spans="1:13" ht="14.4" customHeight="1" x14ac:dyDescent="0.3">
      <c r="A48" s="630" t="s">
        <v>555</v>
      </c>
      <c r="B48" s="631" t="s">
        <v>2104</v>
      </c>
      <c r="C48" s="631" t="s">
        <v>618</v>
      </c>
      <c r="D48" s="631" t="s">
        <v>619</v>
      </c>
      <c r="E48" s="631" t="s">
        <v>2105</v>
      </c>
      <c r="F48" s="634">
        <v>1</v>
      </c>
      <c r="G48" s="634">
        <v>997.44</v>
      </c>
      <c r="H48" s="647">
        <v>1</v>
      </c>
      <c r="I48" s="634"/>
      <c r="J48" s="634"/>
      <c r="K48" s="647">
        <v>0</v>
      </c>
      <c r="L48" s="634">
        <v>1</v>
      </c>
      <c r="M48" s="635">
        <v>997.44</v>
      </c>
    </row>
    <row r="49" spans="1:13" ht="14.4" customHeight="1" x14ac:dyDescent="0.3">
      <c r="A49" s="630" t="s">
        <v>555</v>
      </c>
      <c r="B49" s="631" t="s">
        <v>2104</v>
      </c>
      <c r="C49" s="631" t="s">
        <v>601</v>
      </c>
      <c r="D49" s="631" t="s">
        <v>602</v>
      </c>
      <c r="E49" s="631" t="s">
        <v>2106</v>
      </c>
      <c r="F49" s="634">
        <v>8</v>
      </c>
      <c r="G49" s="634">
        <v>31675.519999999997</v>
      </c>
      <c r="H49" s="647">
        <v>1</v>
      </c>
      <c r="I49" s="634"/>
      <c r="J49" s="634"/>
      <c r="K49" s="647">
        <v>0</v>
      </c>
      <c r="L49" s="634">
        <v>8</v>
      </c>
      <c r="M49" s="635">
        <v>31675.519999999997</v>
      </c>
    </row>
    <row r="50" spans="1:13" ht="14.4" customHeight="1" x14ac:dyDescent="0.3">
      <c r="A50" s="630" t="s">
        <v>555</v>
      </c>
      <c r="B50" s="631" t="s">
        <v>2107</v>
      </c>
      <c r="C50" s="631" t="s">
        <v>1501</v>
      </c>
      <c r="D50" s="631" t="s">
        <v>2108</v>
      </c>
      <c r="E50" s="631" t="s">
        <v>2109</v>
      </c>
      <c r="F50" s="634"/>
      <c r="G50" s="634"/>
      <c r="H50" s="647">
        <v>0</v>
      </c>
      <c r="I50" s="634">
        <v>1</v>
      </c>
      <c r="J50" s="634">
        <v>62.009999999999977</v>
      </c>
      <c r="K50" s="647">
        <v>1</v>
      </c>
      <c r="L50" s="634">
        <v>1</v>
      </c>
      <c r="M50" s="635">
        <v>62.009999999999977</v>
      </c>
    </row>
    <row r="51" spans="1:13" ht="14.4" customHeight="1" x14ac:dyDescent="0.3">
      <c r="A51" s="630" t="s">
        <v>555</v>
      </c>
      <c r="B51" s="631" t="s">
        <v>2110</v>
      </c>
      <c r="C51" s="631" t="s">
        <v>1494</v>
      </c>
      <c r="D51" s="631" t="s">
        <v>2111</v>
      </c>
      <c r="E51" s="631" t="s">
        <v>2112</v>
      </c>
      <c r="F51" s="634"/>
      <c r="G51" s="634"/>
      <c r="H51" s="647">
        <v>0</v>
      </c>
      <c r="I51" s="634">
        <v>3</v>
      </c>
      <c r="J51" s="634">
        <v>419.00249999999994</v>
      </c>
      <c r="K51" s="647">
        <v>1</v>
      </c>
      <c r="L51" s="634">
        <v>3</v>
      </c>
      <c r="M51" s="635">
        <v>419.00249999999994</v>
      </c>
    </row>
    <row r="52" spans="1:13" ht="14.4" customHeight="1" x14ac:dyDescent="0.3">
      <c r="A52" s="630" t="s">
        <v>555</v>
      </c>
      <c r="B52" s="631" t="s">
        <v>2110</v>
      </c>
      <c r="C52" s="631" t="s">
        <v>1509</v>
      </c>
      <c r="D52" s="631" t="s">
        <v>2111</v>
      </c>
      <c r="E52" s="631" t="s">
        <v>2113</v>
      </c>
      <c r="F52" s="634"/>
      <c r="G52" s="634"/>
      <c r="H52" s="647">
        <v>0</v>
      </c>
      <c r="I52" s="634">
        <v>2</v>
      </c>
      <c r="J52" s="634">
        <v>355.94</v>
      </c>
      <c r="K52" s="647">
        <v>1</v>
      </c>
      <c r="L52" s="634">
        <v>2</v>
      </c>
      <c r="M52" s="635">
        <v>355.94</v>
      </c>
    </row>
    <row r="53" spans="1:13" ht="14.4" customHeight="1" x14ac:dyDescent="0.3">
      <c r="A53" s="630" t="s">
        <v>555</v>
      </c>
      <c r="B53" s="631" t="s">
        <v>2110</v>
      </c>
      <c r="C53" s="631" t="s">
        <v>1528</v>
      </c>
      <c r="D53" s="631" t="s">
        <v>2114</v>
      </c>
      <c r="E53" s="631" t="s">
        <v>2115</v>
      </c>
      <c r="F53" s="634"/>
      <c r="G53" s="634"/>
      <c r="H53" s="647">
        <v>0</v>
      </c>
      <c r="I53" s="634">
        <v>5</v>
      </c>
      <c r="J53" s="634">
        <v>5200.8020919180726</v>
      </c>
      <c r="K53" s="647">
        <v>1</v>
      </c>
      <c r="L53" s="634">
        <v>5</v>
      </c>
      <c r="M53" s="635">
        <v>5200.8020919180726</v>
      </c>
    </row>
    <row r="54" spans="1:13" ht="14.4" customHeight="1" x14ac:dyDescent="0.3">
      <c r="A54" s="630" t="s">
        <v>555</v>
      </c>
      <c r="B54" s="631" t="s">
        <v>2110</v>
      </c>
      <c r="C54" s="631" t="s">
        <v>1490</v>
      </c>
      <c r="D54" s="631" t="s">
        <v>1491</v>
      </c>
      <c r="E54" s="631" t="s">
        <v>1492</v>
      </c>
      <c r="F54" s="634"/>
      <c r="G54" s="634"/>
      <c r="H54" s="647">
        <v>0</v>
      </c>
      <c r="I54" s="634">
        <v>2</v>
      </c>
      <c r="J54" s="634">
        <v>294.85979916949077</v>
      </c>
      <c r="K54" s="647">
        <v>1</v>
      </c>
      <c r="L54" s="634">
        <v>2</v>
      </c>
      <c r="M54" s="635">
        <v>294.85979916949077</v>
      </c>
    </row>
    <row r="55" spans="1:13" ht="14.4" customHeight="1" x14ac:dyDescent="0.3">
      <c r="A55" s="630" t="s">
        <v>555</v>
      </c>
      <c r="B55" s="631" t="s">
        <v>2116</v>
      </c>
      <c r="C55" s="631" t="s">
        <v>621</v>
      </c>
      <c r="D55" s="631" t="s">
        <v>622</v>
      </c>
      <c r="E55" s="631" t="s">
        <v>623</v>
      </c>
      <c r="F55" s="634">
        <v>3</v>
      </c>
      <c r="G55" s="634">
        <v>4117.7242071633527</v>
      </c>
      <c r="H55" s="647">
        <v>1</v>
      </c>
      <c r="I55" s="634"/>
      <c r="J55" s="634"/>
      <c r="K55" s="647">
        <v>0</v>
      </c>
      <c r="L55" s="634">
        <v>3</v>
      </c>
      <c r="M55" s="635">
        <v>4117.7242071633527</v>
      </c>
    </row>
    <row r="56" spans="1:13" ht="14.4" customHeight="1" x14ac:dyDescent="0.3">
      <c r="A56" s="630" t="s">
        <v>555</v>
      </c>
      <c r="B56" s="631" t="s">
        <v>2117</v>
      </c>
      <c r="C56" s="631" t="s">
        <v>608</v>
      </c>
      <c r="D56" s="631" t="s">
        <v>609</v>
      </c>
      <c r="E56" s="631" t="s">
        <v>610</v>
      </c>
      <c r="F56" s="634">
        <v>2</v>
      </c>
      <c r="G56" s="634">
        <v>297.45896900305002</v>
      </c>
      <c r="H56" s="647">
        <v>1</v>
      </c>
      <c r="I56" s="634"/>
      <c r="J56" s="634"/>
      <c r="K56" s="647">
        <v>0</v>
      </c>
      <c r="L56" s="634">
        <v>2</v>
      </c>
      <c r="M56" s="635">
        <v>297.45896900305002</v>
      </c>
    </row>
    <row r="57" spans="1:13" ht="14.4" customHeight="1" x14ac:dyDescent="0.3">
      <c r="A57" s="630" t="s">
        <v>555</v>
      </c>
      <c r="B57" s="631" t="s">
        <v>2118</v>
      </c>
      <c r="C57" s="631" t="s">
        <v>1464</v>
      </c>
      <c r="D57" s="631" t="s">
        <v>1465</v>
      </c>
      <c r="E57" s="631" t="s">
        <v>1466</v>
      </c>
      <c r="F57" s="634"/>
      <c r="G57" s="634"/>
      <c r="H57" s="647">
        <v>0</v>
      </c>
      <c r="I57" s="634">
        <v>10</v>
      </c>
      <c r="J57" s="634">
        <v>854.79999999999973</v>
      </c>
      <c r="K57" s="647">
        <v>1</v>
      </c>
      <c r="L57" s="634">
        <v>10</v>
      </c>
      <c r="M57" s="635">
        <v>854.79999999999973</v>
      </c>
    </row>
    <row r="58" spans="1:13" ht="14.4" customHeight="1" x14ac:dyDescent="0.3">
      <c r="A58" s="630" t="s">
        <v>555</v>
      </c>
      <c r="B58" s="631" t="s">
        <v>2119</v>
      </c>
      <c r="C58" s="631" t="s">
        <v>1440</v>
      </c>
      <c r="D58" s="631" t="s">
        <v>1441</v>
      </c>
      <c r="E58" s="631" t="s">
        <v>2120</v>
      </c>
      <c r="F58" s="634"/>
      <c r="G58" s="634"/>
      <c r="H58" s="647">
        <v>0</v>
      </c>
      <c r="I58" s="634">
        <v>1</v>
      </c>
      <c r="J58" s="634">
        <v>207.5200509719823</v>
      </c>
      <c r="K58" s="647">
        <v>1</v>
      </c>
      <c r="L58" s="634">
        <v>1</v>
      </c>
      <c r="M58" s="635">
        <v>207.5200509719823</v>
      </c>
    </row>
    <row r="59" spans="1:13" ht="14.4" customHeight="1" x14ac:dyDescent="0.3">
      <c r="A59" s="630" t="s">
        <v>555</v>
      </c>
      <c r="B59" s="631" t="s">
        <v>2121</v>
      </c>
      <c r="C59" s="631" t="s">
        <v>1420</v>
      </c>
      <c r="D59" s="631" t="s">
        <v>1421</v>
      </c>
      <c r="E59" s="631" t="s">
        <v>2122</v>
      </c>
      <c r="F59" s="634"/>
      <c r="G59" s="634"/>
      <c r="H59" s="647">
        <v>0</v>
      </c>
      <c r="I59" s="634">
        <v>1</v>
      </c>
      <c r="J59" s="634">
        <v>229.78932034680446</v>
      </c>
      <c r="K59" s="647">
        <v>1</v>
      </c>
      <c r="L59" s="634">
        <v>1</v>
      </c>
      <c r="M59" s="635">
        <v>229.78932034680446</v>
      </c>
    </row>
    <row r="60" spans="1:13" ht="14.4" customHeight="1" x14ac:dyDescent="0.3">
      <c r="A60" s="630" t="s">
        <v>555</v>
      </c>
      <c r="B60" s="631" t="s">
        <v>2123</v>
      </c>
      <c r="C60" s="631" t="s">
        <v>1550</v>
      </c>
      <c r="D60" s="631" t="s">
        <v>1551</v>
      </c>
      <c r="E60" s="631" t="s">
        <v>606</v>
      </c>
      <c r="F60" s="634">
        <v>30</v>
      </c>
      <c r="G60" s="634">
        <v>13283.4</v>
      </c>
      <c r="H60" s="647">
        <v>1</v>
      </c>
      <c r="I60" s="634"/>
      <c r="J60" s="634"/>
      <c r="K60" s="647">
        <v>0</v>
      </c>
      <c r="L60" s="634">
        <v>30</v>
      </c>
      <c r="M60" s="635">
        <v>13283.4</v>
      </c>
    </row>
    <row r="61" spans="1:13" ht="14.4" customHeight="1" x14ac:dyDescent="0.3">
      <c r="A61" s="630" t="s">
        <v>555</v>
      </c>
      <c r="B61" s="631" t="s">
        <v>2123</v>
      </c>
      <c r="C61" s="631" t="s">
        <v>1608</v>
      </c>
      <c r="D61" s="631" t="s">
        <v>2124</v>
      </c>
      <c r="E61" s="631" t="s">
        <v>606</v>
      </c>
      <c r="F61" s="634"/>
      <c r="G61" s="634"/>
      <c r="H61" s="647">
        <v>0</v>
      </c>
      <c r="I61" s="634">
        <v>34</v>
      </c>
      <c r="J61" s="634">
        <v>7351.4718118564761</v>
      </c>
      <c r="K61" s="647">
        <v>1</v>
      </c>
      <c r="L61" s="634">
        <v>34</v>
      </c>
      <c r="M61" s="635">
        <v>7351.4718118564761</v>
      </c>
    </row>
    <row r="62" spans="1:13" ht="14.4" customHeight="1" x14ac:dyDescent="0.3">
      <c r="A62" s="630" t="s">
        <v>555</v>
      </c>
      <c r="B62" s="631" t="s">
        <v>2123</v>
      </c>
      <c r="C62" s="631" t="s">
        <v>1612</v>
      </c>
      <c r="D62" s="631" t="s">
        <v>1613</v>
      </c>
      <c r="E62" s="631" t="s">
        <v>1614</v>
      </c>
      <c r="F62" s="634"/>
      <c r="G62" s="634"/>
      <c r="H62" s="647">
        <v>0</v>
      </c>
      <c r="I62" s="634">
        <v>1</v>
      </c>
      <c r="J62" s="634">
        <v>198.25998761276304</v>
      </c>
      <c r="K62" s="647">
        <v>1</v>
      </c>
      <c r="L62" s="634">
        <v>1</v>
      </c>
      <c r="M62" s="635">
        <v>198.25998761276304</v>
      </c>
    </row>
    <row r="63" spans="1:13" ht="14.4" customHeight="1" x14ac:dyDescent="0.3">
      <c r="A63" s="630" t="s">
        <v>555</v>
      </c>
      <c r="B63" s="631" t="s">
        <v>2123</v>
      </c>
      <c r="C63" s="631" t="s">
        <v>1548</v>
      </c>
      <c r="D63" s="631" t="s">
        <v>1549</v>
      </c>
      <c r="E63" s="631" t="s">
        <v>606</v>
      </c>
      <c r="F63" s="634">
        <v>7</v>
      </c>
      <c r="G63" s="634">
        <v>7934.6399999999994</v>
      </c>
      <c r="H63" s="647">
        <v>1</v>
      </c>
      <c r="I63" s="634"/>
      <c r="J63" s="634"/>
      <c r="K63" s="647">
        <v>0</v>
      </c>
      <c r="L63" s="634">
        <v>7</v>
      </c>
      <c r="M63" s="635">
        <v>7934.6399999999994</v>
      </c>
    </row>
    <row r="64" spans="1:13" ht="14.4" customHeight="1" x14ac:dyDescent="0.3">
      <c r="A64" s="630" t="s">
        <v>555</v>
      </c>
      <c r="B64" s="631" t="s">
        <v>2123</v>
      </c>
      <c r="C64" s="631" t="s">
        <v>1620</v>
      </c>
      <c r="D64" s="631" t="s">
        <v>2125</v>
      </c>
      <c r="E64" s="631" t="s">
        <v>1602</v>
      </c>
      <c r="F64" s="634"/>
      <c r="G64" s="634"/>
      <c r="H64" s="647">
        <v>0</v>
      </c>
      <c r="I64" s="634">
        <v>78</v>
      </c>
      <c r="J64" s="634">
        <v>16964.982378294957</v>
      </c>
      <c r="K64" s="647">
        <v>1</v>
      </c>
      <c r="L64" s="634">
        <v>78</v>
      </c>
      <c r="M64" s="635">
        <v>16964.982378294957</v>
      </c>
    </row>
    <row r="65" spans="1:13" ht="14.4" customHeight="1" x14ac:dyDescent="0.3">
      <c r="A65" s="630" t="s">
        <v>555</v>
      </c>
      <c r="B65" s="631" t="s">
        <v>2123</v>
      </c>
      <c r="C65" s="631" t="s">
        <v>1624</v>
      </c>
      <c r="D65" s="631" t="s">
        <v>1625</v>
      </c>
      <c r="E65" s="631" t="s">
        <v>1602</v>
      </c>
      <c r="F65" s="634"/>
      <c r="G65" s="634"/>
      <c r="H65" s="647">
        <v>0</v>
      </c>
      <c r="I65" s="634">
        <v>96</v>
      </c>
      <c r="J65" s="634">
        <v>37485.13978170215</v>
      </c>
      <c r="K65" s="647">
        <v>1</v>
      </c>
      <c r="L65" s="634">
        <v>96</v>
      </c>
      <c r="M65" s="635">
        <v>37485.13978170215</v>
      </c>
    </row>
    <row r="66" spans="1:13" ht="14.4" customHeight="1" x14ac:dyDescent="0.3">
      <c r="A66" s="630" t="s">
        <v>555</v>
      </c>
      <c r="B66" s="631" t="s">
        <v>2123</v>
      </c>
      <c r="C66" s="631" t="s">
        <v>1615</v>
      </c>
      <c r="D66" s="631" t="s">
        <v>1616</v>
      </c>
      <c r="E66" s="631" t="s">
        <v>1602</v>
      </c>
      <c r="F66" s="634"/>
      <c r="G66" s="634"/>
      <c r="H66" s="647">
        <v>0</v>
      </c>
      <c r="I66" s="634">
        <v>32</v>
      </c>
      <c r="J66" s="634">
        <v>13599.359148910458</v>
      </c>
      <c r="K66" s="647">
        <v>1</v>
      </c>
      <c r="L66" s="634">
        <v>32</v>
      </c>
      <c r="M66" s="635">
        <v>13599.359148910458</v>
      </c>
    </row>
    <row r="67" spans="1:13" ht="14.4" customHeight="1" x14ac:dyDescent="0.3">
      <c r="A67" s="630" t="s">
        <v>555</v>
      </c>
      <c r="B67" s="631" t="s">
        <v>2123</v>
      </c>
      <c r="C67" s="631" t="s">
        <v>1543</v>
      </c>
      <c r="D67" s="631" t="s">
        <v>1544</v>
      </c>
      <c r="E67" s="631" t="s">
        <v>606</v>
      </c>
      <c r="F67" s="634">
        <v>60</v>
      </c>
      <c r="G67" s="634">
        <v>6755.4000000000015</v>
      </c>
      <c r="H67" s="647">
        <v>1</v>
      </c>
      <c r="I67" s="634"/>
      <c r="J67" s="634"/>
      <c r="K67" s="647">
        <v>0</v>
      </c>
      <c r="L67" s="634">
        <v>60</v>
      </c>
      <c r="M67" s="635">
        <v>6755.4000000000015</v>
      </c>
    </row>
    <row r="68" spans="1:13" ht="14.4" customHeight="1" x14ac:dyDescent="0.3">
      <c r="A68" s="630" t="s">
        <v>555</v>
      </c>
      <c r="B68" s="631" t="s">
        <v>2123</v>
      </c>
      <c r="C68" s="631" t="s">
        <v>1617</v>
      </c>
      <c r="D68" s="631" t="s">
        <v>1618</v>
      </c>
      <c r="E68" s="631" t="s">
        <v>1602</v>
      </c>
      <c r="F68" s="634"/>
      <c r="G68" s="634"/>
      <c r="H68" s="647">
        <v>0</v>
      </c>
      <c r="I68" s="634">
        <v>101</v>
      </c>
      <c r="J68" s="634">
        <v>18520.363000095767</v>
      </c>
      <c r="K68" s="647">
        <v>1</v>
      </c>
      <c r="L68" s="634">
        <v>101</v>
      </c>
      <c r="M68" s="635">
        <v>18520.363000095767</v>
      </c>
    </row>
    <row r="69" spans="1:13" ht="14.4" customHeight="1" x14ac:dyDescent="0.3">
      <c r="A69" s="630" t="s">
        <v>555</v>
      </c>
      <c r="B69" s="631" t="s">
        <v>2123</v>
      </c>
      <c r="C69" s="631" t="s">
        <v>1604</v>
      </c>
      <c r="D69" s="631" t="s">
        <v>1605</v>
      </c>
      <c r="E69" s="631" t="s">
        <v>1602</v>
      </c>
      <c r="F69" s="634"/>
      <c r="G69" s="634"/>
      <c r="H69" s="647">
        <v>0</v>
      </c>
      <c r="I69" s="634">
        <v>62</v>
      </c>
      <c r="J69" s="634">
        <v>12833.986037893912</v>
      </c>
      <c r="K69" s="647">
        <v>1</v>
      </c>
      <c r="L69" s="634">
        <v>62</v>
      </c>
      <c r="M69" s="635">
        <v>12833.986037893912</v>
      </c>
    </row>
    <row r="70" spans="1:13" ht="14.4" customHeight="1" x14ac:dyDescent="0.3">
      <c r="A70" s="630" t="s">
        <v>555</v>
      </c>
      <c r="B70" s="631" t="s">
        <v>2123</v>
      </c>
      <c r="C70" s="631" t="s">
        <v>1600</v>
      </c>
      <c r="D70" s="631" t="s">
        <v>1601</v>
      </c>
      <c r="E70" s="631" t="s">
        <v>1602</v>
      </c>
      <c r="F70" s="634"/>
      <c r="G70" s="634"/>
      <c r="H70" s="647">
        <v>0</v>
      </c>
      <c r="I70" s="634">
        <v>50</v>
      </c>
      <c r="J70" s="634">
        <v>12648.492872736795</v>
      </c>
      <c r="K70" s="647">
        <v>1</v>
      </c>
      <c r="L70" s="634">
        <v>50</v>
      </c>
      <c r="M70" s="635">
        <v>12648.492872736795</v>
      </c>
    </row>
    <row r="71" spans="1:13" ht="14.4" customHeight="1" x14ac:dyDescent="0.3">
      <c r="A71" s="630" t="s">
        <v>555</v>
      </c>
      <c r="B71" s="631" t="s">
        <v>2123</v>
      </c>
      <c r="C71" s="631" t="s">
        <v>604</v>
      </c>
      <c r="D71" s="631" t="s">
        <v>605</v>
      </c>
      <c r="E71" s="631" t="s">
        <v>606</v>
      </c>
      <c r="F71" s="634">
        <v>60</v>
      </c>
      <c r="G71" s="634">
        <v>13301.277484882521</v>
      </c>
      <c r="H71" s="647">
        <v>1</v>
      </c>
      <c r="I71" s="634"/>
      <c r="J71" s="634"/>
      <c r="K71" s="647">
        <v>0</v>
      </c>
      <c r="L71" s="634">
        <v>60</v>
      </c>
      <c r="M71" s="635">
        <v>13301.277484882521</v>
      </c>
    </row>
    <row r="72" spans="1:13" ht="14.4" customHeight="1" x14ac:dyDescent="0.3">
      <c r="A72" s="630" t="s">
        <v>555</v>
      </c>
      <c r="B72" s="631" t="s">
        <v>2123</v>
      </c>
      <c r="C72" s="631" t="s">
        <v>1545</v>
      </c>
      <c r="D72" s="631" t="s">
        <v>1546</v>
      </c>
      <c r="E72" s="631" t="s">
        <v>606</v>
      </c>
      <c r="F72" s="634">
        <v>30</v>
      </c>
      <c r="G72" s="634">
        <v>4725.6000000000004</v>
      </c>
      <c r="H72" s="647">
        <v>1</v>
      </c>
      <c r="I72" s="634"/>
      <c r="J72" s="634"/>
      <c r="K72" s="647">
        <v>0</v>
      </c>
      <c r="L72" s="634">
        <v>30</v>
      </c>
      <c r="M72" s="635">
        <v>4725.6000000000004</v>
      </c>
    </row>
    <row r="73" spans="1:13" ht="14.4" customHeight="1" x14ac:dyDescent="0.3">
      <c r="A73" s="630" t="s">
        <v>555</v>
      </c>
      <c r="B73" s="631" t="s">
        <v>2123</v>
      </c>
      <c r="C73" s="631" t="s">
        <v>1552</v>
      </c>
      <c r="D73" s="631" t="s">
        <v>1553</v>
      </c>
      <c r="E73" s="631" t="s">
        <v>606</v>
      </c>
      <c r="F73" s="634">
        <v>30</v>
      </c>
      <c r="G73" s="634">
        <v>3869.3999999999996</v>
      </c>
      <c r="H73" s="647">
        <v>1</v>
      </c>
      <c r="I73" s="634"/>
      <c r="J73" s="634"/>
      <c r="K73" s="647">
        <v>0</v>
      </c>
      <c r="L73" s="634">
        <v>30</v>
      </c>
      <c r="M73" s="635">
        <v>3869.3999999999996</v>
      </c>
    </row>
    <row r="74" spans="1:13" ht="14.4" customHeight="1" x14ac:dyDescent="0.3">
      <c r="A74" s="630" t="s">
        <v>558</v>
      </c>
      <c r="B74" s="631" t="s">
        <v>2053</v>
      </c>
      <c r="C74" s="631" t="s">
        <v>1468</v>
      </c>
      <c r="D74" s="631" t="s">
        <v>1449</v>
      </c>
      <c r="E74" s="631" t="s">
        <v>1469</v>
      </c>
      <c r="F74" s="634"/>
      <c r="G74" s="634"/>
      <c r="H74" s="647">
        <v>0</v>
      </c>
      <c r="I74" s="634">
        <v>2</v>
      </c>
      <c r="J74" s="634">
        <v>270.42000000000007</v>
      </c>
      <c r="K74" s="647">
        <v>1</v>
      </c>
      <c r="L74" s="634">
        <v>2</v>
      </c>
      <c r="M74" s="635">
        <v>270.42000000000007</v>
      </c>
    </row>
    <row r="75" spans="1:13" ht="14.4" customHeight="1" x14ac:dyDescent="0.3">
      <c r="A75" s="630" t="s">
        <v>558</v>
      </c>
      <c r="B75" s="631" t="s">
        <v>2099</v>
      </c>
      <c r="C75" s="631" t="s">
        <v>1532</v>
      </c>
      <c r="D75" s="631" t="s">
        <v>1533</v>
      </c>
      <c r="E75" s="631" t="s">
        <v>1168</v>
      </c>
      <c r="F75" s="634"/>
      <c r="G75" s="634"/>
      <c r="H75" s="647">
        <v>0</v>
      </c>
      <c r="I75" s="634">
        <v>4</v>
      </c>
      <c r="J75" s="634">
        <v>1349.7234959486545</v>
      </c>
      <c r="K75" s="647">
        <v>1</v>
      </c>
      <c r="L75" s="634">
        <v>4</v>
      </c>
      <c r="M75" s="635">
        <v>1349.7234959486545</v>
      </c>
    </row>
    <row r="76" spans="1:13" ht="14.4" customHeight="1" x14ac:dyDescent="0.3">
      <c r="A76" s="630" t="s">
        <v>558</v>
      </c>
      <c r="B76" s="631" t="s">
        <v>2126</v>
      </c>
      <c r="C76" s="631" t="s">
        <v>1937</v>
      </c>
      <c r="D76" s="631" t="s">
        <v>1938</v>
      </c>
      <c r="E76" s="631" t="s">
        <v>1939</v>
      </c>
      <c r="F76" s="634"/>
      <c r="G76" s="634"/>
      <c r="H76" s="647">
        <v>0</v>
      </c>
      <c r="I76" s="634">
        <v>1</v>
      </c>
      <c r="J76" s="634">
        <v>134.27000000000001</v>
      </c>
      <c r="K76" s="647">
        <v>1</v>
      </c>
      <c r="L76" s="634">
        <v>1</v>
      </c>
      <c r="M76" s="635">
        <v>134.27000000000001</v>
      </c>
    </row>
    <row r="77" spans="1:13" ht="14.4" customHeight="1" x14ac:dyDescent="0.3">
      <c r="A77" s="630" t="s">
        <v>558</v>
      </c>
      <c r="B77" s="631" t="s">
        <v>2126</v>
      </c>
      <c r="C77" s="631" t="s">
        <v>1941</v>
      </c>
      <c r="D77" s="631" t="s">
        <v>1938</v>
      </c>
      <c r="E77" s="631" t="s">
        <v>1942</v>
      </c>
      <c r="F77" s="634"/>
      <c r="G77" s="634"/>
      <c r="H77" s="647">
        <v>0</v>
      </c>
      <c r="I77" s="634">
        <v>3</v>
      </c>
      <c r="J77" s="634">
        <v>1685.7281607183611</v>
      </c>
      <c r="K77" s="647">
        <v>1</v>
      </c>
      <c r="L77" s="634">
        <v>3</v>
      </c>
      <c r="M77" s="635">
        <v>1685.7281607183611</v>
      </c>
    </row>
    <row r="78" spans="1:13" ht="14.4" customHeight="1" x14ac:dyDescent="0.3">
      <c r="A78" s="630" t="s">
        <v>558</v>
      </c>
      <c r="B78" s="631" t="s">
        <v>2127</v>
      </c>
      <c r="C78" s="631" t="s">
        <v>1943</v>
      </c>
      <c r="D78" s="631" t="s">
        <v>1944</v>
      </c>
      <c r="E78" s="631" t="s">
        <v>1945</v>
      </c>
      <c r="F78" s="634"/>
      <c r="G78" s="634"/>
      <c r="H78" s="647">
        <v>0</v>
      </c>
      <c r="I78" s="634">
        <v>144</v>
      </c>
      <c r="J78" s="634">
        <v>404167.5</v>
      </c>
      <c r="K78" s="647">
        <v>1</v>
      </c>
      <c r="L78" s="634">
        <v>144</v>
      </c>
      <c r="M78" s="635">
        <v>404167.5</v>
      </c>
    </row>
    <row r="79" spans="1:13" ht="14.4" customHeight="1" x14ac:dyDescent="0.3">
      <c r="A79" s="630" t="s">
        <v>558</v>
      </c>
      <c r="B79" s="631" t="s">
        <v>2100</v>
      </c>
      <c r="C79" s="631" t="s">
        <v>1933</v>
      </c>
      <c r="D79" s="631" t="s">
        <v>1513</v>
      </c>
      <c r="E79" s="631" t="s">
        <v>1935</v>
      </c>
      <c r="F79" s="634"/>
      <c r="G79" s="634"/>
      <c r="H79" s="647">
        <v>0</v>
      </c>
      <c r="I79" s="634">
        <v>200</v>
      </c>
      <c r="J79" s="634">
        <v>16776.031548103852</v>
      </c>
      <c r="K79" s="647">
        <v>1</v>
      </c>
      <c r="L79" s="634">
        <v>200</v>
      </c>
      <c r="M79" s="635">
        <v>16776.031548103852</v>
      </c>
    </row>
    <row r="80" spans="1:13" ht="14.4" customHeight="1" x14ac:dyDescent="0.3">
      <c r="A80" s="630" t="s">
        <v>558</v>
      </c>
      <c r="B80" s="631" t="s">
        <v>2100</v>
      </c>
      <c r="C80" s="631" t="s">
        <v>1512</v>
      </c>
      <c r="D80" s="631" t="s">
        <v>1513</v>
      </c>
      <c r="E80" s="631" t="s">
        <v>1514</v>
      </c>
      <c r="F80" s="634"/>
      <c r="G80" s="634"/>
      <c r="H80" s="647">
        <v>0</v>
      </c>
      <c r="I80" s="634">
        <v>960</v>
      </c>
      <c r="J80" s="634">
        <v>184588.82430912735</v>
      </c>
      <c r="K80" s="647">
        <v>1</v>
      </c>
      <c r="L80" s="634">
        <v>960</v>
      </c>
      <c r="M80" s="635">
        <v>184588.82430912735</v>
      </c>
    </row>
    <row r="81" spans="1:13" ht="14.4" customHeight="1" x14ac:dyDescent="0.3">
      <c r="A81" s="630" t="s">
        <v>558</v>
      </c>
      <c r="B81" s="631" t="s">
        <v>2101</v>
      </c>
      <c r="C81" s="631" t="s">
        <v>1827</v>
      </c>
      <c r="D81" s="631" t="s">
        <v>2128</v>
      </c>
      <c r="E81" s="631" t="s">
        <v>1829</v>
      </c>
      <c r="F81" s="634">
        <v>1</v>
      </c>
      <c r="G81" s="634">
        <v>227.87358681567446</v>
      </c>
      <c r="H81" s="647">
        <v>1</v>
      </c>
      <c r="I81" s="634"/>
      <c r="J81" s="634"/>
      <c r="K81" s="647">
        <v>0</v>
      </c>
      <c r="L81" s="634">
        <v>1</v>
      </c>
      <c r="M81" s="635">
        <v>227.87358681567446</v>
      </c>
    </row>
    <row r="82" spans="1:13" ht="14.4" customHeight="1" x14ac:dyDescent="0.3">
      <c r="A82" s="630" t="s">
        <v>558</v>
      </c>
      <c r="B82" s="631" t="s">
        <v>2101</v>
      </c>
      <c r="C82" s="631" t="s">
        <v>1823</v>
      </c>
      <c r="D82" s="631" t="s">
        <v>1824</v>
      </c>
      <c r="E82" s="631" t="s">
        <v>1825</v>
      </c>
      <c r="F82" s="634">
        <v>1</v>
      </c>
      <c r="G82" s="634">
        <v>900.00070203790301</v>
      </c>
      <c r="H82" s="647">
        <v>1</v>
      </c>
      <c r="I82" s="634"/>
      <c r="J82" s="634"/>
      <c r="K82" s="647">
        <v>0</v>
      </c>
      <c r="L82" s="634">
        <v>1</v>
      </c>
      <c r="M82" s="635">
        <v>900.00070203790301</v>
      </c>
    </row>
    <row r="83" spans="1:13" ht="14.4" customHeight="1" x14ac:dyDescent="0.3">
      <c r="A83" s="630" t="s">
        <v>558</v>
      </c>
      <c r="B83" s="631" t="s">
        <v>2101</v>
      </c>
      <c r="C83" s="631" t="s">
        <v>1930</v>
      </c>
      <c r="D83" s="631" t="s">
        <v>1487</v>
      </c>
      <c r="E83" s="631" t="s">
        <v>1931</v>
      </c>
      <c r="F83" s="634"/>
      <c r="G83" s="634"/>
      <c r="H83" s="647">
        <v>0</v>
      </c>
      <c r="I83" s="634">
        <v>72</v>
      </c>
      <c r="J83" s="634">
        <v>19177.199432169735</v>
      </c>
      <c r="K83" s="647">
        <v>1</v>
      </c>
      <c r="L83" s="634">
        <v>72</v>
      </c>
      <c r="M83" s="635">
        <v>19177.199432169735</v>
      </c>
    </row>
    <row r="84" spans="1:13" ht="14.4" customHeight="1" x14ac:dyDescent="0.3">
      <c r="A84" s="630" t="s">
        <v>558</v>
      </c>
      <c r="B84" s="631" t="s">
        <v>2101</v>
      </c>
      <c r="C84" s="631" t="s">
        <v>1486</v>
      </c>
      <c r="D84" s="631" t="s">
        <v>1487</v>
      </c>
      <c r="E84" s="631" t="s">
        <v>1488</v>
      </c>
      <c r="F84" s="634"/>
      <c r="G84" s="634"/>
      <c r="H84" s="647">
        <v>0</v>
      </c>
      <c r="I84" s="634">
        <v>77</v>
      </c>
      <c r="J84" s="634">
        <v>68537.695005955902</v>
      </c>
      <c r="K84" s="647">
        <v>1</v>
      </c>
      <c r="L84" s="634">
        <v>77</v>
      </c>
      <c r="M84" s="635">
        <v>68537.695005955902</v>
      </c>
    </row>
    <row r="85" spans="1:13" ht="14.4" customHeight="1" x14ac:dyDescent="0.3">
      <c r="A85" s="630" t="s">
        <v>558</v>
      </c>
      <c r="B85" s="631" t="s">
        <v>2110</v>
      </c>
      <c r="C85" s="631" t="s">
        <v>1923</v>
      </c>
      <c r="D85" s="631" t="s">
        <v>1491</v>
      </c>
      <c r="E85" s="631" t="s">
        <v>1924</v>
      </c>
      <c r="F85" s="634"/>
      <c r="G85" s="634"/>
      <c r="H85" s="647">
        <v>0</v>
      </c>
      <c r="I85" s="634">
        <v>51</v>
      </c>
      <c r="J85" s="634">
        <v>7371.0282036236476</v>
      </c>
      <c r="K85" s="647">
        <v>1</v>
      </c>
      <c r="L85" s="634">
        <v>51</v>
      </c>
      <c r="M85" s="635">
        <v>7371.0282036236476</v>
      </c>
    </row>
    <row r="86" spans="1:13" ht="14.4" customHeight="1" x14ac:dyDescent="0.3">
      <c r="A86" s="630" t="s">
        <v>558</v>
      </c>
      <c r="B86" s="631" t="s">
        <v>2110</v>
      </c>
      <c r="C86" s="631" t="s">
        <v>1494</v>
      </c>
      <c r="D86" s="631" t="s">
        <v>2111</v>
      </c>
      <c r="E86" s="631" t="s">
        <v>2112</v>
      </c>
      <c r="F86" s="634"/>
      <c r="G86" s="634"/>
      <c r="H86" s="647">
        <v>0</v>
      </c>
      <c r="I86" s="634">
        <v>64</v>
      </c>
      <c r="J86" s="634">
        <v>8938.8806193644432</v>
      </c>
      <c r="K86" s="647">
        <v>1</v>
      </c>
      <c r="L86" s="634">
        <v>64</v>
      </c>
      <c r="M86" s="635">
        <v>8938.8806193644432</v>
      </c>
    </row>
    <row r="87" spans="1:13" ht="14.4" customHeight="1" x14ac:dyDescent="0.3">
      <c r="A87" s="630" t="s">
        <v>558</v>
      </c>
      <c r="B87" s="631" t="s">
        <v>2110</v>
      </c>
      <c r="C87" s="631" t="s">
        <v>1509</v>
      </c>
      <c r="D87" s="631" t="s">
        <v>2111</v>
      </c>
      <c r="E87" s="631" t="s">
        <v>2113</v>
      </c>
      <c r="F87" s="634"/>
      <c r="G87" s="634"/>
      <c r="H87" s="647">
        <v>0</v>
      </c>
      <c r="I87" s="634">
        <v>36</v>
      </c>
      <c r="J87" s="634">
        <v>6406.9192300627492</v>
      </c>
      <c r="K87" s="647">
        <v>1</v>
      </c>
      <c r="L87" s="634">
        <v>36</v>
      </c>
      <c r="M87" s="635">
        <v>6406.9192300627492</v>
      </c>
    </row>
    <row r="88" spans="1:13" ht="14.4" customHeight="1" x14ac:dyDescent="0.3">
      <c r="A88" s="630" t="s">
        <v>558</v>
      </c>
      <c r="B88" s="631" t="s">
        <v>2118</v>
      </c>
      <c r="C88" s="631" t="s">
        <v>1926</v>
      </c>
      <c r="D88" s="631" t="s">
        <v>1927</v>
      </c>
      <c r="E88" s="631" t="s">
        <v>2129</v>
      </c>
      <c r="F88" s="634"/>
      <c r="G88" s="634"/>
      <c r="H88" s="647">
        <v>0</v>
      </c>
      <c r="I88" s="634">
        <v>3</v>
      </c>
      <c r="J88" s="634">
        <v>158.42937345467024</v>
      </c>
      <c r="K88" s="647">
        <v>1</v>
      </c>
      <c r="L88" s="634">
        <v>3</v>
      </c>
      <c r="M88" s="635">
        <v>158.42937345467024</v>
      </c>
    </row>
    <row r="89" spans="1:13" ht="14.4" customHeight="1" x14ac:dyDescent="0.3">
      <c r="A89" s="630" t="s">
        <v>561</v>
      </c>
      <c r="B89" s="631" t="s">
        <v>2130</v>
      </c>
      <c r="C89" s="631" t="s">
        <v>1953</v>
      </c>
      <c r="D89" s="631" t="s">
        <v>1954</v>
      </c>
      <c r="E89" s="631" t="s">
        <v>1955</v>
      </c>
      <c r="F89" s="634"/>
      <c r="G89" s="634"/>
      <c r="H89" s="647">
        <v>0</v>
      </c>
      <c r="I89" s="634">
        <v>4</v>
      </c>
      <c r="J89" s="634">
        <v>1522.0799999999995</v>
      </c>
      <c r="K89" s="647">
        <v>1</v>
      </c>
      <c r="L89" s="634">
        <v>4</v>
      </c>
      <c r="M89" s="635">
        <v>1522.0799999999995</v>
      </c>
    </row>
    <row r="90" spans="1:13" ht="14.4" customHeight="1" x14ac:dyDescent="0.3">
      <c r="A90" s="630" t="s">
        <v>561</v>
      </c>
      <c r="B90" s="631" t="s">
        <v>2053</v>
      </c>
      <c r="C90" s="631" t="s">
        <v>1468</v>
      </c>
      <c r="D90" s="631" t="s">
        <v>1449</v>
      </c>
      <c r="E90" s="631" t="s">
        <v>1469</v>
      </c>
      <c r="F90" s="634"/>
      <c r="G90" s="634"/>
      <c r="H90" s="647">
        <v>0</v>
      </c>
      <c r="I90" s="634">
        <v>4</v>
      </c>
      <c r="J90" s="634">
        <v>541.36020081845209</v>
      </c>
      <c r="K90" s="647">
        <v>1</v>
      </c>
      <c r="L90" s="634">
        <v>4</v>
      </c>
      <c r="M90" s="635">
        <v>541.36020081845209</v>
      </c>
    </row>
    <row r="91" spans="1:13" ht="14.4" customHeight="1" x14ac:dyDescent="0.3">
      <c r="A91" s="630" t="s">
        <v>561</v>
      </c>
      <c r="B91" s="631" t="s">
        <v>2099</v>
      </c>
      <c r="C91" s="631" t="s">
        <v>1532</v>
      </c>
      <c r="D91" s="631" t="s">
        <v>1533</v>
      </c>
      <c r="E91" s="631" t="s">
        <v>1168</v>
      </c>
      <c r="F91" s="634"/>
      <c r="G91" s="634"/>
      <c r="H91" s="647">
        <v>0</v>
      </c>
      <c r="I91" s="634">
        <v>7</v>
      </c>
      <c r="J91" s="634">
        <v>2361.3634959486549</v>
      </c>
      <c r="K91" s="647">
        <v>1</v>
      </c>
      <c r="L91" s="634">
        <v>7</v>
      </c>
      <c r="M91" s="635">
        <v>2361.3634959486549</v>
      </c>
    </row>
    <row r="92" spans="1:13" ht="14.4" customHeight="1" x14ac:dyDescent="0.3">
      <c r="A92" s="630" t="s">
        <v>561</v>
      </c>
      <c r="B92" s="631" t="s">
        <v>2126</v>
      </c>
      <c r="C92" s="631" t="s">
        <v>1937</v>
      </c>
      <c r="D92" s="631" t="s">
        <v>1938</v>
      </c>
      <c r="E92" s="631" t="s">
        <v>1939</v>
      </c>
      <c r="F92" s="634"/>
      <c r="G92" s="634"/>
      <c r="H92" s="647">
        <v>0</v>
      </c>
      <c r="I92" s="634">
        <v>4</v>
      </c>
      <c r="J92" s="634">
        <v>830.99</v>
      </c>
      <c r="K92" s="647">
        <v>1</v>
      </c>
      <c r="L92" s="634">
        <v>4</v>
      </c>
      <c r="M92" s="635">
        <v>830.99</v>
      </c>
    </row>
    <row r="93" spans="1:13" ht="14.4" customHeight="1" x14ac:dyDescent="0.3">
      <c r="A93" s="630" t="s">
        <v>561</v>
      </c>
      <c r="B93" s="631" t="s">
        <v>2126</v>
      </c>
      <c r="C93" s="631" t="s">
        <v>1941</v>
      </c>
      <c r="D93" s="631" t="s">
        <v>1938</v>
      </c>
      <c r="E93" s="631" t="s">
        <v>1942</v>
      </c>
      <c r="F93" s="634"/>
      <c r="G93" s="634"/>
      <c r="H93" s="647">
        <v>0</v>
      </c>
      <c r="I93" s="634">
        <v>14</v>
      </c>
      <c r="J93" s="634">
        <v>9915.5508035918047</v>
      </c>
      <c r="K93" s="647">
        <v>1</v>
      </c>
      <c r="L93" s="634">
        <v>14</v>
      </c>
      <c r="M93" s="635">
        <v>9915.5508035918047</v>
      </c>
    </row>
    <row r="94" spans="1:13" ht="14.4" customHeight="1" x14ac:dyDescent="0.3">
      <c r="A94" s="630" t="s">
        <v>561</v>
      </c>
      <c r="B94" s="631" t="s">
        <v>2127</v>
      </c>
      <c r="C94" s="631" t="s">
        <v>1943</v>
      </c>
      <c r="D94" s="631" t="s">
        <v>1944</v>
      </c>
      <c r="E94" s="631" t="s">
        <v>1945</v>
      </c>
      <c r="F94" s="634"/>
      <c r="G94" s="634"/>
      <c r="H94" s="647">
        <v>0</v>
      </c>
      <c r="I94" s="634">
        <v>144</v>
      </c>
      <c r="J94" s="634">
        <v>402960</v>
      </c>
      <c r="K94" s="647">
        <v>1</v>
      </c>
      <c r="L94" s="634">
        <v>144</v>
      </c>
      <c r="M94" s="635">
        <v>402960</v>
      </c>
    </row>
    <row r="95" spans="1:13" ht="14.4" customHeight="1" x14ac:dyDescent="0.3">
      <c r="A95" s="630" t="s">
        <v>561</v>
      </c>
      <c r="B95" s="631" t="s">
        <v>2101</v>
      </c>
      <c r="C95" s="631" t="s">
        <v>1827</v>
      </c>
      <c r="D95" s="631" t="s">
        <v>2128</v>
      </c>
      <c r="E95" s="631" t="s">
        <v>1829</v>
      </c>
      <c r="F95" s="634">
        <v>4</v>
      </c>
      <c r="G95" s="634">
        <v>911.49436044702338</v>
      </c>
      <c r="H95" s="647">
        <v>1</v>
      </c>
      <c r="I95" s="634"/>
      <c r="J95" s="634"/>
      <c r="K95" s="647">
        <v>0</v>
      </c>
      <c r="L95" s="634">
        <v>4</v>
      </c>
      <c r="M95" s="635">
        <v>911.49436044702338</v>
      </c>
    </row>
    <row r="96" spans="1:13" ht="14.4" customHeight="1" x14ac:dyDescent="0.3">
      <c r="A96" s="630" t="s">
        <v>561</v>
      </c>
      <c r="B96" s="631" t="s">
        <v>2101</v>
      </c>
      <c r="C96" s="631" t="s">
        <v>1930</v>
      </c>
      <c r="D96" s="631" t="s">
        <v>1487</v>
      </c>
      <c r="E96" s="631" t="s">
        <v>1931</v>
      </c>
      <c r="F96" s="634"/>
      <c r="G96" s="634"/>
      <c r="H96" s="647">
        <v>0</v>
      </c>
      <c r="I96" s="634">
        <v>72</v>
      </c>
      <c r="J96" s="634">
        <v>19177.198987496551</v>
      </c>
      <c r="K96" s="647">
        <v>1</v>
      </c>
      <c r="L96" s="634">
        <v>72</v>
      </c>
      <c r="M96" s="635">
        <v>19177.198987496551</v>
      </c>
    </row>
    <row r="97" spans="1:13" ht="14.4" customHeight="1" x14ac:dyDescent="0.3">
      <c r="A97" s="630" t="s">
        <v>561</v>
      </c>
      <c r="B97" s="631" t="s">
        <v>2101</v>
      </c>
      <c r="C97" s="631" t="s">
        <v>1486</v>
      </c>
      <c r="D97" s="631" t="s">
        <v>1487</v>
      </c>
      <c r="E97" s="631" t="s">
        <v>1488</v>
      </c>
      <c r="F97" s="634"/>
      <c r="G97" s="634"/>
      <c r="H97" s="647">
        <v>0</v>
      </c>
      <c r="I97" s="634">
        <v>62</v>
      </c>
      <c r="J97" s="634">
        <v>55186.199997653515</v>
      </c>
      <c r="K97" s="647">
        <v>1</v>
      </c>
      <c r="L97" s="634">
        <v>62</v>
      </c>
      <c r="M97" s="635">
        <v>55186.199997653515</v>
      </c>
    </row>
    <row r="98" spans="1:13" ht="14.4" customHeight="1" x14ac:dyDescent="0.3">
      <c r="A98" s="630" t="s">
        <v>561</v>
      </c>
      <c r="B98" s="631" t="s">
        <v>2110</v>
      </c>
      <c r="C98" s="631" t="s">
        <v>1923</v>
      </c>
      <c r="D98" s="631" t="s">
        <v>1491</v>
      </c>
      <c r="E98" s="631" t="s">
        <v>1924</v>
      </c>
      <c r="F98" s="634"/>
      <c r="G98" s="634"/>
      <c r="H98" s="647">
        <v>0</v>
      </c>
      <c r="I98" s="634">
        <v>51</v>
      </c>
      <c r="J98" s="634">
        <v>7371.0352744950878</v>
      </c>
      <c r="K98" s="647">
        <v>1</v>
      </c>
      <c r="L98" s="634">
        <v>51</v>
      </c>
      <c r="M98" s="635">
        <v>7371.0352744950878</v>
      </c>
    </row>
    <row r="99" spans="1:13" ht="14.4" customHeight="1" x14ac:dyDescent="0.3">
      <c r="A99" s="630" t="s">
        <v>561</v>
      </c>
      <c r="B99" s="631" t="s">
        <v>2110</v>
      </c>
      <c r="C99" s="631" t="s">
        <v>1494</v>
      </c>
      <c r="D99" s="631" t="s">
        <v>2111</v>
      </c>
      <c r="E99" s="631" t="s">
        <v>2112</v>
      </c>
      <c r="F99" s="634"/>
      <c r="G99" s="634"/>
      <c r="H99" s="647">
        <v>0</v>
      </c>
      <c r="I99" s="634">
        <v>66</v>
      </c>
      <c r="J99" s="634">
        <v>9218.2224774577735</v>
      </c>
      <c r="K99" s="647">
        <v>1</v>
      </c>
      <c r="L99" s="634">
        <v>66</v>
      </c>
      <c r="M99" s="635">
        <v>9218.2224774577735</v>
      </c>
    </row>
    <row r="100" spans="1:13" ht="14.4" customHeight="1" x14ac:dyDescent="0.3">
      <c r="A100" s="630" t="s">
        <v>561</v>
      </c>
      <c r="B100" s="631" t="s">
        <v>2110</v>
      </c>
      <c r="C100" s="631" t="s">
        <v>1509</v>
      </c>
      <c r="D100" s="631" t="s">
        <v>2111</v>
      </c>
      <c r="E100" s="631" t="s">
        <v>2113</v>
      </c>
      <c r="F100" s="634"/>
      <c r="G100" s="634"/>
      <c r="H100" s="647">
        <v>0</v>
      </c>
      <c r="I100" s="634">
        <v>51</v>
      </c>
      <c r="J100" s="634">
        <v>9076.4707487398045</v>
      </c>
      <c r="K100" s="647">
        <v>1</v>
      </c>
      <c r="L100" s="634">
        <v>51</v>
      </c>
      <c r="M100" s="635">
        <v>9076.4707487398045</v>
      </c>
    </row>
    <row r="101" spans="1:13" ht="14.4" customHeight="1" x14ac:dyDescent="0.3">
      <c r="A101" s="630" t="s">
        <v>561</v>
      </c>
      <c r="B101" s="631" t="s">
        <v>2118</v>
      </c>
      <c r="C101" s="631" t="s">
        <v>1926</v>
      </c>
      <c r="D101" s="631" t="s">
        <v>1927</v>
      </c>
      <c r="E101" s="631" t="s">
        <v>2129</v>
      </c>
      <c r="F101" s="634"/>
      <c r="G101" s="634"/>
      <c r="H101" s="647">
        <v>0</v>
      </c>
      <c r="I101" s="634">
        <v>1</v>
      </c>
      <c r="J101" s="634">
        <v>52.810000000000016</v>
      </c>
      <c r="K101" s="647">
        <v>1</v>
      </c>
      <c r="L101" s="634">
        <v>1</v>
      </c>
      <c r="M101" s="635">
        <v>52.810000000000016</v>
      </c>
    </row>
    <row r="102" spans="1:13" ht="14.4" customHeight="1" x14ac:dyDescent="0.3">
      <c r="A102" s="630" t="s">
        <v>564</v>
      </c>
      <c r="B102" s="631" t="s">
        <v>2130</v>
      </c>
      <c r="C102" s="631" t="s">
        <v>1953</v>
      </c>
      <c r="D102" s="631" t="s">
        <v>1954</v>
      </c>
      <c r="E102" s="631" t="s">
        <v>1955</v>
      </c>
      <c r="F102" s="634"/>
      <c r="G102" s="634"/>
      <c r="H102" s="647">
        <v>0</v>
      </c>
      <c r="I102" s="634">
        <v>8</v>
      </c>
      <c r="J102" s="634">
        <v>3044.161531905369</v>
      </c>
      <c r="K102" s="647">
        <v>1</v>
      </c>
      <c r="L102" s="634">
        <v>8</v>
      </c>
      <c r="M102" s="635">
        <v>3044.161531905369</v>
      </c>
    </row>
    <row r="103" spans="1:13" ht="14.4" customHeight="1" x14ac:dyDescent="0.3">
      <c r="A103" s="630" t="s">
        <v>564</v>
      </c>
      <c r="B103" s="631" t="s">
        <v>2062</v>
      </c>
      <c r="C103" s="631" t="s">
        <v>1444</v>
      </c>
      <c r="D103" s="631" t="s">
        <v>2063</v>
      </c>
      <c r="E103" s="631" t="s">
        <v>2064</v>
      </c>
      <c r="F103" s="634"/>
      <c r="G103" s="634"/>
      <c r="H103" s="647">
        <v>0</v>
      </c>
      <c r="I103" s="634">
        <v>4</v>
      </c>
      <c r="J103" s="634">
        <v>145.32000000000002</v>
      </c>
      <c r="K103" s="647">
        <v>1</v>
      </c>
      <c r="L103" s="634">
        <v>4</v>
      </c>
      <c r="M103" s="635">
        <v>145.32000000000002</v>
      </c>
    </row>
    <row r="104" spans="1:13" ht="14.4" customHeight="1" x14ac:dyDescent="0.3">
      <c r="A104" s="630" t="s">
        <v>564</v>
      </c>
      <c r="B104" s="631" t="s">
        <v>2131</v>
      </c>
      <c r="C104" s="631" t="s">
        <v>1965</v>
      </c>
      <c r="D104" s="631" t="s">
        <v>1966</v>
      </c>
      <c r="E104" s="631" t="s">
        <v>1967</v>
      </c>
      <c r="F104" s="634"/>
      <c r="G104" s="634"/>
      <c r="H104" s="647">
        <v>0</v>
      </c>
      <c r="I104" s="634">
        <v>2</v>
      </c>
      <c r="J104" s="634">
        <v>117.76</v>
      </c>
      <c r="K104" s="647">
        <v>1</v>
      </c>
      <c r="L104" s="634">
        <v>2</v>
      </c>
      <c r="M104" s="635">
        <v>117.76</v>
      </c>
    </row>
    <row r="105" spans="1:13" ht="14.4" customHeight="1" x14ac:dyDescent="0.3">
      <c r="A105" s="630" t="s">
        <v>567</v>
      </c>
      <c r="B105" s="631" t="s">
        <v>2130</v>
      </c>
      <c r="C105" s="631" t="s">
        <v>1953</v>
      </c>
      <c r="D105" s="631" t="s">
        <v>1954</v>
      </c>
      <c r="E105" s="631" t="s">
        <v>1955</v>
      </c>
      <c r="F105" s="634"/>
      <c r="G105" s="634"/>
      <c r="H105" s="647">
        <v>0</v>
      </c>
      <c r="I105" s="634">
        <v>1</v>
      </c>
      <c r="J105" s="634">
        <v>380.52</v>
      </c>
      <c r="K105" s="647">
        <v>1</v>
      </c>
      <c r="L105" s="634">
        <v>1</v>
      </c>
      <c r="M105" s="635">
        <v>380.52</v>
      </c>
    </row>
    <row r="106" spans="1:13" ht="14.4" customHeight="1" x14ac:dyDescent="0.3">
      <c r="A106" s="630" t="s">
        <v>567</v>
      </c>
      <c r="B106" s="631" t="s">
        <v>2127</v>
      </c>
      <c r="C106" s="631" t="s">
        <v>1969</v>
      </c>
      <c r="D106" s="631" t="s">
        <v>1970</v>
      </c>
      <c r="E106" s="631" t="s">
        <v>1971</v>
      </c>
      <c r="F106" s="634">
        <v>16</v>
      </c>
      <c r="G106" s="634">
        <v>59435.641788357825</v>
      </c>
      <c r="H106" s="647">
        <v>1</v>
      </c>
      <c r="I106" s="634"/>
      <c r="J106" s="634"/>
      <c r="K106" s="647">
        <v>0</v>
      </c>
      <c r="L106" s="634">
        <v>16</v>
      </c>
      <c r="M106" s="635">
        <v>59435.641788357825</v>
      </c>
    </row>
    <row r="107" spans="1:13" ht="14.4" customHeight="1" x14ac:dyDescent="0.3">
      <c r="A107" s="630" t="s">
        <v>567</v>
      </c>
      <c r="B107" s="631" t="s">
        <v>2101</v>
      </c>
      <c r="C107" s="631" t="s">
        <v>1827</v>
      </c>
      <c r="D107" s="631" t="s">
        <v>2128</v>
      </c>
      <c r="E107" s="631" t="s">
        <v>1829</v>
      </c>
      <c r="F107" s="634">
        <v>9</v>
      </c>
      <c r="G107" s="634">
        <v>2050.8624</v>
      </c>
      <c r="H107" s="647">
        <v>1</v>
      </c>
      <c r="I107" s="634"/>
      <c r="J107" s="634"/>
      <c r="K107" s="647">
        <v>0</v>
      </c>
      <c r="L107" s="634">
        <v>9</v>
      </c>
      <c r="M107" s="635">
        <v>2050.8624</v>
      </c>
    </row>
    <row r="108" spans="1:13" ht="14.4" customHeight="1" x14ac:dyDescent="0.3">
      <c r="A108" s="630" t="s">
        <v>567</v>
      </c>
      <c r="B108" s="631" t="s">
        <v>2101</v>
      </c>
      <c r="C108" s="631" t="s">
        <v>1930</v>
      </c>
      <c r="D108" s="631" t="s">
        <v>1487</v>
      </c>
      <c r="E108" s="631" t="s">
        <v>1931</v>
      </c>
      <c r="F108" s="634"/>
      <c r="G108" s="634"/>
      <c r="H108" s="647">
        <v>0</v>
      </c>
      <c r="I108" s="634">
        <v>5</v>
      </c>
      <c r="J108" s="634">
        <v>1331.7499818434499</v>
      </c>
      <c r="K108" s="647">
        <v>1</v>
      </c>
      <c r="L108" s="634">
        <v>5</v>
      </c>
      <c r="M108" s="635">
        <v>1331.7499818434499</v>
      </c>
    </row>
    <row r="109" spans="1:13" ht="14.4" customHeight="1" x14ac:dyDescent="0.3">
      <c r="A109" s="630" t="s">
        <v>567</v>
      </c>
      <c r="B109" s="631" t="s">
        <v>2101</v>
      </c>
      <c r="C109" s="631" t="s">
        <v>1486</v>
      </c>
      <c r="D109" s="631" t="s">
        <v>1487</v>
      </c>
      <c r="E109" s="631" t="s">
        <v>1488</v>
      </c>
      <c r="F109" s="634"/>
      <c r="G109" s="634"/>
      <c r="H109" s="647">
        <v>0</v>
      </c>
      <c r="I109" s="634">
        <v>7</v>
      </c>
      <c r="J109" s="634">
        <v>6230.7000000000007</v>
      </c>
      <c r="K109" s="647">
        <v>1</v>
      </c>
      <c r="L109" s="634">
        <v>7</v>
      </c>
      <c r="M109" s="635">
        <v>6230.7000000000007</v>
      </c>
    </row>
    <row r="110" spans="1:13" ht="14.4" customHeight="1" thickBot="1" x14ac:dyDescent="0.35">
      <c r="A110" s="636" t="s">
        <v>567</v>
      </c>
      <c r="B110" s="637" t="s">
        <v>2110</v>
      </c>
      <c r="C110" s="637" t="s">
        <v>1494</v>
      </c>
      <c r="D110" s="637" t="s">
        <v>2111</v>
      </c>
      <c r="E110" s="637" t="s">
        <v>2112</v>
      </c>
      <c r="F110" s="640"/>
      <c r="G110" s="640"/>
      <c r="H110" s="648">
        <v>0</v>
      </c>
      <c r="I110" s="640">
        <v>5</v>
      </c>
      <c r="J110" s="640">
        <v>698.34999999999991</v>
      </c>
      <c r="K110" s="648">
        <v>1</v>
      </c>
      <c r="L110" s="640">
        <v>5</v>
      </c>
      <c r="M110" s="641">
        <v>698.34999999999991</v>
      </c>
    </row>
  </sheetData>
  <autoFilter ref="A5:M374"/>
  <mergeCells count="4">
    <mergeCell ref="F4:H4"/>
    <mergeCell ref="I4:K4"/>
    <mergeCell ref="L4:M4"/>
    <mergeCell ref="A1:M1"/>
  </mergeCells>
  <conditionalFormatting sqref="H3 H6:H1048576">
    <cfRule type="cellIs" dxfId="52" priority="4" operator="greaterThan">
      <formula>0.1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scale="90" fitToHeight="0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1">
    <tabColor theme="0" tint="-0.249977111117893"/>
    <pageSetUpPr fitToPage="1"/>
  </sheetPr>
  <dimension ref="A1:N18"/>
  <sheetViews>
    <sheetView showGridLines="0" showRowColHeaders="0" workbookViewId="0">
      <pane ySplit="4" topLeftCell="A5" activePane="bottomLeft" state="frozen"/>
      <selection activeCell="N30" sqref="N30"/>
      <selection pane="bottomLeft" sqref="A1:L1"/>
    </sheetView>
  </sheetViews>
  <sheetFormatPr defaultRowHeight="14.4" customHeight="1" x14ac:dyDescent="0.3"/>
  <cols>
    <col min="1" max="1" width="9.33203125" style="257" customWidth="1"/>
    <col min="2" max="2" width="34.21875" style="257" customWidth="1"/>
    <col min="3" max="3" width="11.109375" style="257" bestFit="1" customWidth="1"/>
    <col min="4" max="4" width="7.33203125" style="257" bestFit="1" customWidth="1"/>
    <col min="5" max="5" width="11.109375" style="257" bestFit="1" customWidth="1"/>
    <col min="6" max="6" width="5.33203125" style="257" customWidth="1"/>
    <col min="7" max="7" width="7.33203125" style="257" bestFit="1" customWidth="1"/>
    <col min="8" max="8" width="5.33203125" style="257" customWidth="1"/>
    <col min="9" max="9" width="11.109375" style="257" customWidth="1"/>
    <col min="10" max="10" width="5.33203125" style="257" customWidth="1"/>
    <col min="11" max="11" width="7.33203125" style="257" customWidth="1"/>
    <col min="12" max="12" width="5.33203125" style="257" customWidth="1"/>
    <col min="13" max="13" width="0" style="257" hidden="1" customWidth="1"/>
    <col min="14" max="16384" width="8.88671875" style="257"/>
  </cols>
  <sheetData>
    <row r="1" spans="1:14" ht="18.600000000000001" customHeight="1" thickBot="1" x14ac:dyDescent="0.4">
      <c r="A1" s="496" t="s">
        <v>178</v>
      </c>
      <c r="B1" s="496"/>
      <c r="C1" s="496"/>
      <c r="D1" s="496"/>
      <c r="E1" s="496"/>
      <c r="F1" s="496"/>
      <c r="G1" s="496"/>
      <c r="H1" s="496"/>
      <c r="I1" s="459"/>
      <c r="J1" s="459"/>
      <c r="K1" s="459"/>
      <c r="L1" s="459"/>
    </row>
    <row r="2" spans="1:14" ht="14.4" customHeight="1" thickBot="1" x14ac:dyDescent="0.35">
      <c r="A2" s="386" t="s">
        <v>321</v>
      </c>
      <c r="B2" s="339"/>
      <c r="C2" s="339"/>
      <c r="D2" s="339"/>
      <c r="E2" s="339"/>
      <c r="F2" s="339"/>
      <c r="G2" s="339"/>
      <c r="H2" s="339"/>
    </row>
    <row r="3" spans="1:14" ht="14.4" customHeight="1" thickBot="1" x14ac:dyDescent="0.35">
      <c r="A3" s="272"/>
      <c r="B3" s="272"/>
      <c r="C3" s="507" t="s">
        <v>15</v>
      </c>
      <c r="D3" s="506"/>
      <c r="E3" s="506" t="s">
        <v>16</v>
      </c>
      <c r="F3" s="506"/>
      <c r="G3" s="506"/>
      <c r="H3" s="506"/>
      <c r="I3" s="506" t="s">
        <v>191</v>
      </c>
      <c r="J3" s="506"/>
      <c r="K3" s="506"/>
      <c r="L3" s="508"/>
    </row>
    <row r="4" spans="1:14" ht="14.4" customHeight="1" thickBot="1" x14ac:dyDescent="0.35">
      <c r="A4" s="106" t="s">
        <v>17</v>
      </c>
      <c r="B4" s="107" t="s">
        <v>18</v>
      </c>
      <c r="C4" s="108" t="s">
        <v>19</v>
      </c>
      <c r="D4" s="108" t="s">
        <v>20</v>
      </c>
      <c r="E4" s="108" t="s">
        <v>19</v>
      </c>
      <c r="F4" s="108" t="s">
        <v>2</v>
      </c>
      <c r="G4" s="108" t="s">
        <v>20</v>
      </c>
      <c r="H4" s="108" t="s">
        <v>2</v>
      </c>
      <c r="I4" s="108" t="s">
        <v>19</v>
      </c>
      <c r="J4" s="108" t="s">
        <v>2</v>
      </c>
      <c r="K4" s="108" t="s">
        <v>20</v>
      </c>
      <c r="L4" s="109" t="s">
        <v>2</v>
      </c>
    </row>
    <row r="5" spans="1:14" ht="14.4" customHeight="1" x14ac:dyDescent="0.3">
      <c r="A5" s="614">
        <v>7</v>
      </c>
      <c r="B5" s="615" t="s">
        <v>1978</v>
      </c>
      <c r="C5" s="618">
        <v>4183497.5499999956</v>
      </c>
      <c r="D5" s="618">
        <v>1532.5</v>
      </c>
      <c r="E5" s="618">
        <v>2317287.3399999971</v>
      </c>
      <c r="F5" s="663">
        <v>0.5539114849009531</v>
      </c>
      <c r="G5" s="618">
        <v>864</v>
      </c>
      <c r="H5" s="663">
        <v>0.5637846655791191</v>
      </c>
      <c r="I5" s="618">
        <v>1866210.2099999983</v>
      </c>
      <c r="J5" s="663">
        <v>0.44608851509904679</v>
      </c>
      <c r="K5" s="618">
        <v>668.5</v>
      </c>
      <c r="L5" s="663">
        <v>0.4362153344208809</v>
      </c>
      <c r="M5" s="618" t="s">
        <v>74</v>
      </c>
      <c r="N5" s="280"/>
    </row>
    <row r="6" spans="1:14" ht="14.4" customHeight="1" x14ac:dyDescent="0.3">
      <c r="A6" s="614">
        <v>7</v>
      </c>
      <c r="B6" s="615" t="s">
        <v>2133</v>
      </c>
      <c r="C6" s="618">
        <v>4181518.6099999957</v>
      </c>
      <c r="D6" s="618">
        <v>1531.5</v>
      </c>
      <c r="E6" s="618">
        <v>2317287.3399999971</v>
      </c>
      <c r="F6" s="663">
        <v>0.55417362832207973</v>
      </c>
      <c r="G6" s="618">
        <v>864</v>
      </c>
      <c r="H6" s="663">
        <v>0.56415279138099905</v>
      </c>
      <c r="I6" s="618">
        <v>1864231.2699999984</v>
      </c>
      <c r="J6" s="663">
        <v>0.44582637167792022</v>
      </c>
      <c r="K6" s="618">
        <v>667.5</v>
      </c>
      <c r="L6" s="663">
        <v>0.435847208619001</v>
      </c>
      <c r="M6" s="618" t="s">
        <v>1</v>
      </c>
      <c r="N6" s="280"/>
    </row>
    <row r="7" spans="1:14" ht="14.4" customHeight="1" x14ac:dyDescent="0.3">
      <c r="A7" s="614">
        <v>7</v>
      </c>
      <c r="B7" s="615" t="s">
        <v>2134</v>
      </c>
      <c r="C7" s="618">
        <v>1978.94</v>
      </c>
      <c r="D7" s="618">
        <v>1</v>
      </c>
      <c r="E7" s="618" t="s">
        <v>547</v>
      </c>
      <c r="F7" s="663">
        <v>0</v>
      </c>
      <c r="G7" s="618" t="s">
        <v>547</v>
      </c>
      <c r="H7" s="663">
        <v>0</v>
      </c>
      <c r="I7" s="618">
        <v>1978.94</v>
      </c>
      <c r="J7" s="663">
        <v>1</v>
      </c>
      <c r="K7" s="618">
        <v>1</v>
      </c>
      <c r="L7" s="663">
        <v>1</v>
      </c>
      <c r="M7" s="618" t="s">
        <v>1</v>
      </c>
      <c r="N7" s="280"/>
    </row>
    <row r="8" spans="1:14" ht="14.4" customHeight="1" x14ac:dyDescent="0.3">
      <c r="A8" s="614" t="s">
        <v>2135</v>
      </c>
      <c r="B8" s="615" t="s">
        <v>3</v>
      </c>
      <c r="C8" s="618">
        <v>4183497.5499999956</v>
      </c>
      <c r="D8" s="618">
        <v>1532.5</v>
      </c>
      <c r="E8" s="618">
        <v>2317287.3399999971</v>
      </c>
      <c r="F8" s="663">
        <v>0.5539114849009531</v>
      </c>
      <c r="G8" s="618">
        <v>864</v>
      </c>
      <c r="H8" s="663">
        <v>0.5637846655791191</v>
      </c>
      <c r="I8" s="618">
        <v>1866210.2099999983</v>
      </c>
      <c r="J8" s="663">
        <v>0.44608851509904679</v>
      </c>
      <c r="K8" s="618">
        <v>668.5</v>
      </c>
      <c r="L8" s="663">
        <v>0.4362153344208809</v>
      </c>
      <c r="M8" s="618" t="s">
        <v>549</v>
      </c>
      <c r="N8" s="280"/>
    </row>
    <row r="10" spans="1:14" ht="14.4" customHeight="1" x14ac:dyDescent="0.3">
      <c r="A10" s="614">
        <v>7</v>
      </c>
      <c r="B10" s="615" t="s">
        <v>1978</v>
      </c>
      <c r="C10" s="618" t="s">
        <v>547</v>
      </c>
      <c r="D10" s="618" t="s">
        <v>547</v>
      </c>
      <c r="E10" s="618" t="s">
        <v>547</v>
      </c>
      <c r="F10" s="663" t="s">
        <v>547</v>
      </c>
      <c r="G10" s="618" t="s">
        <v>547</v>
      </c>
      <c r="H10" s="663" t="s">
        <v>547</v>
      </c>
      <c r="I10" s="618" t="s">
        <v>547</v>
      </c>
      <c r="J10" s="663" t="s">
        <v>547</v>
      </c>
      <c r="K10" s="618" t="s">
        <v>547</v>
      </c>
      <c r="L10" s="663" t="s">
        <v>547</v>
      </c>
      <c r="M10" s="618" t="s">
        <v>74</v>
      </c>
      <c r="N10" s="280"/>
    </row>
    <row r="11" spans="1:14" ht="14.4" customHeight="1" x14ac:dyDescent="0.3">
      <c r="A11" s="614">
        <v>89301072</v>
      </c>
      <c r="B11" s="615" t="s">
        <v>2133</v>
      </c>
      <c r="C11" s="618">
        <v>164665.51999999999</v>
      </c>
      <c r="D11" s="618">
        <v>130</v>
      </c>
      <c r="E11" s="618">
        <v>69292.599999999991</v>
      </c>
      <c r="F11" s="663">
        <v>0.42080819348215703</v>
      </c>
      <c r="G11" s="618">
        <v>98</v>
      </c>
      <c r="H11" s="663">
        <v>0.75384615384615383</v>
      </c>
      <c r="I11" s="618">
        <v>95372.92</v>
      </c>
      <c r="J11" s="663">
        <v>0.57919180651784297</v>
      </c>
      <c r="K11" s="618">
        <v>32</v>
      </c>
      <c r="L11" s="663">
        <v>0.24615384615384617</v>
      </c>
      <c r="M11" s="618" t="s">
        <v>1</v>
      </c>
      <c r="N11" s="280"/>
    </row>
    <row r="12" spans="1:14" ht="14.4" customHeight="1" x14ac:dyDescent="0.3">
      <c r="A12" s="614">
        <v>89301072</v>
      </c>
      <c r="B12" s="615" t="s">
        <v>2134</v>
      </c>
      <c r="C12" s="618">
        <v>1978.94</v>
      </c>
      <c r="D12" s="618">
        <v>1</v>
      </c>
      <c r="E12" s="618" t="s">
        <v>547</v>
      </c>
      <c r="F12" s="663">
        <v>0</v>
      </c>
      <c r="G12" s="618" t="s">
        <v>547</v>
      </c>
      <c r="H12" s="663">
        <v>0</v>
      </c>
      <c r="I12" s="618">
        <v>1978.94</v>
      </c>
      <c r="J12" s="663">
        <v>1</v>
      </c>
      <c r="K12" s="618">
        <v>1</v>
      </c>
      <c r="L12" s="663">
        <v>1</v>
      </c>
      <c r="M12" s="618" t="s">
        <v>1</v>
      </c>
      <c r="N12" s="280"/>
    </row>
    <row r="13" spans="1:14" ht="14.4" customHeight="1" x14ac:dyDescent="0.3">
      <c r="A13" s="614" t="s">
        <v>2136</v>
      </c>
      <c r="B13" s="615" t="s">
        <v>2137</v>
      </c>
      <c r="C13" s="618">
        <v>166644.46</v>
      </c>
      <c r="D13" s="618">
        <v>131</v>
      </c>
      <c r="E13" s="618">
        <v>69292.599999999991</v>
      </c>
      <c r="F13" s="663">
        <v>0.41581100265799414</v>
      </c>
      <c r="G13" s="618">
        <v>98</v>
      </c>
      <c r="H13" s="663">
        <v>0.74809160305343514</v>
      </c>
      <c r="I13" s="618">
        <v>97351.86</v>
      </c>
      <c r="J13" s="663">
        <v>0.58418899734200591</v>
      </c>
      <c r="K13" s="618">
        <v>33</v>
      </c>
      <c r="L13" s="663">
        <v>0.25190839694656486</v>
      </c>
      <c r="M13" s="618" t="s">
        <v>553</v>
      </c>
      <c r="N13" s="280"/>
    </row>
    <row r="14" spans="1:14" ht="14.4" customHeight="1" x14ac:dyDescent="0.3">
      <c r="A14" s="614" t="s">
        <v>547</v>
      </c>
      <c r="B14" s="615" t="s">
        <v>547</v>
      </c>
      <c r="C14" s="618" t="s">
        <v>547</v>
      </c>
      <c r="D14" s="618" t="s">
        <v>547</v>
      </c>
      <c r="E14" s="618" t="s">
        <v>547</v>
      </c>
      <c r="F14" s="663" t="s">
        <v>547</v>
      </c>
      <c r="G14" s="618" t="s">
        <v>547</v>
      </c>
      <c r="H14" s="663" t="s">
        <v>547</v>
      </c>
      <c r="I14" s="618" t="s">
        <v>547</v>
      </c>
      <c r="J14" s="663" t="s">
        <v>547</v>
      </c>
      <c r="K14" s="618" t="s">
        <v>547</v>
      </c>
      <c r="L14" s="663" t="s">
        <v>547</v>
      </c>
      <c r="M14" s="618" t="s">
        <v>554</v>
      </c>
      <c r="N14" s="280"/>
    </row>
    <row r="15" spans="1:14" ht="14.4" customHeight="1" x14ac:dyDescent="0.3">
      <c r="A15" s="614">
        <v>89301074</v>
      </c>
      <c r="B15" s="615" t="s">
        <v>2133</v>
      </c>
      <c r="C15" s="618">
        <v>4016853.0899999966</v>
      </c>
      <c r="D15" s="618">
        <v>1401.5</v>
      </c>
      <c r="E15" s="618">
        <v>2247994.7399999979</v>
      </c>
      <c r="F15" s="663">
        <v>0.55964076595093992</v>
      </c>
      <c r="G15" s="618">
        <v>766</v>
      </c>
      <c r="H15" s="663">
        <v>0.54655726007848737</v>
      </c>
      <c r="I15" s="618">
        <v>1768858.3499999987</v>
      </c>
      <c r="J15" s="663">
        <v>0.44035923404906008</v>
      </c>
      <c r="K15" s="618">
        <v>635.5</v>
      </c>
      <c r="L15" s="663">
        <v>0.45344273992151268</v>
      </c>
      <c r="M15" s="618" t="s">
        <v>1</v>
      </c>
      <c r="N15" s="280"/>
    </row>
    <row r="16" spans="1:14" ht="14.4" customHeight="1" x14ac:dyDescent="0.3">
      <c r="A16" s="614" t="s">
        <v>2138</v>
      </c>
      <c r="B16" s="615" t="s">
        <v>2139</v>
      </c>
      <c r="C16" s="618">
        <v>4016853.0899999966</v>
      </c>
      <c r="D16" s="618">
        <v>1401.5</v>
      </c>
      <c r="E16" s="618">
        <v>2247994.7399999979</v>
      </c>
      <c r="F16" s="663">
        <v>0.55964076595093992</v>
      </c>
      <c r="G16" s="618">
        <v>766</v>
      </c>
      <c r="H16" s="663">
        <v>0.54655726007848737</v>
      </c>
      <c r="I16" s="618">
        <v>1768858.3499999987</v>
      </c>
      <c r="J16" s="663">
        <v>0.44035923404906008</v>
      </c>
      <c r="K16" s="618">
        <v>635.5</v>
      </c>
      <c r="L16" s="663">
        <v>0.45344273992151268</v>
      </c>
      <c r="M16" s="618" t="s">
        <v>553</v>
      </c>
      <c r="N16" s="280"/>
    </row>
    <row r="17" spans="1:14" ht="14.4" customHeight="1" x14ac:dyDescent="0.3">
      <c r="A17" s="614" t="s">
        <v>547</v>
      </c>
      <c r="B17" s="615" t="s">
        <v>547</v>
      </c>
      <c r="C17" s="618" t="s">
        <v>547</v>
      </c>
      <c r="D17" s="618" t="s">
        <v>547</v>
      </c>
      <c r="E17" s="618" t="s">
        <v>547</v>
      </c>
      <c r="F17" s="663" t="s">
        <v>547</v>
      </c>
      <c r="G17" s="618" t="s">
        <v>547</v>
      </c>
      <c r="H17" s="663" t="s">
        <v>547</v>
      </c>
      <c r="I17" s="618" t="s">
        <v>547</v>
      </c>
      <c r="J17" s="663" t="s">
        <v>547</v>
      </c>
      <c r="K17" s="618" t="s">
        <v>547</v>
      </c>
      <c r="L17" s="663" t="s">
        <v>547</v>
      </c>
      <c r="M17" s="618" t="s">
        <v>554</v>
      </c>
      <c r="N17" s="280"/>
    </row>
    <row r="18" spans="1:14" ht="14.4" customHeight="1" x14ac:dyDescent="0.3">
      <c r="A18" s="614" t="s">
        <v>2135</v>
      </c>
      <c r="B18" s="615" t="s">
        <v>2140</v>
      </c>
      <c r="C18" s="618">
        <v>4183497.5499999966</v>
      </c>
      <c r="D18" s="618">
        <v>1532.5</v>
      </c>
      <c r="E18" s="618">
        <v>2317287.339999998</v>
      </c>
      <c r="F18" s="663">
        <v>0.55391148490095321</v>
      </c>
      <c r="G18" s="618">
        <v>864</v>
      </c>
      <c r="H18" s="663">
        <v>0.5637846655791191</v>
      </c>
      <c r="I18" s="618">
        <v>1866210.2099999988</v>
      </c>
      <c r="J18" s="663">
        <v>0.44608851509904679</v>
      </c>
      <c r="K18" s="618">
        <v>668.5</v>
      </c>
      <c r="L18" s="663">
        <v>0.4362153344208809</v>
      </c>
      <c r="M18" s="618" t="s">
        <v>549</v>
      </c>
      <c r="N18" s="280"/>
    </row>
  </sheetData>
  <autoFilter ref="A4:M4"/>
  <mergeCells count="4">
    <mergeCell ref="E3:H3"/>
    <mergeCell ref="C3:D3"/>
    <mergeCell ref="I3:L3"/>
    <mergeCell ref="A1:L1"/>
  </mergeCells>
  <conditionalFormatting sqref="F4 F9 F19:F1048576">
    <cfRule type="cellIs" dxfId="51" priority="15" stopIfTrue="1" operator="lessThan">
      <formula>0.6</formula>
    </cfRule>
  </conditionalFormatting>
  <conditionalFormatting sqref="B5:B8">
    <cfRule type="expression" dxfId="50" priority="10">
      <formula>AND(LEFT(M5,6)&lt;&gt;"mezera",M5&lt;&gt;"")</formula>
    </cfRule>
  </conditionalFormatting>
  <conditionalFormatting sqref="A5:A8">
    <cfRule type="expression" dxfId="49" priority="8">
      <formula>AND(M5&lt;&gt;"",M5&lt;&gt;"mezeraKL")</formula>
    </cfRule>
  </conditionalFormatting>
  <conditionalFormatting sqref="F5:F8">
    <cfRule type="cellIs" dxfId="48" priority="7" operator="lessThan">
      <formula>0.6</formula>
    </cfRule>
  </conditionalFormatting>
  <conditionalFormatting sqref="B5:L8">
    <cfRule type="expression" dxfId="47" priority="9">
      <formula>OR($M5="KL",$M5="SumaKL")</formula>
    </cfRule>
    <cfRule type="expression" dxfId="46" priority="11">
      <formula>$M5="SumaNS"</formula>
    </cfRule>
  </conditionalFormatting>
  <conditionalFormatting sqref="A5:L8">
    <cfRule type="expression" dxfId="45" priority="12">
      <formula>$M5&lt;&gt;""</formula>
    </cfRule>
  </conditionalFormatting>
  <conditionalFormatting sqref="B10:B18">
    <cfRule type="expression" dxfId="44" priority="4">
      <formula>AND(LEFT(M10,6)&lt;&gt;"mezera",M10&lt;&gt;"")</formula>
    </cfRule>
  </conditionalFormatting>
  <conditionalFormatting sqref="A10:A18">
    <cfRule type="expression" dxfId="43" priority="2">
      <formula>AND(M10&lt;&gt;"",M10&lt;&gt;"mezeraKL")</formula>
    </cfRule>
  </conditionalFormatting>
  <conditionalFormatting sqref="F10:F18">
    <cfRule type="cellIs" dxfId="42" priority="1" operator="lessThan">
      <formula>0.6</formula>
    </cfRule>
  </conditionalFormatting>
  <conditionalFormatting sqref="B10:L18">
    <cfRule type="expression" dxfId="41" priority="3">
      <formula>OR($M10="KL",$M10="SumaKL")</formula>
    </cfRule>
    <cfRule type="expression" dxfId="40" priority="5">
      <formula>$M10="SumaNS"</formula>
    </cfRule>
  </conditionalFormatting>
  <conditionalFormatting sqref="A10:L18">
    <cfRule type="expression" dxfId="39" priority="6">
      <formula>$M10&lt;&gt;""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30">
    <tabColor theme="0" tint="-0.249977111117893"/>
    <pageSetUpPr fitToPage="1"/>
  </sheetPr>
  <dimension ref="A1:M33"/>
  <sheetViews>
    <sheetView showGridLines="0" showRowColHeaders="0" workbookViewId="0">
      <pane ySplit="4" topLeftCell="A5" activePane="bottomLeft" state="frozen"/>
      <selection activeCell="N30" sqref="N30"/>
      <selection pane="bottomLeft" sqref="A1:M1"/>
    </sheetView>
  </sheetViews>
  <sheetFormatPr defaultRowHeight="14.4" customHeight="1" x14ac:dyDescent="0.3"/>
  <cols>
    <col min="1" max="1" width="30.88671875" style="257" customWidth="1"/>
    <col min="2" max="2" width="11.109375" style="340" bestFit="1" customWidth="1"/>
    <col min="3" max="3" width="11.109375" style="257" hidden="1" customWidth="1"/>
    <col min="4" max="4" width="7.33203125" style="340" bestFit="1" customWidth="1"/>
    <col min="5" max="5" width="7.33203125" style="257" hidden="1" customWidth="1"/>
    <col min="6" max="6" width="11.109375" style="340" bestFit="1" customWidth="1"/>
    <col min="7" max="7" width="5.33203125" style="343" customWidth="1"/>
    <col min="8" max="8" width="7.33203125" style="340" bestFit="1" customWidth="1"/>
    <col min="9" max="9" width="5.33203125" style="343" customWidth="1"/>
    <col min="10" max="10" width="11.109375" style="340" customWidth="1"/>
    <col min="11" max="11" width="5.33203125" style="343" customWidth="1"/>
    <col min="12" max="12" width="7.33203125" style="340" customWidth="1"/>
    <col min="13" max="13" width="5.33203125" style="343" customWidth="1"/>
    <col min="14" max="14" width="0" style="257" hidden="1" customWidth="1"/>
    <col min="15" max="16384" width="8.88671875" style="257"/>
  </cols>
  <sheetData>
    <row r="1" spans="1:13" ht="18.600000000000001" customHeight="1" thickBot="1" x14ac:dyDescent="0.4">
      <c r="A1" s="496" t="s">
        <v>192</v>
      </c>
      <c r="B1" s="496"/>
      <c r="C1" s="496"/>
      <c r="D1" s="496"/>
      <c r="E1" s="496"/>
      <c r="F1" s="496"/>
      <c r="G1" s="496"/>
      <c r="H1" s="496"/>
      <c r="I1" s="496"/>
      <c r="J1" s="459"/>
      <c r="K1" s="459"/>
      <c r="L1" s="459"/>
      <c r="M1" s="459"/>
    </row>
    <row r="2" spans="1:13" ht="14.4" customHeight="1" thickBot="1" x14ac:dyDescent="0.35">
      <c r="A2" s="386" t="s">
        <v>321</v>
      </c>
      <c r="B2" s="347"/>
      <c r="C2" s="339"/>
      <c r="D2" s="347"/>
      <c r="E2" s="339"/>
      <c r="F2" s="347"/>
      <c r="G2" s="348"/>
      <c r="H2" s="347"/>
      <c r="I2" s="348"/>
    </row>
    <row r="3" spans="1:13" ht="14.4" customHeight="1" thickBot="1" x14ac:dyDescent="0.35">
      <c r="A3" s="272"/>
      <c r="B3" s="507" t="s">
        <v>15</v>
      </c>
      <c r="C3" s="509"/>
      <c r="D3" s="506"/>
      <c r="E3" s="271"/>
      <c r="F3" s="506" t="s">
        <v>16</v>
      </c>
      <c r="G3" s="506"/>
      <c r="H3" s="506"/>
      <c r="I3" s="506"/>
      <c r="J3" s="506" t="s">
        <v>191</v>
      </c>
      <c r="K3" s="506"/>
      <c r="L3" s="506"/>
      <c r="M3" s="508"/>
    </row>
    <row r="4" spans="1:13" ht="14.4" customHeight="1" thickBot="1" x14ac:dyDescent="0.35">
      <c r="A4" s="664" t="s">
        <v>168</v>
      </c>
      <c r="B4" s="668" t="s">
        <v>19</v>
      </c>
      <c r="C4" s="669"/>
      <c r="D4" s="668" t="s">
        <v>20</v>
      </c>
      <c r="E4" s="669"/>
      <c r="F4" s="668" t="s">
        <v>19</v>
      </c>
      <c r="G4" s="676" t="s">
        <v>2</v>
      </c>
      <c r="H4" s="668" t="s">
        <v>20</v>
      </c>
      <c r="I4" s="676" t="s">
        <v>2</v>
      </c>
      <c r="J4" s="668" t="s">
        <v>19</v>
      </c>
      <c r="K4" s="676" t="s">
        <v>2</v>
      </c>
      <c r="L4" s="668" t="s">
        <v>20</v>
      </c>
      <c r="M4" s="677" t="s">
        <v>2</v>
      </c>
    </row>
    <row r="5" spans="1:13" ht="14.4" customHeight="1" x14ac:dyDescent="0.3">
      <c r="A5" s="665" t="s">
        <v>2141</v>
      </c>
      <c r="B5" s="670">
        <v>961.21</v>
      </c>
      <c r="C5" s="625">
        <v>1</v>
      </c>
      <c r="D5" s="673">
        <v>1</v>
      </c>
      <c r="E5" s="681" t="s">
        <v>2141</v>
      </c>
      <c r="F5" s="670">
        <v>961.21</v>
      </c>
      <c r="G5" s="646">
        <v>1</v>
      </c>
      <c r="H5" s="628">
        <v>1</v>
      </c>
      <c r="I5" s="678">
        <v>1</v>
      </c>
      <c r="J5" s="684"/>
      <c r="K5" s="646">
        <v>0</v>
      </c>
      <c r="L5" s="628"/>
      <c r="M5" s="678">
        <v>0</v>
      </c>
    </row>
    <row r="6" spans="1:13" ht="14.4" customHeight="1" x14ac:dyDescent="0.3">
      <c r="A6" s="666" t="s">
        <v>2142</v>
      </c>
      <c r="B6" s="671">
        <v>963.6</v>
      </c>
      <c r="C6" s="631">
        <v>1</v>
      </c>
      <c r="D6" s="674">
        <v>2</v>
      </c>
      <c r="E6" s="682" t="s">
        <v>2142</v>
      </c>
      <c r="F6" s="671"/>
      <c r="G6" s="647">
        <v>0</v>
      </c>
      <c r="H6" s="634"/>
      <c r="I6" s="679">
        <v>0</v>
      </c>
      <c r="J6" s="685">
        <v>963.6</v>
      </c>
      <c r="K6" s="647">
        <v>1</v>
      </c>
      <c r="L6" s="634">
        <v>2</v>
      </c>
      <c r="M6" s="679">
        <v>1</v>
      </c>
    </row>
    <row r="7" spans="1:13" ht="14.4" customHeight="1" x14ac:dyDescent="0.3">
      <c r="A7" s="666" t="s">
        <v>2143</v>
      </c>
      <c r="B7" s="671">
        <v>1250.58</v>
      </c>
      <c r="C7" s="631">
        <v>1</v>
      </c>
      <c r="D7" s="674">
        <v>3</v>
      </c>
      <c r="E7" s="682" t="s">
        <v>2143</v>
      </c>
      <c r="F7" s="671">
        <v>625.29</v>
      </c>
      <c r="G7" s="647">
        <v>0.5</v>
      </c>
      <c r="H7" s="634">
        <v>3</v>
      </c>
      <c r="I7" s="679">
        <v>1</v>
      </c>
      <c r="J7" s="685">
        <v>625.29</v>
      </c>
      <c r="K7" s="647">
        <v>0.5</v>
      </c>
      <c r="L7" s="634"/>
      <c r="M7" s="679">
        <v>0</v>
      </c>
    </row>
    <row r="8" spans="1:13" ht="14.4" customHeight="1" x14ac:dyDescent="0.3">
      <c r="A8" s="666" t="s">
        <v>2144</v>
      </c>
      <c r="B8" s="671">
        <v>163.72999999999999</v>
      </c>
      <c r="C8" s="631">
        <v>1</v>
      </c>
      <c r="D8" s="674">
        <v>1</v>
      </c>
      <c r="E8" s="682" t="s">
        <v>2144</v>
      </c>
      <c r="F8" s="671">
        <v>163.72999999999999</v>
      </c>
      <c r="G8" s="647">
        <v>1</v>
      </c>
      <c r="H8" s="634">
        <v>1</v>
      </c>
      <c r="I8" s="679">
        <v>1</v>
      </c>
      <c r="J8" s="685"/>
      <c r="K8" s="647">
        <v>0</v>
      </c>
      <c r="L8" s="634"/>
      <c r="M8" s="679">
        <v>0</v>
      </c>
    </row>
    <row r="9" spans="1:13" ht="14.4" customHeight="1" x14ac:dyDescent="0.3">
      <c r="A9" s="666" t="s">
        <v>2145</v>
      </c>
      <c r="B9" s="671">
        <v>877.61</v>
      </c>
      <c r="C9" s="631">
        <v>1</v>
      </c>
      <c r="D9" s="674">
        <v>7</v>
      </c>
      <c r="E9" s="682" t="s">
        <v>2145</v>
      </c>
      <c r="F9" s="671">
        <v>454.07</v>
      </c>
      <c r="G9" s="647">
        <v>0.51739383097275549</v>
      </c>
      <c r="H9" s="634">
        <v>3</v>
      </c>
      <c r="I9" s="679">
        <v>0.42857142857142855</v>
      </c>
      <c r="J9" s="685">
        <v>423.54</v>
      </c>
      <c r="K9" s="647">
        <v>0.48260616902724446</v>
      </c>
      <c r="L9" s="634">
        <v>4</v>
      </c>
      <c r="M9" s="679">
        <v>0.5714285714285714</v>
      </c>
    </row>
    <row r="10" spans="1:13" ht="14.4" customHeight="1" x14ac:dyDescent="0.3">
      <c r="A10" s="666" t="s">
        <v>2146</v>
      </c>
      <c r="B10" s="671">
        <v>2014.56</v>
      </c>
      <c r="C10" s="631">
        <v>1</v>
      </c>
      <c r="D10" s="674">
        <v>9</v>
      </c>
      <c r="E10" s="682" t="s">
        <v>2146</v>
      </c>
      <c r="F10" s="671">
        <v>2014.56</v>
      </c>
      <c r="G10" s="647">
        <v>1</v>
      </c>
      <c r="H10" s="634">
        <v>9</v>
      </c>
      <c r="I10" s="679">
        <v>1</v>
      </c>
      <c r="J10" s="685"/>
      <c r="K10" s="647">
        <v>0</v>
      </c>
      <c r="L10" s="634"/>
      <c r="M10" s="679">
        <v>0</v>
      </c>
    </row>
    <row r="11" spans="1:13" ht="14.4" customHeight="1" x14ac:dyDescent="0.3">
      <c r="A11" s="666" t="s">
        <v>2147</v>
      </c>
      <c r="B11" s="671">
        <v>188.41</v>
      </c>
      <c r="C11" s="631">
        <v>1</v>
      </c>
      <c r="D11" s="674">
        <v>3</v>
      </c>
      <c r="E11" s="682" t="s">
        <v>2147</v>
      </c>
      <c r="F11" s="671">
        <v>188.41</v>
      </c>
      <c r="G11" s="647">
        <v>1</v>
      </c>
      <c r="H11" s="634">
        <v>3</v>
      </c>
      <c r="I11" s="679">
        <v>1</v>
      </c>
      <c r="J11" s="685"/>
      <c r="K11" s="647">
        <v>0</v>
      </c>
      <c r="L11" s="634"/>
      <c r="M11" s="679">
        <v>0</v>
      </c>
    </row>
    <row r="12" spans="1:13" ht="14.4" customHeight="1" x14ac:dyDescent="0.3">
      <c r="A12" s="666" t="s">
        <v>2148</v>
      </c>
      <c r="B12" s="671">
        <v>337573.98</v>
      </c>
      <c r="C12" s="631">
        <v>1</v>
      </c>
      <c r="D12" s="674">
        <v>79</v>
      </c>
      <c r="E12" s="682" t="s">
        <v>2148</v>
      </c>
      <c r="F12" s="671">
        <v>122312.74000000002</v>
      </c>
      <c r="G12" s="647">
        <v>0.36232869606834039</v>
      </c>
      <c r="H12" s="634">
        <v>29</v>
      </c>
      <c r="I12" s="679">
        <v>0.36708860759493672</v>
      </c>
      <c r="J12" s="685">
        <v>215261.24</v>
      </c>
      <c r="K12" s="647">
        <v>0.63767130393165972</v>
      </c>
      <c r="L12" s="634">
        <v>50</v>
      </c>
      <c r="M12" s="679">
        <v>0.63291139240506333</v>
      </c>
    </row>
    <row r="13" spans="1:13" ht="14.4" customHeight="1" x14ac:dyDescent="0.3">
      <c r="A13" s="666" t="s">
        <v>2149</v>
      </c>
      <c r="B13" s="671">
        <v>991211.6399999999</v>
      </c>
      <c r="C13" s="631">
        <v>1</v>
      </c>
      <c r="D13" s="674">
        <v>337</v>
      </c>
      <c r="E13" s="682" t="s">
        <v>2149</v>
      </c>
      <c r="F13" s="671">
        <v>604586.47999999986</v>
      </c>
      <c r="G13" s="647">
        <v>0.60994691305279658</v>
      </c>
      <c r="H13" s="634">
        <v>214</v>
      </c>
      <c r="I13" s="679">
        <v>0.63501483679525228</v>
      </c>
      <c r="J13" s="685">
        <v>386625.16000000003</v>
      </c>
      <c r="K13" s="647">
        <v>0.39005308694720342</v>
      </c>
      <c r="L13" s="634">
        <v>123</v>
      </c>
      <c r="M13" s="679">
        <v>0.36498516320474778</v>
      </c>
    </row>
    <row r="14" spans="1:13" ht="14.4" customHeight="1" x14ac:dyDescent="0.3">
      <c r="A14" s="666" t="s">
        <v>2150</v>
      </c>
      <c r="B14" s="671">
        <v>1098.5500000000002</v>
      </c>
      <c r="C14" s="631">
        <v>1</v>
      </c>
      <c r="D14" s="674">
        <v>8</v>
      </c>
      <c r="E14" s="682" t="s">
        <v>2150</v>
      </c>
      <c r="F14" s="671">
        <v>368.58000000000004</v>
      </c>
      <c r="G14" s="647">
        <v>0.33551499704155474</v>
      </c>
      <c r="H14" s="634">
        <v>3</v>
      </c>
      <c r="I14" s="679">
        <v>0.375</v>
      </c>
      <c r="J14" s="685">
        <v>729.97</v>
      </c>
      <c r="K14" s="647">
        <v>0.66448500295844515</v>
      </c>
      <c r="L14" s="634">
        <v>5</v>
      </c>
      <c r="M14" s="679">
        <v>0.625</v>
      </c>
    </row>
    <row r="15" spans="1:13" ht="14.4" customHeight="1" x14ac:dyDescent="0.3">
      <c r="A15" s="666" t="s">
        <v>2151</v>
      </c>
      <c r="B15" s="671">
        <v>945806.02000000025</v>
      </c>
      <c r="C15" s="631">
        <v>1</v>
      </c>
      <c r="D15" s="674">
        <v>313</v>
      </c>
      <c r="E15" s="682" t="s">
        <v>2151</v>
      </c>
      <c r="F15" s="671">
        <v>600660.73000000021</v>
      </c>
      <c r="G15" s="647">
        <v>0.63507814213320413</v>
      </c>
      <c r="H15" s="634">
        <v>189</v>
      </c>
      <c r="I15" s="679">
        <v>0.60383386581469645</v>
      </c>
      <c r="J15" s="685">
        <v>345145.29000000004</v>
      </c>
      <c r="K15" s="647">
        <v>0.36492185786679593</v>
      </c>
      <c r="L15" s="634">
        <v>124</v>
      </c>
      <c r="M15" s="679">
        <v>0.3961661341853035</v>
      </c>
    </row>
    <row r="16" spans="1:13" ht="14.4" customHeight="1" x14ac:dyDescent="0.3">
      <c r="A16" s="666" t="s">
        <v>2152</v>
      </c>
      <c r="B16" s="671">
        <v>314.89999999999998</v>
      </c>
      <c r="C16" s="631">
        <v>1</v>
      </c>
      <c r="D16" s="674">
        <v>1</v>
      </c>
      <c r="E16" s="682" t="s">
        <v>2152</v>
      </c>
      <c r="F16" s="671">
        <v>314.89999999999998</v>
      </c>
      <c r="G16" s="647">
        <v>1</v>
      </c>
      <c r="H16" s="634">
        <v>1</v>
      </c>
      <c r="I16" s="679">
        <v>1</v>
      </c>
      <c r="J16" s="685"/>
      <c r="K16" s="647">
        <v>0</v>
      </c>
      <c r="L16" s="634"/>
      <c r="M16" s="679">
        <v>0</v>
      </c>
    </row>
    <row r="17" spans="1:13" ht="14.4" customHeight="1" x14ac:dyDescent="0.3">
      <c r="A17" s="666" t="s">
        <v>2153</v>
      </c>
      <c r="B17" s="671">
        <v>723.99</v>
      </c>
      <c r="C17" s="631">
        <v>1</v>
      </c>
      <c r="D17" s="674">
        <v>5</v>
      </c>
      <c r="E17" s="682" t="s">
        <v>2153</v>
      </c>
      <c r="F17" s="671">
        <v>605.17000000000007</v>
      </c>
      <c r="G17" s="647">
        <v>0.8358817110733574</v>
      </c>
      <c r="H17" s="634">
        <v>3</v>
      </c>
      <c r="I17" s="679">
        <v>0.6</v>
      </c>
      <c r="J17" s="685">
        <v>118.82</v>
      </c>
      <c r="K17" s="647">
        <v>0.16411828892664262</v>
      </c>
      <c r="L17" s="634">
        <v>2</v>
      </c>
      <c r="M17" s="679">
        <v>0.4</v>
      </c>
    </row>
    <row r="18" spans="1:13" ht="14.4" customHeight="1" x14ac:dyDescent="0.3">
      <c r="A18" s="666" t="s">
        <v>2154</v>
      </c>
      <c r="B18" s="671">
        <v>395705.22000000015</v>
      </c>
      <c r="C18" s="631">
        <v>1</v>
      </c>
      <c r="D18" s="674">
        <v>132</v>
      </c>
      <c r="E18" s="682" t="s">
        <v>2154</v>
      </c>
      <c r="F18" s="671">
        <v>222535.41000000009</v>
      </c>
      <c r="G18" s="647">
        <v>0.56237673589446202</v>
      </c>
      <c r="H18" s="634">
        <v>68</v>
      </c>
      <c r="I18" s="679">
        <v>0.51515151515151514</v>
      </c>
      <c r="J18" s="685">
        <v>173169.81000000006</v>
      </c>
      <c r="K18" s="647">
        <v>0.43762326410553792</v>
      </c>
      <c r="L18" s="634">
        <v>64</v>
      </c>
      <c r="M18" s="679">
        <v>0.48484848484848486</v>
      </c>
    </row>
    <row r="19" spans="1:13" ht="14.4" customHeight="1" x14ac:dyDescent="0.3">
      <c r="A19" s="666" t="s">
        <v>2155</v>
      </c>
      <c r="B19" s="671">
        <v>1978.94</v>
      </c>
      <c r="C19" s="631">
        <v>1</v>
      </c>
      <c r="D19" s="674">
        <v>1</v>
      </c>
      <c r="E19" s="682" t="s">
        <v>2155</v>
      </c>
      <c r="F19" s="671"/>
      <c r="G19" s="647">
        <v>0</v>
      </c>
      <c r="H19" s="634"/>
      <c r="I19" s="679">
        <v>0</v>
      </c>
      <c r="J19" s="685">
        <v>1978.94</v>
      </c>
      <c r="K19" s="647">
        <v>1</v>
      </c>
      <c r="L19" s="634">
        <v>1</v>
      </c>
      <c r="M19" s="679">
        <v>1</v>
      </c>
    </row>
    <row r="20" spans="1:13" ht="14.4" customHeight="1" x14ac:dyDescent="0.3">
      <c r="A20" s="666" t="s">
        <v>2156</v>
      </c>
      <c r="B20" s="671">
        <v>755.32</v>
      </c>
      <c r="C20" s="631">
        <v>1</v>
      </c>
      <c r="D20" s="674">
        <v>16</v>
      </c>
      <c r="E20" s="682" t="s">
        <v>2156</v>
      </c>
      <c r="F20" s="671">
        <v>755.32</v>
      </c>
      <c r="G20" s="647">
        <v>1</v>
      </c>
      <c r="H20" s="634">
        <v>16</v>
      </c>
      <c r="I20" s="679">
        <v>1</v>
      </c>
      <c r="J20" s="685"/>
      <c r="K20" s="647">
        <v>0</v>
      </c>
      <c r="L20" s="634"/>
      <c r="M20" s="679">
        <v>0</v>
      </c>
    </row>
    <row r="21" spans="1:13" ht="14.4" customHeight="1" x14ac:dyDescent="0.3">
      <c r="A21" s="666" t="s">
        <v>2157</v>
      </c>
      <c r="B21" s="671">
        <v>2668.11</v>
      </c>
      <c r="C21" s="631">
        <v>1</v>
      </c>
      <c r="D21" s="674">
        <v>13</v>
      </c>
      <c r="E21" s="682" t="s">
        <v>2157</v>
      </c>
      <c r="F21" s="671">
        <v>1475.0900000000001</v>
      </c>
      <c r="G21" s="647">
        <v>0.55285951478762119</v>
      </c>
      <c r="H21" s="634">
        <v>7</v>
      </c>
      <c r="I21" s="679">
        <v>0.53846153846153844</v>
      </c>
      <c r="J21" s="685">
        <v>1193.02</v>
      </c>
      <c r="K21" s="647">
        <v>0.44714048521237876</v>
      </c>
      <c r="L21" s="634">
        <v>6</v>
      </c>
      <c r="M21" s="679">
        <v>0.46153846153846156</v>
      </c>
    </row>
    <row r="22" spans="1:13" ht="14.4" customHeight="1" x14ac:dyDescent="0.3">
      <c r="A22" s="666" t="s">
        <v>2158</v>
      </c>
      <c r="B22" s="671">
        <v>901.06</v>
      </c>
      <c r="C22" s="631">
        <v>1</v>
      </c>
      <c r="D22" s="674">
        <v>7</v>
      </c>
      <c r="E22" s="682" t="s">
        <v>2158</v>
      </c>
      <c r="F22" s="671">
        <v>218.82</v>
      </c>
      <c r="G22" s="647">
        <v>0.24284731316449515</v>
      </c>
      <c r="H22" s="634">
        <v>3</v>
      </c>
      <c r="I22" s="679">
        <v>0.42857142857142855</v>
      </c>
      <c r="J22" s="685">
        <v>682.24</v>
      </c>
      <c r="K22" s="647">
        <v>0.75715268683550485</v>
      </c>
      <c r="L22" s="634">
        <v>4</v>
      </c>
      <c r="M22" s="679">
        <v>0.5714285714285714</v>
      </c>
    </row>
    <row r="23" spans="1:13" ht="14.4" customHeight="1" x14ac:dyDescent="0.3">
      <c r="A23" s="666" t="s">
        <v>2159</v>
      </c>
      <c r="B23" s="671">
        <v>1378404.82</v>
      </c>
      <c r="C23" s="631">
        <v>1</v>
      </c>
      <c r="D23" s="674">
        <v>547.5</v>
      </c>
      <c r="E23" s="682" t="s">
        <v>2159</v>
      </c>
      <c r="F23" s="671">
        <v>724534.39999999991</v>
      </c>
      <c r="G23" s="647">
        <v>0.52563252064077948</v>
      </c>
      <c r="H23" s="634">
        <v>273</v>
      </c>
      <c r="I23" s="679">
        <v>0.49863013698630138</v>
      </c>
      <c r="J23" s="685">
        <v>653870.42000000016</v>
      </c>
      <c r="K23" s="647">
        <v>0.47436747935922058</v>
      </c>
      <c r="L23" s="634">
        <v>274.5</v>
      </c>
      <c r="M23" s="679">
        <v>0.50136986301369868</v>
      </c>
    </row>
    <row r="24" spans="1:13" ht="14.4" customHeight="1" x14ac:dyDescent="0.3">
      <c r="A24" s="666" t="s">
        <v>2160</v>
      </c>
      <c r="B24" s="671">
        <v>198.04</v>
      </c>
      <c r="C24" s="631">
        <v>1</v>
      </c>
      <c r="D24" s="674">
        <v>1</v>
      </c>
      <c r="E24" s="682" t="s">
        <v>2160</v>
      </c>
      <c r="F24" s="671">
        <v>198.04</v>
      </c>
      <c r="G24" s="647">
        <v>1</v>
      </c>
      <c r="H24" s="634">
        <v>1</v>
      </c>
      <c r="I24" s="679">
        <v>1</v>
      </c>
      <c r="J24" s="685"/>
      <c r="K24" s="647">
        <v>0</v>
      </c>
      <c r="L24" s="634"/>
      <c r="M24" s="679">
        <v>0</v>
      </c>
    </row>
    <row r="25" spans="1:13" ht="14.4" customHeight="1" x14ac:dyDescent="0.3">
      <c r="A25" s="666" t="s">
        <v>2161</v>
      </c>
      <c r="B25" s="671">
        <v>74.06</v>
      </c>
      <c r="C25" s="631">
        <v>1</v>
      </c>
      <c r="D25" s="674">
        <v>2</v>
      </c>
      <c r="E25" s="682" t="s">
        <v>2161</v>
      </c>
      <c r="F25" s="671">
        <v>74.06</v>
      </c>
      <c r="G25" s="647">
        <v>1</v>
      </c>
      <c r="H25" s="634">
        <v>2</v>
      </c>
      <c r="I25" s="679">
        <v>1</v>
      </c>
      <c r="J25" s="685"/>
      <c r="K25" s="647">
        <v>0</v>
      </c>
      <c r="L25" s="634"/>
      <c r="M25" s="679">
        <v>0</v>
      </c>
    </row>
    <row r="26" spans="1:13" ht="14.4" customHeight="1" x14ac:dyDescent="0.3">
      <c r="A26" s="666" t="s">
        <v>2162</v>
      </c>
      <c r="B26" s="671">
        <v>2429.25</v>
      </c>
      <c r="C26" s="631">
        <v>1</v>
      </c>
      <c r="D26" s="674">
        <v>6</v>
      </c>
      <c r="E26" s="682" t="s">
        <v>2162</v>
      </c>
      <c r="F26" s="671">
        <v>810.21</v>
      </c>
      <c r="G26" s="647">
        <v>0.3335226921889472</v>
      </c>
      <c r="H26" s="634">
        <v>1</v>
      </c>
      <c r="I26" s="679">
        <v>0.16666666666666666</v>
      </c>
      <c r="J26" s="685">
        <v>1619.04</v>
      </c>
      <c r="K26" s="647">
        <v>0.66647730781105274</v>
      </c>
      <c r="L26" s="634">
        <v>5</v>
      </c>
      <c r="M26" s="679">
        <v>0.83333333333333337</v>
      </c>
    </row>
    <row r="27" spans="1:13" ht="14.4" customHeight="1" x14ac:dyDescent="0.3">
      <c r="A27" s="666" t="s">
        <v>2163</v>
      </c>
      <c r="B27" s="671">
        <v>1794.7</v>
      </c>
      <c r="C27" s="631">
        <v>1</v>
      </c>
      <c r="D27" s="674">
        <v>3</v>
      </c>
      <c r="E27" s="682" t="s">
        <v>2163</v>
      </c>
      <c r="F27" s="671">
        <v>1794.7</v>
      </c>
      <c r="G27" s="647">
        <v>1</v>
      </c>
      <c r="H27" s="634">
        <v>3</v>
      </c>
      <c r="I27" s="679">
        <v>1</v>
      </c>
      <c r="J27" s="685"/>
      <c r="K27" s="647">
        <v>0</v>
      </c>
      <c r="L27" s="634"/>
      <c r="M27" s="679">
        <v>0</v>
      </c>
    </row>
    <row r="28" spans="1:13" ht="14.4" customHeight="1" x14ac:dyDescent="0.3">
      <c r="A28" s="666" t="s">
        <v>2164</v>
      </c>
      <c r="B28" s="671">
        <v>108150.57999999999</v>
      </c>
      <c r="C28" s="631">
        <v>1</v>
      </c>
      <c r="D28" s="674">
        <v>17</v>
      </c>
      <c r="E28" s="682" t="s">
        <v>2164</v>
      </c>
      <c r="F28" s="671">
        <v>24987.010000000002</v>
      </c>
      <c r="G28" s="647">
        <v>0.23103907533366908</v>
      </c>
      <c r="H28" s="634">
        <v>16</v>
      </c>
      <c r="I28" s="679">
        <v>0.94117647058823528</v>
      </c>
      <c r="J28" s="685">
        <v>83163.569999999992</v>
      </c>
      <c r="K28" s="647">
        <v>0.76896092466633104</v>
      </c>
      <c r="L28" s="634">
        <v>1</v>
      </c>
      <c r="M28" s="679">
        <v>5.8823529411764705E-2</v>
      </c>
    </row>
    <row r="29" spans="1:13" ht="14.4" customHeight="1" x14ac:dyDescent="0.3">
      <c r="A29" s="666" t="s">
        <v>2165</v>
      </c>
      <c r="B29" s="671">
        <v>1673.74</v>
      </c>
      <c r="C29" s="631">
        <v>1</v>
      </c>
      <c r="D29" s="674">
        <v>7</v>
      </c>
      <c r="E29" s="682" t="s">
        <v>2165</v>
      </c>
      <c r="F29" s="671">
        <v>1673.74</v>
      </c>
      <c r="G29" s="647">
        <v>1</v>
      </c>
      <c r="H29" s="634">
        <v>7</v>
      </c>
      <c r="I29" s="679">
        <v>1</v>
      </c>
      <c r="J29" s="685"/>
      <c r="K29" s="647">
        <v>0</v>
      </c>
      <c r="L29" s="634"/>
      <c r="M29" s="679">
        <v>0</v>
      </c>
    </row>
    <row r="30" spans="1:13" ht="14.4" customHeight="1" x14ac:dyDescent="0.3">
      <c r="A30" s="666" t="s">
        <v>2166</v>
      </c>
      <c r="B30" s="671">
        <v>38.65</v>
      </c>
      <c r="C30" s="631">
        <v>1</v>
      </c>
      <c r="D30" s="674">
        <v>3</v>
      </c>
      <c r="E30" s="682" t="s">
        <v>2166</v>
      </c>
      <c r="F30" s="671">
        <v>38.65</v>
      </c>
      <c r="G30" s="647">
        <v>1</v>
      </c>
      <c r="H30" s="634">
        <v>3</v>
      </c>
      <c r="I30" s="679">
        <v>1</v>
      </c>
      <c r="J30" s="685"/>
      <c r="K30" s="647">
        <v>0</v>
      </c>
      <c r="L30" s="634"/>
      <c r="M30" s="679">
        <v>0</v>
      </c>
    </row>
    <row r="31" spans="1:13" ht="14.4" customHeight="1" x14ac:dyDescent="0.3">
      <c r="A31" s="666" t="s">
        <v>2167</v>
      </c>
      <c r="B31" s="671">
        <v>4177.71</v>
      </c>
      <c r="C31" s="631">
        <v>1</v>
      </c>
      <c r="D31" s="674">
        <v>5</v>
      </c>
      <c r="E31" s="682" t="s">
        <v>2167</v>
      </c>
      <c r="F31" s="671">
        <v>3981.95</v>
      </c>
      <c r="G31" s="647">
        <v>0.95314179299185431</v>
      </c>
      <c r="H31" s="634">
        <v>3</v>
      </c>
      <c r="I31" s="679">
        <v>0.6</v>
      </c>
      <c r="J31" s="685">
        <v>195.76</v>
      </c>
      <c r="K31" s="647">
        <v>4.6858207008145608E-2</v>
      </c>
      <c r="L31" s="634">
        <v>2</v>
      </c>
      <c r="M31" s="679">
        <v>0.4</v>
      </c>
    </row>
    <row r="32" spans="1:13" ht="14.4" customHeight="1" x14ac:dyDescent="0.3">
      <c r="A32" s="666" t="s">
        <v>2168</v>
      </c>
      <c r="B32" s="671">
        <v>65.069999999999993</v>
      </c>
      <c r="C32" s="631">
        <v>1</v>
      </c>
      <c r="D32" s="674">
        <v>1</v>
      </c>
      <c r="E32" s="682" t="s">
        <v>2168</v>
      </c>
      <c r="F32" s="671">
        <v>65.069999999999993</v>
      </c>
      <c r="G32" s="647">
        <v>1</v>
      </c>
      <c r="H32" s="634">
        <v>1</v>
      </c>
      <c r="I32" s="679">
        <v>1</v>
      </c>
      <c r="J32" s="685"/>
      <c r="K32" s="647">
        <v>0</v>
      </c>
      <c r="L32" s="634"/>
      <c r="M32" s="679">
        <v>0</v>
      </c>
    </row>
    <row r="33" spans="1:13" ht="14.4" customHeight="1" thickBot="1" x14ac:dyDescent="0.35">
      <c r="A33" s="667" t="s">
        <v>2169</v>
      </c>
      <c r="B33" s="672">
        <v>1333.5</v>
      </c>
      <c r="C33" s="637">
        <v>1</v>
      </c>
      <c r="D33" s="675">
        <v>2</v>
      </c>
      <c r="E33" s="683" t="s">
        <v>2169</v>
      </c>
      <c r="F33" s="672">
        <v>889</v>
      </c>
      <c r="G33" s="648">
        <v>0.66666666666666663</v>
      </c>
      <c r="H33" s="640">
        <v>1</v>
      </c>
      <c r="I33" s="680">
        <v>0.5</v>
      </c>
      <c r="J33" s="686">
        <v>444.5</v>
      </c>
      <c r="K33" s="648">
        <v>0.33333333333333331</v>
      </c>
      <c r="L33" s="640">
        <v>1</v>
      </c>
      <c r="M33" s="680">
        <v>0.5</v>
      </c>
    </row>
  </sheetData>
  <autoFilter ref="A4:N4"/>
  <mergeCells count="4">
    <mergeCell ref="A1:M1"/>
    <mergeCell ref="B3:D3"/>
    <mergeCell ref="F3:I3"/>
    <mergeCell ref="J3:M3"/>
  </mergeCells>
  <conditionalFormatting sqref="G4:G1048576">
    <cfRule type="cellIs" dxfId="38" priority="3" stopIfTrue="1" operator="lessThan">
      <formula>0.6</formula>
    </cfRule>
  </conditionalFormatting>
  <conditionalFormatting sqref="J5:J1048576">
    <cfRule type="dataBar" priority="1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{E480ADD4-2810-4060-A9FE-A649FEFEF1AC}</x14:id>
        </ext>
      </extLs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E480ADD4-2810-4060-A9FE-A649FEFEF1AC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J5:J1048576</xm:sqref>
        </x14:conditionalFormatting>
      </x14:conditionalFormattings>
    </ext>
  </extLst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2">
    <tabColor theme="0" tint="-0.249977111117893"/>
    <pageSetUpPr fitToPage="1"/>
  </sheetPr>
  <dimension ref="A1:U774"/>
  <sheetViews>
    <sheetView showGridLines="0" showRowColHeaders="0" workbookViewId="0">
      <pane ySplit="6" topLeftCell="A7" activePane="bottomLeft" state="frozen"/>
      <selection activeCell="N30" sqref="N30"/>
      <selection pane="bottomLeft" sqref="A1:U1"/>
    </sheetView>
  </sheetViews>
  <sheetFormatPr defaultRowHeight="14.4" customHeight="1" outlineLevelCol="1" x14ac:dyDescent="0.3"/>
  <cols>
    <col min="1" max="1" width="9.77734375" style="257" hidden="1" customWidth="1" outlineLevel="1"/>
    <col min="2" max="2" width="28.33203125" style="257" hidden="1" customWidth="1" outlineLevel="1"/>
    <col min="3" max="3" width="9" style="257" customWidth="1" collapsed="1"/>
    <col min="4" max="4" width="18.77734375" style="351" customWidth="1"/>
    <col min="5" max="5" width="13.5546875" style="341" customWidth="1"/>
    <col min="6" max="6" width="6" style="257" bestFit="1" customWidth="1"/>
    <col min="7" max="7" width="8.77734375" style="257" customWidth="1"/>
    <col min="8" max="8" width="5" style="257" bestFit="1" customWidth="1"/>
    <col min="9" max="9" width="8.5546875" style="257" hidden="1" customWidth="1" outlineLevel="1"/>
    <col min="10" max="10" width="25.77734375" style="257" customWidth="1" collapsed="1"/>
    <col min="11" max="11" width="8.77734375" style="257" customWidth="1"/>
    <col min="12" max="12" width="7.77734375" style="342" customWidth="1"/>
    <col min="13" max="13" width="11.109375" style="342" customWidth="1"/>
    <col min="14" max="14" width="7.77734375" style="257" customWidth="1"/>
    <col min="15" max="15" width="7.77734375" style="352" customWidth="1"/>
    <col min="16" max="16" width="11.109375" style="342" customWidth="1"/>
    <col min="17" max="17" width="5.44140625" style="343" bestFit="1" customWidth="1"/>
    <col min="18" max="18" width="7.77734375" style="257" customWidth="1"/>
    <col min="19" max="19" width="5.44140625" style="343" bestFit="1" customWidth="1"/>
    <col min="20" max="20" width="7.77734375" style="352" customWidth="1"/>
    <col min="21" max="21" width="5.44140625" style="343" bestFit="1" customWidth="1"/>
    <col min="22" max="16384" width="8.88671875" style="257"/>
  </cols>
  <sheetData>
    <row r="1" spans="1:21" ht="18.600000000000001" customHeight="1" thickBot="1" x14ac:dyDescent="0.4">
      <c r="A1" s="487" t="s">
        <v>3239</v>
      </c>
      <c r="B1" s="459"/>
      <c r="C1" s="459"/>
      <c r="D1" s="459"/>
      <c r="E1" s="459"/>
      <c r="F1" s="459"/>
      <c r="G1" s="459"/>
      <c r="H1" s="459"/>
      <c r="I1" s="459"/>
      <c r="J1" s="459"/>
      <c r="K1" s="459"/>
      <c r="L1" s="459"/>
      <c r="M1" s="459"/>
      <c r="N1" s="459"/>
      <c r="O1" s="459"/>
      <c r="P1" s="459"/>
      <c r="Q1" s="459"/>
      <c r="R1" s="459"/>
      <c r="S1" s="459"/>
      <c r="T1" s="459"/>
      <c r="U1" s="459"/>
    </row>
    <row r="2" spans="1:21" ht="14.4" customHeight="1" thickBot="1" x14ac:dyDescent="0.35">
      <c r="A2" s="386" t="s">
        <v>321</v>
      </c>
      <c r="B2" s="349"/>
      <c r="C2" s="339"/>
      <c r="D2" s="339"/>
      <c r="E2" s="350"/>
      <c r="F2" s="339"/>
      <c r="G2" s="339"/>
      <c r="H2" s="339"/>
      <c r="I2" s="339"/>
      <c r="J2" s="339"/>
      <c r="K2" s="339"/>
      <c r="L2" s="339"/>
      <c r="M2" s="339"/>
      <c r="N2" s="339"/>
      <c r="O2" s="339"/>
      <c r="P2" s="339"/>
      <c r="Q2" s="339"/>
      <c r="R2" s="339"/>
      <c r="S2" s="339"/>
      <c r="T2" s="339"/>
      <c r="U2" s="339"/>
    </row>
    <row r="3" spans="1:21" ht="14.4" customHeight="1" thickBot="1" x14ac:dyDescent="0.35">
      <c r="A3" s="513"/>
      <c r="B3" s="514"/>
      <c r="C3" s="514"/>
      <c r="D3" s="514"/>
      <c r="E3" s="514"/>
      <c r="F3" s="514"/>
      <c r="G3" s="514"/>
      <c r="H3" s="514"/>
      <c r="I3" s="514"/>
      <c r="J3" s="514"/>
      <c r="K3" s="515" t="s">
        <v>160</v>
      </c>
      <c r="L3" s="516"/>
      <c r="M3" s="70">
        <f>SUBTOTAL(9,M7:M1048576)</f>
        <v>4183497.5499999975</v>
      </c>
      <c r="N3" s="70">
        <f>SUBTOTAL(9,N7:N1048576)</f>
        <v>5150</v>
      </c>
      <c r="O3" s="70">
        <f>SUBTOTAL(9,O7:O1048576)</f>
        <v>1532.5</v>
      </c>
      <c r="P3" s="70">
        <f>SUBTOTAL(9,P7:P1048576)</f>
        <v>2317287.34</v>
      </c>
      <c r="Q3" s="71">
        <f>IF(M3=0,0,P3/M3)</f>
        <v>0.55391148490095354</v>
      </c>
      <c r="R3" s="70">
        <f>SUBTOTAL(9,R7:R1048576)</f>
        <v>2745</v>
      </c>
      <c r="S3" s="71">
        <f>IF(N3=0,0,R3/N3)</f>
        <v>0.53300970873786413</v>
      </c>
      <c r="T3" s="70">
        <f>SUBTOTAL(9,T7:T1048576)</f>
        <v>864</v>
      </c>
      <c r="U3" s="72">
        <f>IF(O3=0,0,T3/O3)</f>
        <v>0.5637846655791191</v>
      </c>
    </row>
    <row r="4" spans="1:21" ht="14.4" customHeight="1" x14ac:dyDescent="0.3">
      <c r="A4" s="73"/>
      <c r="B4" s="74"/>
      <c r="C4" s="74"/>
      <c r="D4" s="75"/>
      <c r="E4" s="272"/>
      <c r="F4" s="74"/>
      <c r="G4" s="74"/>
      <c r="H4" s="74"/>
      <c r="I4" s="74"/>
      <c r="J4" s="74"/>
      <c r="K4" s="74"/>
      <c r="L4" s="74"/>
      <c r="M4" s="517" t="s">
        <v>15</v>
      </c>
      <c r="N4" s="518"/>
      <c r="O4" s="518"/>
      <c r="P4" s="519" t="s">
        <v>21</v>
      </c>
      <c r="Q4" s="518"/>
      <c r="R4" s="518"/>
      <c r="S4" s="518"/>
      <c r="T4" s="518"/>
      <c r="U4" s="520"/>
    </row>
    <row r="5" spans="1:21" ht="14.4" customHeight="1" thickBot="1" x14ac:dyDescent="0.35">
      <c r="A5" s="76"/>
      <c r="B5" s="77"/>
      <c r="C5" s="74"/>
      <c r="D5" s="75"/>
      <c r="E5" s="272"/>
      <c r="F5" s="74"/>
      <c r="G5" s="74"/>
      <c r="H5" s="74"/>
      <c r="I5" s="74"/>
      <c r="J5" s="74"/>
      <c r="K5" s="74"/>
      <c r="L5" s="74"/>
      <c r="M5" s="110" t="s">
        <v>22</v>
      </c>
      <c r="N5" s="111" t="s">
        <v>13</v>
      </c>
      <c r="O5" s="111" t="s">
        <v>20</v>
      </c>
      <c r="P5" s="510" t="s">
        <v>22</v>
      </c>
      <c r="Q5" s="511"/>
      <c r="R5" s="510" t="s">
        <v>13</v>
      </c>
      <c r="S5" s="511"/>
      <c r="T5" s="510" t="s">
        <v>20</v>
      </c>
      <c r="U5" s="512"/>
    </row>
    <row r="6" spans="1:21" s="341" customFormat="1" ht="14.4" customHeight="1" thickBot="1" x14ac:dyDescent="0.35">
      <c r="A6" s="687" t="s">
        <v>23</v>
      </c>
      <c r="B6" s="688" t="s">
        <v>5</v>
      </c>
      <c r="C6" s="687" t="s">
        <v>24</v>
      </c>
      <c r="D6" s="688" t="s">
        <v>6</v>
      </c>
      <c r="E6" s="688" t="s">
        <v>194</v>
      </c>
      <c r="F6" s="688" t="s">
        <v>25</v>
      </c>
      <c r="G6" s="688" t="s">
        <v>26</v>
      </c>
      <c r="H6" s="688" t="s">
        <v>8</v>
      </c>
      <c r="I6" s="688" t="s">
        <v>10</v>
      </c>
      <c r="J6" s="688" t="s">
        <v>11</v>
      </c>
      <c r="K6" s="688" t="s">
        <v>12</v>
      </c>
      <c r="L6" s="688" t="s">
        <v>27</v>
      </c>
      <c r="M6" s="689" t="s">
        <v>14</v>
      </c>
      <c r="N6" s="690" t="s">
        <v>28</v>
      </c>
      <c r="O6" s="690" t="s">
        <v>28</v>
      </c>
      <c r="P6" s="690" t="s">
        <v>14</v>
      </c>
      <c r="Q6" s="690" t="s">
        <v>2</v>
      </c>
      <c r="R6" s="690" t="s">
        <v>28</v>
      </c>
      <c r="S6" s="690" t="s">
        <v>2</v>
      </c>
      <c r="T6" s="690" t="s">
        <v>28</v>
      </c>
      <c r="U6" s="691" t="s">
        <v>2</v>
      </c>
    </row>
    <row r="7" spans="1:21" ht="14.4" customHeight="1" x14ac:dyDescent="0.3">
      <c r="A7" s="624">
        <v>7</v>
      </c>
      <c r="B7" s="625" t="s">
        <v>1978</v>
      </c>
      <c r="C7" s="625">
        <v>89301072</v>
      </c>
      <c r="D7" s="692" t="s">
        <v>3237</v>
      </c>
      <c r="E7" s="693" t="s">
        <v>2141</v>
      </c>
      <c r="F7" s="625" t="s">
        <v>2133</v>
      </c>
      <c r="G7" s="625" t="s">
        <v>2170</v>
      </c>
      <c r="H7" s="625" t="s">
        <v>547</v>
      </c>
      <c r="I7" s="625" t="s">
        <v>2171</v>
      </c>
      <c r="J7" s="625" t="s">
        <v>2172</v>
      </c>
      <c r="K7" s="625" t="s">
        <v>2173</v>
      </c>
      <c r="L7" s="626">
        <v>0</v>
      </c>
      <c r="M7" s="626">
        <v>0</v>
      </c>
      <c r="N7" s="625">
        <v>1</v>
      </c>
      <c r="O7" s="694">
        <v>0.5</v>
      </c>
      <c r="P7" s="626">
        <v>0</v>
      </c>
      <c r="Q7" s="646"/>
      <c r="R7" s="625">
        <v>1</v>
      </c>
      <c r="S7" s="646">
        <v>1</v>
      </c>
      <c r="T7" s="694">
        <v>0.5</v>
      </c>
      <c r="U7" s="678">
        <v>1</v>
      </c>
    </row>
    <row r="8" spans="1:21" ht="14.4" customHeight="1" x14ac:dyDescent="0.3">
      <c r="A8" s="695">
        <v>7</v>
      </c>
      <c r="B8" s="696" t="s">
        <v>1978</v>
      </c>
      <c r="C8" s="696">
        <v>89301072</v>
      </c>
      <c r="D8" s="697" t="s">
        <v>3237</v>
      </c>
      <c r="E8" s="698" t="s">
        <v>2141</v>
      </c>
      <c r="F8" s="696" t="s">
        <v>2133</v>
      </c>
      <c r="G8" s="696" t="s">
        <v>2174</v>
      </c>
      <c r="H8" s="696" t="s">
        <v>1438</v>
      </c>
      <c r="I8" s="696" t="s">
        <v>2175</v>
      </c>
      <c r="J8" s="696" t="s">
        <v>2176</v>
      </c>
      <c r="K8" s="696" t="s">
        <v>2177</v>
      </c>
      <c r="L8" s="699">
        <v>961.21</v>
      </c>
      <c r="M8" s="699">
        <v>961.21</v>
      </c>
      <c r="N8" s="696">
        <v>1</v>
      </c>
      <c r="O8" s="700">
        <v>0.5</v>
      </c>
      <c r="P8" s="699">
        <v>961.21</v>
      </c>
      <c r="Q8" s="701">
        <v>1</v>
      </c>
      <c r="R8" s="696">
        <v>1</v>
      </c>
      <c r="S8" s="701">
        <v>1</v>
      </c>
      <c r="T8" s="700">
        <v>0.5</v>
      </c>
      <c r="U8" s="702">
        <v>1</v>
      </c>
    </row>
    <row r="9" spans="1:21" ht="14.4" customHeight="1" x14ac:dyDescent="0.3">
      <c r="A9" s="695">
        <v>7</v>
      </c>
      <c r="B9" s="696" t="s">
        <v>1978</v>
      </c>
      <c r="C9" s="696">
        <v>89301072</v>
      </c>
      <c r="D9" s="697" t="s">
        <v>3237</v>
      </c>
      <c r="E9" s="698" t="s">
        <v>2142</v>
      </c>
      <c r="F9" s="696" t="s">
        <v>2133</v>
      </c>
      <c r="G9" s="696" t="s">
        <v>2178</v>
      </c>
      <c r="H9" s="696" t="s">
        <v>547</v>
      </c>
      <c r="I9" s="696" t="s">
        <v>2179</v>
      </c>
      <c r="J9" s="696" t="s">
        <v>2180</v>
      </c>
      <c r="K9" s="696" t="s">
        <v>2181</v>
      </c>
      <c r="L9" s="699">
        <v>481.8</v>
      </c>
      <c r="M9" s="699">
        <v>963.6</v>
      </c>
      <c r="N9" s="696">
        <v>2</v>
      </c>
      <c r="O9" s="700">
        <v>2</v>
      </c>
      <c r="P9" s="699"/>
      <c r="Q9" s="701">
        <v>0</v>
      </c>
      <c r="R9" s="696"/>
      <c r="S9" s="701">
        <v>0</v>
      </c>
      <c r="T9" s="700"/>
      <c r="U9" s="702">
        <v>0</v>
      </c>
    </row>
    <row r="10" spans="1:21" ht="14.4" customHeight="1" x14ac:dyDescent="0.3">
      <c r="A10" s="695">
        <v>7</v>
      </c>
      <c r="B10" s="696" t="s">
        <v>1978</v>
      </c>
      <c r="C10" s="696">
        <v>89301072</v>
      </c>
      <c r="D10" s="697" t="s">
        <v>3237</v>
      </c>
      <c r="E10" s="698" t="s">
        <v>2143</v>
      </c>
      <c r="F10" s="696" t="s">
        <v>2133</v>
      </c>
      <c r="G10" s="696" t="s">
        <v>2182</v>
      </c>
      <c r="H10" s="696" t="s">
        <v>1438</v>
      </c>
      <c r="I10" s="696" t="s">
        <v>2183</v>
      </c>
      <c r="J10" s="696" t="s">
        <v>2184</v>
      </c>
      <c r="K10" s="696" t="s">
        <v>2185</v>
      </c>
      <c r="L10" s="699">
        <v>0</v>
      </c>
      <c r="M10" s="699">
        <v>0</v>
      </c>
      <c r="N10" s="696">
        <v>1</v>
      </c>
      <c r="O10" s="700">
        <v>0.5</v>
      </c>
      <c r="P10" s="699">
        <v>0</v>
      </c>
      <c r="Q10" s="701"/>
      <c r="R10" s="696">
        <v>1</v>
      </c>
      <c r="S10" s="701">
        <v>1</v>
      </c>
      <c r="T10" s="700">
        <v>0.5</v>
      </c>
      <c r="U10" s="702">
        <v>1</v>
      </c>
    </row>
    <row r="11" spans="1:21" ht="14.4" customHeight="1" x14ac:dyDescent="0.3">
      <c r="A11" s="695">
        <v>7</v>
      </c>
      <c r="B11" s="696" t="s">
        <v>1978</v>
      </c>
      <c r="C11" s="696">
        <v>89301072</v>
      </c>
      <c r="D11" s="697" t="s">
        <v>3237</v>
      </c>
      <c r="E11" s="698" t="s">
        <v>2143</v>
      </c>
      <c r="F11" s="696" t="s">
        <v>2133</v>
      </c>
      <c r="G11" s="696" t="s">
        <v>2186</v>
      </c>
      <c r="H11" s="696" t="s">
        <v>1438</v>
      </c>
      <c r="I11" s="696" t="s">
        <v>2187</v>
      </c>
      <c r="J11" s="696" t="s">
        <v>2188</v>
      </c>
      <c r="K11" s="696" t="s">
        <v>2189</v>
      </c>
      <c r="L11" s="699">
        <v>625.29</v>
      </c>
      <c r="M11" s="699">
        <v>1250.58</v>
      </c>
      <c r="N11" s="696">
        <v>2</v>
      </c>
      <c r="O11" s="700">
        <v>0.5</v>
      </c>
      <c r="P11" s="699">
        <v>625.29</v>
      </c>
      <c r="Q11" s="701">
        <v>0.5</v>
      </c>
      <c r="R11" s="696">
        <v>1</v>
      </c>
      <c r="S11" s="701">
        <v>0.5</v>
      </c>
      <c r="T11" s="700">
        <v>0.5</v>
      </c>
      <c r="U11" s="702">
        <v>1</v>
      </c>
    </row>
    <row r="12" spans="1:21" ht="14.4" customHeight="1" x14ac:dyDescent="0.3">
      <c r="A12" s="695">
        <v>7</v>
      </c>
      <c r="B12" s="696" t="s">
        <v>1978</v>
      </c>
      <c r="C12" s="696">
        <v>89301072</v>
      </c>
      <c r="D12" s="697" t="s">
        <v>3237</v>
      </c>
      <c r="E12" s="698" t="s">
        <v>2143</v>
      </c>
      <c r="F12" s="696" t="s">
        <v>2133</v>
      </c>
      <c r="G12" s="696" t="s">
        <v>2190</v>
      </c>
      <c r="H12" s="696" t="s">
        <v>547</v>
      </c>
      <c r="I12" s="696" t="s">
        <v>2191</v>
      </c>
      <c r="J12" s="696" t="s">
        <v>2192</v>
      </c>
      <c r="K12" s="696" t="s">
        <v>2193</v>
      </c>
      <c r="L12" s="699">
        <v>0</v>
      </c>
      <c r="M12" s="699">
        <v>0</v>
      </c>
      <c r="N12" s="696">
        <v>1</v>
      </c>
      <c r="O12" s="700">
        <v>1</v>
      </c>
      <c r="P12" s="699">
        <v>0</v>
      </c>
      <c r="Q12" s="701"/>
      <c r="R12" s="696">
        <v>1</v>
      </c>
      <c r="S12" s="701">
        <v>1</v>
      </c>
      <c r="T12" s="700">
        <v>1</v>
      </c>
      <c r="U12" s="702">
        <v>1</v>
      </c>
    </row>
    <row r="13" spans="1:21" ht="14.4" customHeight="1" x14ac:dyDescent="0.3">
      <c r="A13" s="695">
        <v>7</v>
      </c>
      <c r="B13" s="696" t="s">
        <v>1978</v>
      </c>
      <c r="C13" s="696">
        <v>89301072</v>
      </c>
      <c r="D13" s="697" t="s">
        <v>3237</v>
      </c>
      <c r="E13" s="698" t="s">
        <v>2143</v>
      </c>
      <c r="F13" s="696" t="s">
        <v>2133</v>
      </c>
      <c r="G13" s="696" t="s">
        <v>2194</v>
      </c>
      <c r="H13" s="696" t="s">
        <v>547</v>
      </c>
      <c r="I13" s="696" t="s">
        <v>2195</v>
      </c>
      <c r="J13" s="696" t="s">
        <v>2196</v>
      </c>
      <c r="K13" s="696" t="s">
        <v>2197</v>
      </c>
      <c r="L13" s="699">
        <v>0</v>
      </c>
      <c r="M13" s="699">
        <v>0</v>
      </c>
      <c r="N13" s="696">
        <v>1</v>
      </c>
      <c r="O13" s="700">
        <v>1</v>
      </c>
      <c r="P13" s="699">
        <v>0</v>
      </c>
      <c r="Q13" s="701"/>
      <c r="R13" s="696">
        <v>1</v>
      </c>
      <c r="S13" s="701">
        <v>1</v>
      </c>
      <c r="T13" s="700">
        <v>1</v>
      </c>
      <c r="U13" s="702">
        <v>1</v>
      </c>
    </row>
    <row r="14" spans="1:21" ht="14.4" customHeight="1" x14ac:dyDescent="0.3">
      <c r="A14" s="695">
        <v>7</v>
      </c>
      <c r="B14" s="696" t="s">
        <v>1978</v>
      </c>
      <c r="C14" s="696">
        <v>89301072</v>
      </c>
      <c r="D14" s="697" t="s">
        <v>3237</v>
      </c>
      <c r="E14" s="698" t="s">
        <v>2144</v>
      </c>
      <c r="F14" s="696" t="s">
        <v>2133</v>
      </c>
      <c r="G14" s="696" t="s">
        <v>2198</v>
      </c>
      <c r="H14" s="696" t="s">
        <v>547</v>
      </c>
      <c r="I14" s="696" t="s">
        <v>742</v>
      </c>
      <c r="J14" s="696" t="s">
        <v>2199</v>
      </c>
      <c r="K14" s="696" t="s">
        <v>2200</v>
      </c>
      <c r="L14" s="699">
        <v>0</v>
      </c>
      <c r="M14" s="699">
        <v>0</v>
      </c>
      <c r="N14" s="696">
        <v>2</v>
      </c>
      <c r="O14" s="700">
        <v>0.5</v>
      </c>
      <c r="P14" s="699">
        <v>0</v>
      </c>
      <c r="Q14" s="701"/>
      <c r="R14" s="696">
        <v>2</v>
      </c>
      <c r="S14" s="701">
        <v>1</v>
      </c>
      <c r="T14" s="700">
        <v>0.5</v>
      </c>
      <c r="U14" s="702">
        <v>1</v>
      </c>
    </row>
    <row r="15" spans="1:21" ht="14.4" customHeight="1" x14ac:dyDescent="0.3">
      <c r="A15" s="695">
        <v>7</v>
      </c>
      <c r="B15" s="696" t="s">
        <v>1978</v>
      </c>
      <c r="C15" s="696">
        <v>89301072</v>
      </c>
      <c r="D15" s="697" t="s">
        <v>3237</v>
      </c>
      <c r="E15" s="698" t="s">
        <v>2144</v>
      </c>
      <c r="F15" s="696" t="s">
        <v>2133</v>
      </c>
      <c r="G15" s="696" t="s">
        <v>2201</v>
      </c>
      <c r="H15" s="696" t="s">
        <v>1438</v>
      </c>
      <c r="I15" s="696" t="s">
        <v>2202</v>
      </c>
      <c r="J15" s="696" t="s">
        <v>2203</v>
      </c>
      <c r="K15" s="696" t="s">
        <v>2204</v>
      </c>
      <c r="L15" s="699">
        <v>163.72999999999999</v>
      </c>
      <c r="M15" s="699">
        <v>163.72999999999999</v>
      </c>
      <c r="N15" s="696">
        <v>1</v>
      </c>
      <c r="O15" s="700">
        <v>0.5</v>
      </c>
      <c r="P15" s="699">
        <v>163.72999999999999</v>
      </c>
      <c r="Q15" s="701">
        <v>1</v>
      </c>
      <c r="R15" s="696">
        <v>1</v>
      </c>
      <c r="S15" s="701">
        <v>1</v>
      </c>
      <c r="T15" s="700">
        <v>0.5</v>
      </c>
      <c r="U15" s="702">
        <v>1</v>
      </c>
    </row>
    <row r="16" spans="1:21" ht="14.4" customHeight="1" x14ac:dyDescent="0.3">
      <c r="A16" s="695">
        <v>7</v>
      </c>
      <c r="B16" s="696" t="s">
        <v>1978</v>
      </c>
      <c r="C16" s="696">
        <v>89301072</v>
      </c>
      <c r="D16" s="697" t="s">
        <v>3237</v>
      </c>
      <c r="E16" s="698" t="s">
        <v>2146</v>
      </c>
      <c r="F16" s="696" t="s">
        <v>2133</v>
      </c>
      <c r="G16" s="696" t="s">
        <v>2182</v>
      </c>
      <c r="H16" s="696" t="s">
        <v>1438</v>
      </c>
      <c r="I16" s="696" t="s">
        <v>2183</v>
      </c>
      <c r="J16" s="696" t="s">
        <v>2184</v>
      </c>
      <c r="K16" s="696" t="s">
        <v>2185</v>
      </c>
      <c r="L16" s="699">
        <v>0</v>
      </c>
      <c r="M16" s="699">
        <v>0</v>
      </c>
      <c r="N16" s="696">
        <v>1</v>
      </c>
      <c r="O16" s="700">
        <v>1</v>
      </c>
      <c r="P16" s="699">
        <v>0</v>
      </c>
      <c r="Q16" s="701"/>
      <c r="R16" s="696">
        <v>1</v>
      </c>
      <c r="S16" s="701">
        <v>1</v>
      </c>
      <c r="T16" s="700">
        <v>1</v>
      </c>
      <c r="U16" s="702">
        <v>1</v>
      </c>
    </row>
    <row r="17" spans="1:21" ht="14.4" customHeight="1" x14ac:dyDescent="0.3">
      <c r="A17" s="695">
        <v>7</v>
      </c>
      <c r="B17" s="696" t="s">
        <v>1978</v>
      </c>
      <c r="C17" s="696">
        <v>89301072</v>
      </c>
      <c r="D17" s="697" t="s">
        <v>3237</v>
      </c>
      <c r="E17" s="698" t="s">
        <v>2146</v>
      </c>
      <c r="F17" s="696" t="s">
        <v>2133</v>
      </c>
      <c r="G17" s="696" t="s">
        <v>2205</v>
      </c>
      <c r="H17" s="696" t="s">
        <v>547</v>
      </c>
      <c r="I17" s="696" t="s">
        <v>2206</v>
      </c>
      <c r="J17" s="696" t="s">
        <v>2207</v>
      </c>
      <c r="K17" s="696" t="s">
        <v>1458</v>
      </c>
      <c r="L17" s="699">
        <v>44.89</v>
      </c>
      <c r="M17" s="699">
        <v>134.67000000000002</v>
      </c>
      <c r="N17" s="696">
        <v>3</v>
      </c>
      <c r="O17" s="700">
        <v>0.5</v>
      </c>
      <c r="P17" s="699">
        <v>134.67000000000002</v>
      </c>
      <c r="Q17" s="701">
        <v>1</v>
      </c>
      <c r="R17" s="696">
        <v>3</v>
      </c>
      <c r="S17" s="701">
        <v>1</v>
      </c>
      <c r="T17" s="700">
        <v>0.5</v>
      </c>
      <c r="U17" s="702">
        <v>1</v>
      </c>
    </row>
    <row r="18" spans="1:21" ht="14.4" customHeight="1" x14ac:dyDescent="0.3">
      <c r="A18" s="695">
        <v>7</v>
      </c>
      <c r="B18" s="696" t="s">
        <v>1978</v>
      </c>
      <c r="C18" s="696">
        <v>89301072</v>
      </c>
      <c r="D18" s="697" t="s">
        <v>3237</v>
      </c>
      <c r="E18" s="698" t="s">
        <v>2146</v>
      </c>
      <c r="F18" s="696" t="s">
        <v>2133</v>
      </c>
      <c r="G18" s="696" t="s">
        <v>2208</v>
      </c>
      <c r="H18" s="696" t="s">
        <v>1438</v>
      </c>
      <c r="I18" s="696" t="s">
        <v>2209</v>
      </c>
      <c r="J18" s="696" t="s">
        <v>2210</v>
      </c>
      <c r="K18" s="696" t="s">
        <v>2211</v>
      </c>
      <c r="L18" s="699">
        <v>184.22</v>
      </c>
      <c r="M18" s="699">
        <v>368.44</v>
      </c>
      <c r="N18" s="696">
        <v>2</v>
      </c>
      <c r="O18" s="700">
        <v>0.5</v>
      </c>
      <c r="P18" s="699">
        <v>368.44</v>
      </c>
      <c r="Q18" s="701">
        <v>1</v>
      </c>
      <c r="R18" s="696">
        <v>2</v>
      </c>
      <c r="S18" s="701">
        <v>1</v>
      </c>
      <c r="T18" s="700">
        <v>0.5</v>
      </c>
      <c r="U18" s="702">
        <v>1</v>
      </c>
    </row>
    <row r="19" spans="1:21" ht="14.4" customHeight="1" x14ac:dyDescent="0.3">
      <c r="A19" s="695">
        <v>7</v>
      </c>
      <c r="B19" s="696" t="s">
        <v>1978</v>
      </c>
      <c r="C19" s="696">
        <v>89301072</v>
      </c>
      <c r="D19" s="697" t="s">
        <v>3237</v>
      </c>
      <c r="E19" s="698" t="s">
        <v>2146</v>
      </c>
      <c r="F19" s="696" t="s">
        <v>2133</v>
      </c>
      <c r="G19" s="696" t="s">
        <v>2212</v>
      </c>
      <c r="H19" s="696" t="s">
        <v>547</v>
      </c>
      <c r="I19" s="696" t="s">
        <v>2213</v>
      </c>
      <c r="J19" s="696" t="s">
        <v>2214</v>
      </c>
      <c r="K19" s="696" t="s">
        <v>2215</v>
      </c>
      <c r="L19" s="699">
        <v>0</v>
      </c>
      <c r="M19" s="699">
        <v>0</v>
      </c>
      <c r="N19" s="696">
        <v>3</v>
      </c>
      <c r="O19" s="700">
        <v>1</v>
      </c>
      <c r="P19" s="699">
        <v>0</v>
      </c>
      <c r="Q19" s="701"/>
      <c r="R19" s="696">
        <v>3</v>
      </c>
      <c r="S19" s="701">
        <v>1</v>
      </c>
      <c r="T19" s="700">
        <v>1</v>
      </c>
      <c r="U19" s="702">
        <v>1</v>
      </c>
    </row>
    <row r="20" spans="1:21" ht="14.4" customHeight="1" x14ac:dyDescent="0.3">
      <c r="A20" s="695">
        <v>7</v>
      </c>
      <c r="B20" s="696" t="s">
        <v>1978</v>
      </c>
      <c r="C20" s="696">
        <v>89301072</v>
      </c>
      <c r="D20" s="697" t="s">
        <v>3237</v>
      </c>
      <c r="E20" s="698" t="s">
        <v>2146</v>
      </c>
      <c r="F20" s="696" t="s">
        <v>2133</v>
      </c>
      <c r="G20" s="696" t="s">
        <v>2216</v>
      </c>
      <c r="H20" s="696" t="s">
        <v>1438</v>
      </c>
      <c r="I20" s="696" t="s">
        <v>2217</v>
      </c>
      <c r="J20" s="696" t="s">
        <v>2218</v>
      </c>
      <c r="K20" s="696" t="s">
        <v>2219</v>
      </c>
      <c r="L20" s="699">
        <v>249.54</v>
      </c>
      <c r="M20" s="699">
        <v>748.62</v>
      </c>
      <c r="N20" s="696">
        <v>3</v>
      </c>
      <c r="O20" s="700">
        <v>1</v>
      </c>
      <c r="P20" s="699">
        <v>748.62</v>
      </c>
      <c r="Q20" s="701">
        <v>1</v>
      </c>
      <c r="R20" s="696">
        <v>3</v>
      </c>
      <c r="S20" s="701">
        <v>1</v>
      </c>
      <c r="T20" s="700">
        <v>1</v>
      </c>
      <c r="U20" s="702">
        <v>1</v>
      </c>
    </row>
    <row r="21" spans="1:21" ht="14.4" customHeight="1" x14ac:dyDescent="0.3">
      <c r="A21" s="695">
        <v>7</v>
      </c>
      <c r="B21" s="696" t="s">
        <v>1978</v>
      </c>
      <c r="C21" s="696">
        <v>89301072</v>
      </c>
      <c r="D21" s="697" t="s">
        <v>3237</v>
      </c>
      <c r="E21" s="698" t="s">
        <v>2146</v>
      </c>
      <c r="F21" s="696" t="s">
        <v>2133</v>
      </c>
      <c r="G21" s="696" t="s">
        <v>2220</v>
      </c>
      <c r="H21" s="696" t="s">
        <v>547</v>
      </c>
      <c r="I21" s="696" t="s">
        <v>2221</v>
      </c>
      <c r="J21" s="696" t="s">
        <v>2222</v>
      </c>
      <c r="K21" s="696" t="s">
        <v>2223</v>
      </c>
      <c r="L21" s="699">
        <v>0</v>
      </c>
      <c r="M21" s="699">
        <v>0</v>
      </c>
      <c r="N21" s="696">
        <v>2</v>
      </c>
      <c r="O21" s="700">
        <v>0.5</v>
      </c>
      <c r="P21" s="699">
        <v>0</v>
      </c>
      <c r="Q21" s="701"/>
      <c r="R21" s="696">
        <v>2</v>
      </c>
      <c r="S21" s="701">
        <v>1</v>
      </c>
      <c r="T21" s="700">
        <v>0.5</v>
      </c>
      <c r="U21" s="702">
        <v>1</v>
      </c>
    </row>
    <row r="22" spans="1:21" ht="14.4" customHeight="1" x14ac:dyDescent="0.3">
      <c r="A22" s="695">
        <v>7</v>
      </c>
      <c r="B22" s="696" t="s">
        <v>1978</v>
      </c>
      <c r="C22" s="696">
        <v>89301072</v>
      </c>
      <c r="D22" s="697" t="s">
        <v>3237</v>
      </c>
      <c r="E22" s="698" t="s">
        <v>2146</v>
      </c>
      <c r="F22" s="696" t="s">
        <v>2133</v>
      </c>
      <c r="G22" s="696" t="s">
        <v>2224</v>
      </c>
      <c r="H22" s="696" t="s">
        <v>547</v>
      </c>
      <c r="I22" s="696" t="s">
        <v>2225</v>
      </c>
      <c r="J22" s="696" t="s">
        <v>1648</v>
      </c>
      <c r="K22" s="696" t="s">
        <v>2226</v>
      </c>
      <c r="L22" s="699">
        <v>35.75</v>
      </c>
      <c r="M22" s="699">
        <v>71.5</v>
      </c>
      <c r="N22" s="696">
        <v>2</v>
      </c>
      <c r="O22" s="700">
        <v>0.5</v>
      </c>
      <c r="P22" s="699">
        <v>71.5</v>
      </c>
      <c r="Q22" s="701">
        <v>1</v>
      </c>
      <c r="R22" s="696">
        <v>2</v>
      </c>
      <c r="S22" s="701">
        <v>1</v>
      </c>
      <c r="T22" s="700">
        <v>0.5</v>
      </c>
      <c r="U22" s="702">
        <v>1</v>
      </c>
    </row>
    <row r="23" spans="1:21" ht="14.4" customHeight="1" x14ac:dyDescent="0.3">
      <c r="A23" s="695">
        <v>7</v>
      </c>
      <c r="B23" s="696" t="s">
        <v>1978</v>
      </c>
      <c r="C23" s="696">
        <v>89301072</v>
      </c>
      <c r="D23" s="697" t="s">
        <v>3237</v>
      </c>
      <c r="E23" s="698" t="s">
        <v>2146</v>
      </c>
      <c r="F23" s="696" t="s">
        <v>2133</v>
      </c>
      <c r="G23" s="696" t="s">
        <v>2227</v>
      </c>
      <c r="H23" s="696" t="s">
        <v>547</v>
      </c>
      <c r="I23" s="696" t="s">
        <v>2228</v>
      </c>
      <c r="J23" s="696" t="s">
        <v>2229</v>
      </c>
      <c r="K23" s="696" t="s">
        <v>2230</v>
      </c>
      <c r="L23" s="699">
        <v>0</v>
      </c>
      <c r="M23" s="699">
        <v>0</v>
      </c>
      <c r="N23" s="696">
        <v>1</v>
      </c>
      <c r="O23" s="700">
        <v>0.5</v>
      </c>
      <c r="P23" s="699">
        <v>0</v>
      </c>
      <c r="Q23" s="701"/>
      <c r="R23" s="696">
        <v>1</v>
      </c>
      <c r="S23" s="701">
        <v>1</v>
      </c>
      <c r="T23" s="700">
        <v>0.5</v>
      </c>
      <c r="U23" s="702">
        <v>1</v>
      </c>
    </row>
    <row r="24" spans="1:21" ht="14.4" customHeight="1" x14ac:dyDescent="0.3">
      <c r="A24" s="695">
        <v>7</v>
      </c>
      <c r="B24" s="696" t="s">
        <v>1978</v>
      </c>
      <c r="C24" s="696">
        <v>89301072</v>
      </c>
      <c r="D24" s="697" t="s">
        <v>3237</v>
      </c>
      <c r="E24" s="698" t="s">
        <v>2146</v>
      </c>
      <c r="F24" s="696" t="s">
        <v>2133</v>
      </c>
      <c r="G24" s="696" t="s">
        <v>2227</v>
      </c>
      <c r="H24" s="696" t="s">
        <v>547</v>
      </c>
      <c r="I24" s="696" t="s">
        <v>2231</v>
      </c>
      <c r="J24" s="696" t="s">
        <v>2229</v>
      </c>
      <c r="K24" s="696" t="s">
        <v>2232</v>
      </c>
      <c r="L24" s="699">
        <v>0</v>
      </c>
      <c r="M24" s="699">
        <v>0</v>
      </c>
      <c r="N24" s="696">
        <v>1</v>
      </c>
      <c r="O24" s="700">
        <v>0.5</v>
      </c>
      <c r="P24" s="699">
        <v>0</v>
      </c>
      <c r="Q24" s="701"/>
      <c r="R24" s="696">
        <v>1</v>
      </c>
      <c r="S24" s="701">
        <v>1</v>
      </c>
      <c r="T24" s="700">
        <v>0.5</v>
      </c>
      <c r="U24" s="702">
        <v>1</v>
      </c>
    </row>
    <row r="25" spans="1:21" ht="14.4" customHeight="1" x14ac:dyDescent="0.3">
      <c r="A25" s="695">
        <v>7</v>
      </c>
      <c r="B25" s="696" t="s">
        <v>1978</v>
      </c>
      <c r="C25" s="696">
        <v>89301072</v>
      </c>
      <c r="D25" s="697" t="s">
        <v>3237</v>
      </c>
      <c r="E25" s="698" t="s">
        <v>2146</v>
      </c>
      <c r="F25" s="696" t="s">
        <v>2133</v>
      </c>
      <c r="G25" s="696" t="s">
        <v>2233</v>
      </c>
      <c r="H25" s="696" t="s">
        <v>547</v>
      </c>
      <c r="I25" s="696" t="s">
        <v>2234</v>
      </c>
      <c r="J25" s="696" t="s">
        <v>2235</v>
      </c>
      <c r="K25" s="696" t="s">
        <v>2236</v>
      </c>
      <c r="L25" s="699">
        <v>96.63</v>
      </c>
      <c r="M25" s="699">
        <v>289.89</v>
      </c>
      <c r="N25" s="696">
        <v>3</v>
      </c>
      <c r="O25" s="700">
        <v>0.5</v>
      </c>
      <c r="P25" s="699">
        <v>289.89</v>
      </c>
      <c r="Q25" s="701">
        <v>1</v>
      </c>
      <c r="R25" s="696">
        <v>3</v>
      </c>
      <c r="S25" s="701">
        <v>1</v>
      </c>
      <c r="T25" s="700">
        <v>0.5</v>
      </c>
      <c r="U25" s="702">
        <v>1</v>
      </c>
    </row>
    <row r="26" spans="1:21" ht="14.4" customHeight="1" x14ac:dyDescent="0.3">
      <c r="A26" s="695">
        <v>7</v>
      </c>
      <c r="B26" s="696" t="s">
        <v>1978</v>
      </c>
      <c r="C26" s="696">
        <v>89301072</v>
      </c>
      <c r="D26" s="697" t="s">
        <v>3237</v>
      </c>
      <c r="E26" s="698" t="s">
        <v>2146</v>
      </c>
      <c r="F26" s="696" t="s">
        <v>2133</v>
      </c>
      <c r="G26" s="696" t="s">
        <v>2237</v>
      </c>
      <c r="H26" s="696" t="s">
        <v>547</v>
      </c>
      <c r="I26" s="696" t="s">
        <v>738</v>
      </c>
      <c r="J26" s="696" t="s">
        <v>739</v>
      </c>
      <c r="K26" s="696" t="s">
        <v>740</v>
      </c>
      <c r="L26" s="699">
        <v>56.69</v>
      </c>
      <c r="M26" s="699">
        <v>340.14</v>
      </c>
      <c r="N26" s="696">
        <v>6</v>
      </c>
      <c r="O26" s="700">
        <v>1.5</v>
      </c>
      <c r="P26" s="699">
        <v>340.14</v>
      </c>
      <c r="Q26" s="701">
        <v>1</v>
      </c>
      <c r="R26" s="696">
        <v>6</v>
      </c>
      <c r="S26" s="701">
        <v>1</v>
      </c>
      <c r="T26" s="700">
        <v>1.5</v>
      </c>
      <c r="U26" s="702">
        <v>1</v>
      </c>
    </row>
    <row r="27" spans="1:21" ht="14.4" customHeight="1" x14ac:dyDescent="0.3">
      <c r="A27" s="695">
        <v>7</v>
      </c>
      <c r="B27" s="696" t="s">
        <v>1978</v>
      </c>
      <c r="C27" s="696">
        <v>89301072</v>
      </c>
      <c r="D27" s="697" t="s">
        <v>3237</v>
      </c>
      <c r="E27" s="698" t="s">
        <v>2146</v>
      </c>
      <c r="F27" s="696" t="s">
        <v>2133</v>
      </c>
      <c r="G27" s="696" t="s">
        <v>2238</v>
      </c>
      <c r="H27" s="696" t="s">
        <v>547</v>
      </c>
      <c r="I27" s="696" t="s">
        <v>2239</v>
      </c>
      <c r="J27" s="696" t="s">
        <v>2240</v>
      </c>
      <c r="K27" s="696" t="s">
        <v>2241</v>
      </c>
      <c r="L27" s="699">
        <v>61.3</v>
      </c>
      <c r="M27" s="699">
        <v>61.3</v>
      </c>
      <c r="N27" s="696">
        <v>1</v>
      </c>
      <c r="O27" s="700">
        <v>0.5</v>
      </c>
      <c r="P27" s="699">
        <v>61.3</v>
      </c>
      <c r="Q27" s="701">
        <v>1</v>
      </c>
      <c r="R27" s="696">
        <v>1</v>
      </c>
      <c r="S27" s="701">
        <v>1</v>
      </c>
      <c r="T27" s="700">
        <v>0.5</v>
      </c>
      <c r="U27" s="702">
        <v>1</v>
      </c>
    </row>
    <row r="28" spans="1:21" ht="14.4" customHeight="1" x14ac:dyDescent="0.3">
      <c r="A28" s="695">
        <v>7</v>
      </c>
      <c r="B28" s="696" t="s">
        <v>1978</v>
      </c>
      <c r="C28" s="696">
        <v>89301072</v>
      </c>
      <c r="D28" s="697" t="s">
        <v>3237</v>
      </c>
      <c r="E28" s="698" t="s">
        <v>2146</v>
      </c>
      <c r="F28" s="696" t="s">
        <v>2133</v>
      </c>
      <c r="G28" s="696" t="s">
        <v>2242</v>
      </c>
      <c r="H28" s="696" t="s">
        <v>547</v>
      </c>
      <c r="I28" s="696" t="s">
        <v>2243</v>
      </c>
      <c r="J28" s="696" t="s">
        <v>2244</v>
      </c>
      <c r="K28" s="696" t="s">
        <v>2245</v>
      </c>
      <c r="L28" s="699">
        <v>0</v>
      </c>
      <c r="M28" s="699">
        <v>0</v>
      </c>
      <c r="N28" s="696">
        <v>2</v>
      </c>
      <c r="O28" s="700">
        <v>0.5</v>
      </c>
      <c r="P28" s="699">
        <v>0</v>
      </c>
      <c r="Q28" s="701"/>
      <c r="R28" s="696">
        <v>2</v>
      </c>
      <c r="S28" s="701">
        <v>1</v>
      </c>
      <c r="T28" s="700">
        <v>0.5</v>
      </c>
      <c r="U28" s="702">
        <v>1</v>
      </c>
    </row>
    <row r="29" spans="1:21" ht="14.4" customHeight="1" x14ac:dyDescent="0.3">
      <c r="A29" s="695">
        <v>7</v>
      </c>
      <c r="B29" s="696" t="s">
        <v>1978</v>
      </c>
      <c r="C29" s="696">
        <v>89301072</v>
      </c>
      <c r="D29" s="697" t="s">
        <v>3237</v>
      </c>
      <c r="E29" s="698" t="s">
        <v>2147</v>
      </c>
      <c r="F29" s="696" t="s">
        <v>2133</v>
      </c>
      <c r="G29" s="696" t="s">
        <v>2246</v>
      </c>
      <c r="H29" s="696" t="s">
        <v>547</v>
      </c>
      <c r="I29" s="696" t="s">
        <v>2247</v>
      </c>
      <c r="J29" s="696" t="s">
        <v>2248</v>
      </c>
      <c r="K29" s="696" t="s">
        <v>2249</v>
      </c>
      <c r="L29" s="699">
        <v>0</v>
      </c>
      <c r="M29" s="699">
        <v>0</v>
      </c>
      <c r="N29" s="696">
        <v>2</v>
      </c>
      <c r="O29" s="700">
        <v>1</v>
      </c>
      <c r="P29" s="699">
        <v>0</v>
      </c>
      <c r="Q29" s="701"/>
      <c r="R29" s="696">
        <v>2</v>
      </c>
      <c r="S29" s="701">
        <v>1</v>
      </c>
      <c r="T29" s="700">
        <v>1</v>
      </c>
      <c r="U29" s="702">
        <v>1</v>
      </c>
    </row>
    <row r="30" spans="1:21" ht="14.4" customHeight="1" x14ac:dyDescent="0.3">
      <c r="A30" s="695">
        <v>7</v>
      </c>
      <c r="B30" s="696" t="s">
        <v>1978</v>
      </c>
      <c r="C30" s="696">
        <v>89301072</v>
      </c>
      <c r="D30" s="697" t="s">
        <v>3237</v>
      </c>
      <c r="E30" s="698" t="s">
        <v>2147</v>
      </c>
      <c r="F30" s="696" t="s">
        <v>2133</v>
      </c>
      <c r="G30" s="696" t="s">
        <v>2242</v>
      </c>
      <c r="H30" s="696" t="s">
        <v>547</v>
      </c>
      <c r="I30" s="696" t="s">
        <v>2243</v>
      </c>
      <c r="J30" s="696" t="s">
        <v>2244</v>
      </c>
      <c r="K30" s="696" t="s">
        <v>2245</v>
      </c>
      <c r="L30" s="699">
        <v>0</v>
      </c>
      <c r="M30" s="699">
        <v>0</v>
      </c>
      <c r="N30" s="696">
        <v>1</v>
      </c>
      <c r="O30" s="700">
        <v>1</v>
      </c>
      <c r="P30" s="699">
        <v>0</v>
      </c>
      <c r="Q30" s="701"/>
      <c r="R30" s="696">
        <v>1</v>
      </c>
      <c r="S30" s="701">
        <v>1</v>
      </c>
      <c r="T30" s="700">
        <v>1</v>
      </c>
      <c r="U30" s="702">
        <v>1</v>
      </c>
    </row>
    <row r="31" spans="1:21" ht="14.4" customHeight="1" x14ac:dyDescent="0.3">
      <c r="A31" s="695">
        <v>7</v>
      </c>
      <c r="B31" s="696" t="s">
        <v>1978</v>
      </c>
      <c r="C31" s="696">
        <v>89301072</v>
      </c>
      <c r="D31" s="697" t="s">
        <v>3237</v>
      </c>
      <c r="E31" s="698" t="s">
        <v>2149</v>
      </c>
      <c r="F31" s="696" t="s">
        <v>2133</v>
      </c>
      <c r="G31" s="696" t="s">
        <v>2250</v>
      </c>
      <c r="H31" s="696" t="s">
        <v>547</v>
      </c>
      <c r="I31" s="696" t="s">
        <v>2251</v>
      </c>
      <c r="J31" s="696" t="s">
        <v>2252</v>
      </c>
      <c r="K31" s="696" t="s">
        <v>2253</v>
      </c>
      <c r="L31" s="699">
        <v>201.75</v>
      </c>
      <c r="M31" s="699">
        <v>807</v>
      </c>
      <c r="N31" s="696">
        <v>4</v>
      </c>
      <c r="O31" s="700">
        <v>1</v>
      </c>
      <c r="P31" s="699">
        <v>807</v>
      </c>
      <c r="Q31" s="701">
        <v>1</v>
      </c>
      <c r="R31" s="696">
        <v>4</v>
      </c>
      <c r="S31" s="701">
        <v>1</v>
      </c>
      <c r="T31" s="700">
        <v>1</v>
      </c>
      <c r="U31" s="702">
        <v>1</v>
      </c>
    </row>
    <row r="32" spans="1:21" ht="14.4" customHeight="1" x14ac:dyDescent="0.3">
      <c r="A32" s="695">
        <v>7</v>
      </c>
      <c r="B32" s="696" t="s">
        <v>1978</v>
      </c>
      <c r="C32" s="696">
        <v>89301072</v>
      </c>
      <c r="D32" s="697" t="s">
        <v>3237</v>
      </c>
      <c r="E32" s="698" t="s">
        <v>2149</v>
      </c>
      <c r="F32" s="696" t="s">
        <v>2133</v>
      </c>
      <c r="G32" s="696" t="s">
        <v>2254</v>
      </c>
      <c r="H32" s="696" t="s">
        <v>1438</v>
      </c>
      <c r="I32" s="696" t="s">
        <v>2255</v>
      </c>
      <c r="J32" s="696" t="s">
        <v>2256</v>
      </c>
      <c r="K32" s="696" t="s">
        <v>2257</v>
      </c>
      <c r="L32" s="699">
        <v>685.76</v>
      </c>
      <c r="M32" s="699">
        <v>685.76</v>
      </c>
      <c r="N32" s="696">
        <v>1</v>
      </c>
      <c r="O32" s="700">
        <v>1</v>
      </c>
      <c r="P32" s="699"/>
      <c r="Q32" s="701">
        <v>0</v>
      </c>
      <c r="R32" s="696"/>
      <c r="S32" s="701">
        <v>0</v>
      </c>
      <c r="T32" s="700"/>
      <c r="U32" s="702">
        <v>0</v>
      </c>
    </row>
    <row r="33" spans="1:21" ht="14.4" customHeight="1" x14ac:dyDescent="0.3">
      <c r="A33" s="695">
        <v>7</v>
      </c>
      <c r="B33" s="696" t="s">
        <v>1978</v>
      </c>
      <c r="C33" s="696">
        <v>89301072</v>
      </c>
      <c r="D33" s="697" t="s">
        <v>3237</v>
      </c>
      <c r="E33" s="698" t="s">
        <v>2149</v>
      </c>
      <c r="F33" s="696" t="s">
        <v>2133</v>
      </c>
      <c r="G33" s="696" t="s">
        <v>2258</v>
      </c>
      <c r="H33" s="696" t="s">
        <v>1438</v>
      </c>
      <c r="I33" s="696" t="s">
        <v>2259</v>
      </c>
      <c r="J33" s="696" t="s">
        <v>2260</v>
      </c>
      <c r="K33" s="696" t="s">
        <v>2261</v>
      </c>
      <c r="L33" s="699">
        <v>581.30999999999995</v>
      </c>
      <c r="M33" s="699">
        <v>1162.6199999999999</v>
      </c>
      <c r="N33" s="696">
        <v>2</v>
      </c>
      <c r="O33" s="700">
        <v>2</v>
      </c>
      <c r="P33" s="699">
        <v>1162.6199999999999</v>
      </c>
      <c r="Q33" s="701">
        <v>1</v>
      </c>
      <c r="R33" s="696">
        <v>2</v>
      </c>
      <c r="S33" s="701">
        <v>1</v>
      </c>
      <c r="T33" s="700">
        <v>2</v>
      </c>
      <c r="U33" s="702">
        <v>1</v>
      </c>
    </row>
    <row r="34" spans="1:21" ht="14.4" customHeight="1" x14ac:dyDescent="0.3">
      <c r="A34" s="695">
        <v>7</v>
      </c>
      <c r="B34" s="696" t="s">
        <v>1978</v>
      </c>
      <c r="C34" s="696">
        <v>89301072</v>
      </c>
      <c r="D34" s="697" t="s">
        <v>3237</v>
      </c>
      <c r="E34" s="698" t="s">
        <v>2149</v>
      </c>
      <c r="F34" s="696" t="s">
        <v>2133</v>
      </c>
      <c r="G34" s="696" t="s">
        <v>2262</v>
      </c>
      <c r="H34" s="696" t="s">
        <v>547</v>
      </c>
      <c r="I34" s="696" t="s">
        <v>2263</v>
      </c>
      <c r="J34" s="696" t="s">
        <v>2264</v>
      </c>
      <c r="K34" s="696" t="s">
        <v>2265</v>
      </c>
      <c r="L34" s="699">
        <v>349.88</v>
      </c>
      <c r="M34" s="699">
        <v>1049.6399999999999</v>
      </c>
      <c r="N34" s="696">
        <v>3</v>
      </c>
      <c r="O34" s="700">
        <v>0.5</v>
      </c>
      <c r="P34" s="699"/>
      <c r="Q34" s="701">
        <v>0</v>
      </c>
      <c r="R34" s="696"/>
      <c r="S34" s="701">
        <v>0</v>
      </c>
      <c r="T34" s="700"/>
      <c r="U34" s="702">
        <v>0</v>
      </c>
    </row>
    <row r="35" spans="1:21" ht="14.4" customHeight="1" x14ac:dyDescent="0.3">
      <c r="A35" s="695">
        <v>7</v>
      </c>
      <c r="B35" s="696" t="s">
        <v>1978</v>
      </c>
      <c r="C35" s="696">
        <v>89301072</v>
      </c>
      <c r="D35" s="697" t="s">
        <v>3237</v>
      </c>
      <c r="E35" s="698" t="s">
        <v>2149</v>
      </c>
      <c r="F35" s="696" t="s">
        <v>2133</v>
      </c>
      <c r="G35" s="696" t="s">
        <v>2262</v>
      </c>
      <c r="H35" s="696" t="s">
        <v>547</v>
      </c>
      <c r="I35" s="696" t="s">
        <v>727</v>
      </c>
      <c r="J35" s="696" t="s">
        <v>724</v>
      </c>
      <c r="K35" s="696" t="s">
        <v>2266</v>
      </c>
      <c r="L35" s="699">
        <v>314.89999999999998</v>
      </c>
      <c r="M35" s="699">
        <v>629.79999999999995</v>
      </c>
      <c r="N35" s="696">
        <v>2</v>
      </c>
      <c r="O35" s="700">
        <v>0.5</v>
      </c>
      <c r="P35" s="699">
        <v>629.79999999999995</v>
      </c>
      <c r="Q35" s="701">
        <v>1</v>
      </c>
      <c r="R35" s="696">
        <v>2</v>
      </c>
      <c r="S35" s="701">
        <v>1</v>
      </c>
      <c r="T35" s="700">
        <v>0.5</v>
      </c>
      <c r="U35" s="702">
        <v>1</v>
      </c>
    </row>
    <row r="36" spans="1:21" ht="14.4" customHeight="1" x14ac:dyDescent="0.3">
      <c r="A36" s="695">
        <v>7</v>
      </c>
      <c r="B36" s="696" t="s">
        <v>1978</v>
      </c>
      <c r="C36" s="696">
        <v>89301072</v>
      </c>
      <c r="D36" s="697" t="s">
        <v>3237</v>
      </c>
      <c r="E36" s="698" t="s">
        <v>2149</v>
      </c>
      <c r="F36" s="696" t="s">
        <v>2133</v>
      </c>
      <c r="G36" s="696" t="s">
        <v>2267</v>
      </c>
      <c r="H36" s="696" t="s">
        <v>1438</v>
      </c>
      <c r="I36" s="696" t="s">
        <v>2268</v>
      </c>
      <c r="J36" s="696" t="s">
        <v>2269</v>
      </c>
      <c r="K36" s="696" t="s">
        <v>2270</v>
      </c>
      <c r="L36" s="699">
        <v>349.88</v>
      </c>
      <c r="M36" s="699">
        <v>699.76</v>
      </c>
      <c r="N36" s="696">
        <v>2</v>
      </c>
      <c r="O36" s="700">
        <v>0.5</v>
      </c>
      <c r="P36" s="699">
        <v>699.76</v>
      </c>
      <c r="Q36" s="701">
        <v>1</v>
      </c>
      <c r="R36" s="696">
        <v>2</v>
      </c>
      <c r="S36" s="701">
        <v>1</v>
      </c>
      <c r="T36" s="700">
        <v>0.5</v>
      </c>
      <c r="U36" s="702">
        <v>1</v>
      </c>
    </row>
    <row r="37" spans="1:21" ht="14.4" customHeight="1" x14ac:dyDescent="0.3">
      <c r="A37" s="695">
        <v>7</v>
      </c>
      <c r="B37" s="696" t="s">
        <v>1978</v>
      </c>
      <c r="C37" s="696">
        <v>89301072</v>
      </c>
      <c r="D37" s="697" t="s">
        <v>3237</v>
      </c>
      <c r="E37" s="698" t="s">
        <v>2149</v>
      </c>
      <c r="F37" s="696" t="s">
        <v>2133</v>
      </c>
      <c r="G37" s="696" t="s">
        <v>2271</v>
      </c>
      <c r="H37" s="696" t="s">
        <v>547</v>
      </c>
      <c r="I37" s="696" t="s">
        <v>1071</v>
      </c>
      <c r="J37" s="696" t="s">
        <v>2272</v>
      </c>
      <c r="K37" s="696" t="s">
        <v>2273</v>
      </c>
      <c r="L37" s="699">
        <v>91.52</v>
      </c>
      <c r="M37" s="699">
        <v>274.56</v>
      </c>
      <c r="N37" s="696">
        <v>3</v>
      </c>
      <c r="O37" s="700">
        <v>0.5</v>
      </c>
      <c r="P37" s="699">
        <v>274.56</v>
      </c>
      <c r="Q37" s="701">
        <v>1</v>
      </c>
      <c r="R37" s="696">
        <v>3</v>
      </c>
      <c r="S37" s="701">
        <v>1</v>
      </c>
      <c r="T37" s="700">
        <v>0.5</v>
      </c>
      <c r="U37" s="702">
        <v>1</v>
      </c>
    </row>
    <row r="38" spans="1:21" ht="14.4" customHeight="1" x14ac:dyDescent="0.3">
      <c r="A38" s="695">
        <v>7</v>
      </c>
      <c r="B38" s="696" t="s">
        <v>1978</v>
      </c>
      <c r="C38" s="696">
        <v>89301072</v>
      </c>
      <c r="D38" s="697" t="s">
        <v>3237</v>
      </c>
      <c r="E38" s="698" t="s">
        <v>2149</v>
      </c>
      <c r="F38" s="696" t="s">
        <v>2133</v>
      </c>
      <c r="G38" s="696" t="s">
        <v>2274</v>
      </c>
      <c r="H38" s="696" t="s">
        <v>1438</v>
      </c>
      <c r="I38" s="696" t="s">
        <v>2275</v>
      </c>
      <c r="J38" s="696" t="s">
        <v>2276</v>
      </c>
      <c r="K38" s="696" t="s">
        <v>2277</v>
      </c>
      <c r="L38" s="699">
        <v>140.03</v>
      </c>
      <c r="M38" s="699">
        <v>420.09000000000003</v>
      </c>
      <c r="N38" s="696">
        <v>3</v>
      </c>
      <c r="O38" s="700">
        <v>0.5</v>
      </c>
      <c r="P38" s="699"/>
      <c r="Q38" s="701">
        <v>0</v>
      </c>
      <c r="R38" s="696"/>
      <c r="S38" s="701">
        <v>0</v>
      </c>
      <c r="T38" s="700"/>
      <c r="U38" s="702">
        <v>0</v>
      </c>
    </row>
    <row r="39" spans="1:21" ht="14.4" customHeight="1" x14ac:dyDescent="0.3">
      <c r="A39" s="695">
        <v>7</v>
      </c>
      <c r="B39" s="696" t="s">
        <v>1978</v>
      </c>
      <c r="C39" s="696">
        <v>89301072</v>
      </c>
      <c r="D39" s="697" t="s">
        <v>3237</v>
      </c>
      <c r="E39" s="698" t="s">
        <v>2149</v>
      </c>
      <c r="F39" s="696" t="s">
        <v>2133</v>
      </c>
      <c r="G39" s="696" t="s">
        <v>2278</v>
      </c>
      <c r="H39" s="696" t="s">
        <v>1438</v>
      </c>
      <c r="I39" s="696" t="s">
        <v>2279</v>
      </c>
      <c r="J39" s="696" t="s">
        <v>2280</v>
      </c>
      <c r="K39" s="696" t="s">
        <v>2281</v>
      </c>
      <c r="L39" s="699">
        <v>428.4</v>
      </c>
      <c r="M39" s="699">
        <v>1285.1999999999998</v>
      </c>
      <c r="N39" s="696">
        <v>3</v>
      </c>
      <c r="O39" s="700">
        <v>0.5</v>
      </c>
      <c r="P39" s="699">
        <v>1285.1999999999998</v>
      </c>
      <c r="Q39" s="701">
        <v>1</v>
      </c>
      <c r="R39" s="696">
        <v>3</v>
      </c>
      <c r="S39" s="701">
        <v>1</v>
      </c>
      <c r="T39" s="700">
        <v>0.5</v>
      </c>
      <c r="U39" s="702">
        <v>1</v>
      </c>
    </row>
    <row r="40" spans="1:21" ht="14.4" customHeight="1" x14ac:dyDescent="0.3">
      <c r="A40" s="695">
        <v>7</v>
      </c>
      <c r="B40" s="696" t="s">
        <v>1978</v>
      </c>
      <c r="C40" s="696">
        <v>89301072</v>
      </c>
      <c r="D40" s="697" t="s">
        <v>3237</v>
      </c>
      <c r="E40" s="698" t="s">
        <v>2149</v>
      </c>
      <c r="F40" s="696" t="s">
        <v>2133</v>
      </c>
      <c r="G40" s="696" t="s">
        <v>2278</v>
      </c>
      <c r="H40" s="696" t="s">
        <v>547</v>
      </c>
      <c r="I40" s="696" t="s">
        <v>2282</v>
      </c>
      <c r="J40" s="696" t="s">
        <v>2283</v>
      </c>
      <c r="K40" s="696" t="s">
        <v>2284</v>
      </c>
      <c r="L40" s="699">
        <v>0</v>
      </c>
      <c r="M40" s="699">
        <v>0</v>
      </c>
      <c r="N40" s="696">
        <v>3</v>
      </c>
      <c r="O40" s="700">
        <v>0.5</v>
      </c>
      <c r="P40" s="699">
        <v>0</v>
      </c>
      <c r="Q40" s="701"/>
      <c r="R40" s="696">
        <v>3</v>
      </c>
      <c r="S40" s="701">
        <v>1</v>
      </c>
      <c r="T40" s="700">
        <v>0.5</v>
      </c>
      <c r="U40" s="702">
        <v>1</v>
      </c>
    </row>
    <row r="41" spans="1:21" ht="14.4" customHeight="1" x14ac:dyDescent="0.3">
      <c r="A41" s="695">
        <v>7</v>
      </c>
      <c r="B41" s="696" t="s">
        <v>1978</v>
      </c>
      <c r="C41" s="696">
        <v>89301072</v>
      </c>
      <c r="D41" s="697" t="s">
        <v>3237</v>
      </c>
      <c r="E41" s="698" t="s">
        <v>2149</v>
      </c>
      <c r="F41" s="696" t="s">
        <v>2133</v>
      </c>
      <c r="G41" s="696" t="s">
        <v>2201</v>
      </c>
      <c r="H41" s="696" t="s">
        <v>547</v>
      </c>
      <c r="I41" s="696" t="s">
        <v>2285</v>
      </c>
      <c r="J41" s="696" t="s">
        <v>2286</v>
      </c>
      <c r="K41" s="696" t="s">
        <v>2287</v>
      </c>
      <c r="L41" s="699">
        <v>147.36000000000001</v>
      </c>
      <c r="M41" s="699">
        <v>294.72000000000003</v>
      </c>
      <c r="N41" s="696">
        <v>2</v>
      </c>
      <c r="O41" s="700">
        <v>0.5</v>
      </c>
      <c r="P41" s="699">
        <v>294.72000000000003</v>
      </c>
      <c r="Q41" s="701">
        <v>1</v>
      </c>
      <c r="R41" s="696">
        <v>2</v>
      </c>
      <c r="S41" s="701">
        <v>1</v>
      </c>
      <c r="T41" s="700">
        <v>0.5</v>
      </c>
      <c r="U41" s="702">
        <v>1</v>
      </c>
    </row>
    <row r="42" spans="1:21" ht="14.4" customHeight="1" x14ac:dyDescent="0.3">
      <c r="A42" s="695">
        <v>7</v>
      </c>
      <c r="B42" s="696" t="s">
        <v>1978</v>
      </c>
      <c r="C42" s="696">
        <v>89301072</v>
      </c>
      <c r="D42" s="697" t="s">
        <v>3237</v>
      </c>
      <c r="E42" s="698" t="s">
        <v>2149</v>
      </c>
      <c r="F42" s="696" t="s">
        <v>2133</v>
      </c>
      <c r="G42" s="696" t="s">
        <v>2288</v>
      </c>
      <c r="H42" s="696" t="s">
        <v>547</v>
      </c>
      <c r="I42" s="696" t="s">
        <v>2289</v>
      </c>
      <c r="J42" s="696" t="s">
        <v>2290</v>
      </c>
      <c r="K42" s="696" t="s">
        <v>838</v>
      </c>
      <c r="L42" s="699">
        <v>154.33000000000001</v>
      </c>
      <c r="M42" s="699">
        <v>1851.9599999999998</v>
      </c>
      <c r="N42" s="696">
        <v>12</v>
      </c>
      <c r="O42" s="700">
        <v>4</v>
      </c>
      <c r="P42" s="699">
        <v>1851.9599999999998</v>
      </c>
      <c r="Q42" s="701">
        <v>1</v>
      </c>
      <c r="R42" s="696">
        <v>12</v>
      </c>
      <c r="S42" s="701">
        <v>1</v>
      </c>
      <c r="T42" s="700">
        <v>4</v>
      </c>
      <c r="U42" s="702">
        <v>1</v>
      </c>
    </row>
    <row r="43" spans="1:21" ht="14.4" customHeight="1" x14ac:dyDescent="0.3">
      <c r="A43" s="695">
        <v>7</v>
      </c>
      <c r="B43" s="696" t="s">
        <v>1978</v>
      </c>
      <c r="C43" s="696">
        <v>89301072</v>
      </c>
      <c r="D43" s="697" t="s">
        <v>3237</v>
      </c>
      <c r="E43" s="698" t="s">
        <v>2149</v>
      </c>
      <c r="F43" s="696" t="s">
        <v>2133</v>
      </c>
      <c r="G43" s="696" t="s">
        <v>2291</v>
      </c>
      <c r="H43" s="696" t="s">
        <v>547</v>
      </c>
      <c r="I43" s="696" t="s">
        <v>2292</v>
      </c>
      <c r="J43" s="696" t="s">
        <v>2293</v>
      </c>
      <c r="K43" s="696" t="s">
        <v>2294</v>
      </c>
      <c r="L43" s="699">
        <v>286.63</v>
      </c>
      <c r="M43" s="699">
        <v>573.26</v>
      </c>
      <c r="N43" s="696">
        <v>2</v>
      </c>
      <c r="O43" s="700">
        <v>1</v>
      </c>
      <c r="P43" s="699">
        <v>573.26</v>
      </c>
      <c r="Q43" s="701">
        <v>1</v>
      </c>
      <c r="R43" s="696">
        <v>2</v>
      </c>
      <c r="S43" s="701">
        <v>1</v>
      </c>
      <c r="T43" s="700">
        <v>1</v>
      </c>
      <c r="U43" s="702">
        <v>1</v>
      </c>
    </row>
    <row r="44" spans="1:21" ht="14.4" customHeight="1" x14ac:dyDescent="0.3">
      <c r="A44" s="695">
        <v>7</v>
      </c>
      <c r="B44" s="696" t="s">
        <v>1978</v>
      </c>
      <c r="C44" s="696">
        <v>89301072</v>
      </c>
      <c r="D44" s="697" t="s">
        <v>3237</v>
      </c>
      <c r="E44" s="698" t="s">
        <v>2149</v>
      </c>
      <c r="F44" s="696" t="s">
        <v>2133</v>
      </c>
      <c r="G44" s="696" t="s">
        <v>2295</v>
      </c>
      <c r="H44" s="696" t="s">
        <v>1438</v>
      </c>
      <c r="I44" s="696" t="s">
        <v>2296</v>
      </c>
      <c r="J44" s="696" t="s">
        <v>2297</v>
      </c>
      <c r="K44" s="696" t="s">
        <v>2298</v>
      </c>
      <c r="L44" s="699">
        <v>0</v>
      </c>
      <c r="M44" s="699">
        <v>0</v>
      </c>
      <c r="N44" s="696">
        <v>2</v>
      </c>
      <c r="O44" s="700">
        <v>0.5</v>
      </c>
      <c r="P44" s="699">
        <v>0</v>
      </c>
      <c r="Q44" s="701"/>
      <c r="R44" s="696">
        <v>2</v>
      </c>
      <c r="S44" s="701">
        <v>1</v>
      </c>
      <c r="T44" s="700">
        <v>0.5</v>
      </c>
      <c r="U44" s="702">
        <v>1</v>
      </c>
    </row>
    <row r="45" spans="1:21" ht="14.4" customHeight="1" x14ac:dyDescent="0.3">
      <c r="A45" s="695">
        <v>7</v>
      </c>
      <c r="B45" s="696" t="s">
        <v>1978</v>
      </c>
      <c r="C45" s="696">
        <v>89301072</v>
      </c>
      <c r="D45" s="697" t="s">
        <v>3237</v>
      </c>
      <c r="E45" s="698" t="s">
        <v>2149</v>
      </c>
      <c r="F45" s="696" t="s">
        <v>2133</v>
      </c>
      <c r="G45" s="696" t="s">
        <v>2295</v>
      </c>
      <c r="H45" s="696" t="s">
        <v>1438</v>
      </c>
      <c r="I45" s="696" t="s">
        <v>2299</v>
      </c>
      <c r="J45" s="696" t="s">
        <v>2300</v>
      </c>
      <c r="K45" s="696" t="s">
        <v>2301</v>
      </c>
      <c r="L45" s="699">
        <v>0</v>
      </c>
      <c r="M45" s="699">
        <v>0</v>
      </c>
      <c r="N45" s="696">
        <v>2</v>
      </c>
      <c r="O45" s="700">
        <v>0.5</v>
      </c>
      <c r="P45" s="699">
        <v>0</v>
      </c>
      <c r="Q45" s="701"/>
      <c r="R45" s="696">
        <v>2</v>
      </c>
      <c r="S45" s="701">
        <v>1</v>
      </c>
      <c r="T45" s="700">
        <v>0.5</v>
      </c>
      <c r="U45" s="702">
        <v>1</v>
      </c>
    </row>
    <row r="46" spans="1:21" ht="14.4" customHeight="1" x14ac:dyDescent="0.3">
      <c r="A46" s="695">
        <v>7</v>
      </c>
      <c r="B46" s="696" t="s">
        <v>1978</v>
      </c>
      <c r="C46" s="696">
        <v>89301072</v>
      </c>
      <c r="D46" s="697" t="s">
        <v>3237</v>
      </c>
      <c r="E46" s="698" t="s">
        <v>2149</v>
      </c>
      <c r="F46" s="696" t="s">
        <v>2133</v>
      </c>
      <c r="G46" s="696" t="s">
        <v>2194</v>
      </c>
      <c r="H46" s="696" t="s">
        <v>547</v>
      </c>
      <c r="I46" s="696" t="s">
        <v>2302</v>
      </c>
      <c r="J46" s="696" t="s">
        <v>2196</v>
      </c>
      <c r="K46" s="696" t="s">
        <v>2303</v>
      </c>
      <c r="L46" s="699">
        <v>0</v>
      </c>
      <c r="M46" s="699">
        <v>0</v>
      </c>
      <c r="N46" s="696">
        <v>3</v>
      </c>
      <c r="O46" s="700">
        <v>0.5</v>
      </c>
      <c r="P46" s="699">
        <v>0</v>
      </c>
      <c r="Q46" s="701"/>
      <c r="R46" s="696">
        <v>3</v>
      </c>
      <c r="S46" s="701">
        <v>1</v>
      </c>
      <c r="T46" s="700">
        <v>0.5</v>
      </c>
      <c r="U46" s="702">
        <v>1</v>
      </c>
    </row>
    <row r="47" spans="1:21" ht="14.4" customHeight="1" x14ac:dyDescent="0.3">
      <c r="A47" s="695">
        <v>7</v>
      </c>
      <c r="B47" s="696" t="s">
        <v>1978</v>
      </c>
      <c r="C47" s="696">
        <v>89301072</v>
      </c>
      <c r="D47" s="697" t="s">
        <v>3237</v>
      </c>
      <c r="E47" s="698" t="s">
        <v>2149</v>
      </c>
      <c r="F47" s="696" t="s">
        <v>2133</v>
      </c>
      <c r="G47" s="696" t="s">
        <v>2194</v>
      </c>
      <c r="H47" s="696" t="s">
        <v>547</v>
      </c>
      <c r="I47" s="696" t="s">
        <v>2304</v>
      </c>
      <c r="J47" s="696" t="s">
        <v>2196</v>
      </c>
      <c r="K47" s="696" t="s">
        <v>2303</v>
      </c>
      <c r="L47" s="699">
        <v>0</v>
      </c>
      <c r="M47" s="699">
        <v>0</v>
      </c>
      <c r="N47" s="696">
        <v>3</v>
      </c>
      <c r="O47" s="700">
        <v>0.5</v>
      </c>
      <c r="P47" s="699">
        <v>0</v>
      </c>
      <c r="Q47" s="701"/>
      <c r="R47" s="696">
        <v>3</v>
      </c>
      <c r="S47" s="701">
        <v>1</v>
      </c>
      <c r="T47" s="700">
        <v>0.5</v>
      </c>
      <c r="U47" s="702">
        <v>1</v>
      </c>
    </row>
    <row r="48" spans="1:21" ht="14.4" customHeight="1" x14ac:dyDescent="0.3">
      <c r="A48" s="695">
        <v>7</v>
      </c>
      <c r="B48" s="696" t="s">
        <v>1978</v>
      </c>
      <c r="C48" s="696">
        <v>89301072</v>
      </c>
      <c r="D48" s="697" t="s">
        <v>3237</v>
      </c>
      <c r="E48" s="698" t="s">
        <v>2150</v>
      </c>
      <c r="F48" s="696" t="s">
        <v>2133</v>
      </c>
      <c r="G48" s="696" t="s">
        <v>2305</v>
      </c>
      <c r="H48" s="696" t="s">
        <v>547</v>
      </c>
      <c r="I48" s="696" t="s">
        <v>2306</v>
      </c>
      <c r="J48" s="696" t="s">
        <v>2307</v>
      </c>
      <c r="K48" s="696" t="s">
        <v>2308</v>
      </c>
      <c r="L48" s="699">
        <v>47.63</v>
      </c>
      <c r="M48" s="699">
        <v>95.26</v>
      </c>
      <c r="N48" s="696">
        <v>2</v>
      </c>
      <c r="O48" s="700">
        <v>1</v>
      </c>
      <c r="P48" s="699"/>
      <c r="Q48" s="701">
        <v>0</v>
      </c>
      <c r="R48" s="696"/>
      <c r="S48" s="701">
        <v>0</v>
      </c>
      <c r="T48" s="700"/>
      <c r="U48" s="702">
        <v>0</v>
      </c>
    </row>
    <row r="49" spans="1:21" ht="14.4" customHeight="1" x14ac:dyDescent="0.3">
      <c r="A49" s="695">
        <v>7</v>
      </c>
      <c r="B49" s="696" t="s">
        <v>1978</v>
      </c>
      <c r="C49" s="696">
        <v>89301072</v>
      </c>
      <c r="D49" s="697" t="s">
        <v>3237</v>
      </c>
      <c r="E49" s="698" t="s">
        <v>2150</v>
      </c>
      <c r="F49" s="696" t="s">
        <v>2133</v>
      </c>
      <c r="G49" s="696" t="s">
        <v>2309</v>
      </c>
      <c r="H49" s="696" t="s">
        <v>1438</v>
      </c>
      <c r="I49" s="696" t="s">
        <v>2310</v>
      </c>
      <c r="J49" s="696" t="s">
        <v>2311</v>
      </c>
      <c r="K49" s="696" t="s">
        <v>2312</v>
      </c>
      <c r="L49" s="699">
        <v>99.7</v>
      </c>
      <c r="M49" s="699">
        <v>199.4</v>
      </c>
      <c r="N49" s="696">
        <v>2</v>
      </c>
      <c r="O49" s="700">
        <v>2</v>
      </c>
      <c r="P49" s="699">
        <v>199.4</v>
      </c>
      <c r="Q49" s="701">
        <v>1</v>
      </c>
      <c r="R49" s="696">
        <v>2</v>
      </c>
      <c r="S49" s="701">
        <v>1</v>
      </c>
      <c r="T49" s="700">
        <v>2</v>
      </c>
      <c r="U49" s="702">
        <v>1</v>
      </c>
    </row>
    <row r="50" spans="1:21" ht="14.4" customHeight="1" x14ac:dyDescent="0.3">
      <c r="A50" s="695">
        <v>7</v>
      </c>
      <c r="B50" s="696" t="s">
        <v>1978</v>
      </c>
      <c r="C50" s="696">
        <v>89301072</v>
      </c>
      <c r="D50" s="697" t="s">
        <v>3237</v>
      </c>
      <c r="E50" s="698" t="s">
        <v>2150</v>
      </c>
      <c r="F50" s="696" t="s">
        <v>2133</v>
      </c>
      <c r="G50" s="696" t="s">
        <v>2313</v>
      </c>
      <c r="H50" s="696" t="s">
        <v>547</v>
      </c>
      <c r="I50" s="696" t="s">
        <v>2314</v>
      </c>
      <c r="J50" s="696" t="s">
        <v>2315</v>
      </c>
      <c r="K50" s="696" t="s">
        <v>2316</v>
      </c>
      <c r="L50" s="699">
        <v>75.19</v>
      </c>
      <c r="M50" s="699">
        <v>75.19</v>
      </c>
      <c r="N50" s="696">
        <v>1</v>
      </c>
      <c r="O50" s="700">
        <v>0.5</v>
      </c>
      <c r="P50" s="699">
        <v>75.19</v>
      </c>
      <c r="Q50" s="701">
        <v>1</v>
      </c>
      <c r="R50" s="696">
        <v>1</v>
      </c>
      <c r="S50" s="701">
        <v>1</v>
      </c>
      <c r="T50" s="700">
        <v>0.5</v>
      </c>
      <c r="U50" s="702">
        <v>1</v>
      </c>
    </row>
    <row r="51" spans="1:21" ht="14.4" customHeight="1" x14ac:dyDescent="0.3">
      <c r="A51" s="695">
        <v>7</v>
      </c>
      <c r="B51" s="696" t="s">
        <v>1978</v>
      </c>
      <c r="C51" s="696">
        <v>89301072</v>
      </c>
      <c r="D51" s="697" t="s">
        <v>3237</v>
      </c>
      <c r="E51" s="698" t="s">
        <v>2150</v>
      </c>
      <c r="F51" s="696" t="s">
        <v>2133</v>
      </c>
      <c r="G51" s="696" t="s">
        <v>2317</v>
      </c>
      <c r="H51" s="696" t="s">
        <v>547</v>
      </c>
      <c r="I51" s="696" t="s">
        <v>2318</v>
      </c>
      <c r="J51" s="696" t="s">
        <v>2319</v>
      </c>
      <c r="K51" s="696" t="s">
        <v>2320</v>
      </c>
      <c r="L51" s="699">
        <v>86.16</v>
      </c>
      <c r="M51" s="699">
        <v>86.16</v>
      </c>
      <c r="N51" s="696">
        <v>1</v>
      </c>
      <c r="O51" s="700">
        <v>0.5</v>
      </c>
      <c r="P51" s="699"/>
      <c r="Q51" s="701">
        <v>0</v>
      </c>
      <c r="R51" s="696"/>
      <c r="S51" s="701">
        <v>0</v>
      </c>
      <c r="T51" s="700"/>
      <c r="U51" s="702">
        <v>0</v>
      </c>
    </row>
    <row r="52" spans="1:21" ht="14.4" customHeight="1" x14ac:dyDescent="0.3">
      <c r="A52" s="695">
        <v>7</v>
      </c>
      <c r="B52" s="696" t="s">
        <v>1978</v>
      </c>
      <c r="C52" s="696">
        <v>89301072</v>
      </c>
      <c r="D52" s="697" t="s">
        <v>3237</v>
      </c>
      <c r="E52" s="698" t="s">
        <v>2150</v>
      </c>
      <c r="F52" s="696" t="s">
        <v>2133</v>
      </c>
      <c r="G52" s="696" t="s">
        <v>2321</v>
      </c>
      <c r="H52" s="696" t="s">
        <v>547</v>
      </c>
      <c r="I52" s="696" t="s">
        <v>1640</v>
      </c>
      <c r="J52" s="696" t="s">
        <v>1641</v>
      </c>
      <c r="K52" s="696" t="s">
        <v>2322</v>
      </c>
      <c r="L52" s="699">
        <v>50.27</v>
      </c>
      <c r="M52" s="699">
        <v>50.27</v>
      </c>
      <c r="N52" s="696">
        <v>1</v>
      </c>
      <c r="O52" s="700">
        <v>0.5</v>
      </c>
      <c r="P52" s="699"/>
      <c r="Q52" s="701">
        <v>0</v>
      </c>
      <c r="R52" s="696"/>
      <c r="S52" s="701">
        <v>0</v>
      </c>
      <c r="T52" s="700"/>
      <c r="U52" s="702">
        <v>0</v>
      </c>
    </row>
    <row r="53" spans="1:21" ht="14.4" customHeight="1" x14ac:dyDescent="0.3">
      <c r="A53" s="695">
        <v>7</v>
      </c>
      <c r="B53" s="696" t="s">
        <v>1978</v>
      </c>
      <c r="C53" s="696">
        <v>89301072</v>
      </c>
      <c r="D53" s="697" t="s">
        <v>3237</v>
      </c>
      <c r="E53" s="698" t="s">
        <v>2150</v>
      </c>
      <c r="F53" s="696" t="s">
        <v>2133</v>
      </c>
      <c r="G53" s="696" t="s">
        <v>2321</v>
      </c>
      <c r="H53" s="696" t="s">
        <v>547</v>
      </c>
      <c r="I53" s="696" t="s">
        <v>2323</v>
      </c>
      <c r="J53" s="696" t="s">
        <v>2324</v>
      </c>
      <c r="K53" s="696" t="s">
        <v>2325</v>
      </c>
      <c r="L53" s="699">
        <v>93.99</v>
      </c>
      <c r="M53" s="699">
        <v>93.99</v>
      </c>
      <c r="N53" s="696">
        <v>1</v>
      </c>
      <c r="O53" s="700">
        <v>0.5</v>
      </c>
      <c r="P53" s="699">
        <v>93.99</v>
      </c>
      <c r="Q53" s="701">
        <v>1</v>
      </c>
      <c r="R53" s="696">
        <v>1</v>
      </c>
      <c r="S53" s="701">
        <v>1</v>
      </c>
      <c r="T53" s="700">
        <v>0.5</v>
      </c>
      <c r="U53" s="702">
        <v>1</v>
      </c>
    </row>
    <row r="54" spans="1:21" ht="14.4" customHeight="1" x14ac:dyDescent="0.3">
      <c r="A54" s="695">
        <v>7</v>
      </c>
      <c r="B54" s="696" t="s">
        <v>1978</v>
      </c>
      <c r="C54" s="696">
        <v>89301072</v>
      </c>
      <c r="D54" s="697" t="s">
        <v>3237</v>
      </c>
      <c r="E54" s="698" t="s">
        <v>2150</v>
      </c>
      <c r="F54" s="696" t="s">
        <v>2133</v>
      </c>
      <c r="G54" s="696" t="s">
        <v>2326</v>
      </c>
      <c r="H54" s="696" t="s">
        <v>547</v>
      </c>
      <c r="I54" s="696" t="s">
        <v>2327</v>
      </c>
      <c r="J54" s="696" t="s">
        <v>2328</v>
      </c>
      <c r="K54" s="696" t="s">
        <v>2329</v>
      </c>
      <c r="L54" s="699">
        <v>91.83</v>
      </c>
      <c r="M54" s="699">
        <v>91.83</v>
      </c>
      <c r="N54" s="696">
        <v>1</v>
      </c>
      <c r="O54" s="700">
        <v>0.5</v>
      </c>
      <c r="P54" s="699"/>
      <c r="Q54" s="701">
        <v>0</v>
      </c>
      <c r="R54" s="696"/>
      <c r="S54" s="701">
        <v>0</v>
      </c>
      <c r="T54" s="700"/>
      <c r="U54" s="702">
        <v>0</v>
      </c>
    </row>
    <row r="55" spans="1:21" ht="14.4" customHeight="1" x14ac:dyDescent="0.3">
      <c r="A55" s="695">
        <v>7</v>
      </c>
      <c r="B55" s="696" t="s">
        <v>1978</v>
      </c>
      <c r="C55" s="696">
        <v>89301072</v>
      </c>
      <c r="D55" s="697" t="s">
        <v>3237</v>
      </c>
      <c r="E55" s="698" t="s">
        <v>2150</v>
      </c>
      <c r="F55" s="696" t="s">
        <v>2133</v>
      </c>
      <c r="G55" s="696" t="s">
        <v>2326</v>
      </c>
      <c r="H55" s="696" t="s">
        <v>547</v>
      </c>
      <c r="I55" s="696" t="s">
        <v>2327</v>
      </c>
      <c r="J55" s="696" t="s">
        <v>2328</v>
      </c>
      <c r="K55" s="696" t="s">
        <v>2329</v>
      </c>
      <c r="L55" s="699">
        <v>79.22</v>
      </c>
      <c r="M55" s="699">
        <v>158.44</v>
      </c>
      <c r="N55" s="696">
        <v>2</v>
      </c>
      <c r="O55" s="700">
        <v>1</v>
      </c>
      <c r="P55" s="699"/>
      <c r="Q55" s="701">
        <v>0</v>
      </c>
      <c r="R55" s="696"/>
      <c r="S55" s="701">
        <v>0</v>
      </c>
      <c r="T55" s="700"/>
      <c r="U55" s="702">
        <v>0</v>
      </c>
    </row>
    <row r="56" spans="1:21" ht="14.4" customHeight="1" x14ac:dyDescent="0.3">
      <c r="A56" s="695">
        <v>7</v>
      </c>
      <c r="B56" s="696" t="s">
        <v>1978</v>
      </c>
      <c r="C56" s="696">
        <v>89301072</v>
      </c>
      <c r="D56" s="697" t="s">
        <v>3237</v>
      </c>
      <c r="E56" s="698" t="s">
        <v>2150</v>
      </c>
      <c r="F56" s="696" t="s">
        <v>2133</v>
      </c>
      <c r="G56" s="696" t="s">
        <v>2330</v>
      </c>
      <c r="H56" s="696" t="s">
        <v>547</v>
      </c>
      <c r="I56" s="696" t="s">
        <v>2331</v>
      </c>
      <c r="J56" s="696" t="s">
        <v>2332</v>
      </c>
      <c r="K56" s="696" t="s">
        <v>2333</v>
      </c>
      <c r="L56" s="699">
        <v>82.67</v>
      </c>
      <c r="M56" s="699">
        <v>248.01</v>
      </c>
      <c r="N56" s="696">
        <v>3</v>
      </c>
      <c r="O56" s="700">
        <v>1.5</v>
      </c>
      <c r="P56" s="699"/>
      <c r="Q56" s="701">
        <v>0</v>
      </c>
      <c r="R56" s="696"/>
      <c r="S56" s="701">
        <v>0</v>
      </c>
      <c r="T56" s="700"/>
      <c r="U56" s="702">
        <v>0</v>
      </c>
    </row>
    <row r="57" spans="1:21" ht="14.4" customHeight="1" x14ac:dyDescent="0.3">
      <c r="A57" s="695">
        <v>7</v>
      </c>
      <c r="B57" s="696" t="s">
        <v>1978</v>
      </c>
      <c r="C57" s="696">
        <v>89301072</v>
      </c>
      <c r="D57" s="697" t="s">
        <v>3237</v>
      </c>
      <c r="E57" s="698" t="s">
        <v>2152</v>
      </c>
      <c r="F57" s="696" t="s">
        <v>2133</v>
      </c>
      <c r="G57" s="696" t="s">
        <v>2334</v>
      </c>
      <c r="H57" s="696" t="s">
        <v>547</v>
      </c>
      <c r="I57" s="696" t="s">
        <v>2335</v>
      </c>
      <c r="J57" s="696" t="s">
        <v>2336</v>
      </c>
      <c r="K57" s="696" t="s">
        <v>2337</v>
      </c>
      <c r="L57" s="699">
        <v>0</v>
      </c>
      <c r="M57" s="699">
        <v>0</v>
      </c>
      <c r="N57" s="696">
        <v>1</v>
      </c>
      <c r="O57" s="700">
        <v>0.5</v>
      </c>
      <c r="P57" s="699">
        <v>0</v>
      </c>
      <c r="Q57" s="701"/>
      <c r="R57" s="696">
        <v>1</v>
      </c>
      <c r="S57" s="701">
        <v>1</v>
      </c>
      <c r="T57" s="700">
        <v>0.5</v>
      </c>
      <c r="U57" s="702">
        <v>1</v>
      </c>
    </row>
    <row r="58" spans="1:21" ht="14.4" customHeight="1" x14ac:dyDescent="0.3">
      <c r="A58" s="695">
        <v>7</v>
      </c>
      <c r="B58" s="696" t="s">
        <v>1978</v>
      </c>
      <c r="C58" s="696">
        <v>89301072</v>
      </c>
      <c r="D58" s="697" t="s">
        <v>3237</v>
      </c>
      <c r="E58" s="698" t="s">
        <v>2152</v>
      </c>
      <c r="F58" s="696" t="s">
        <v>2133</v>
      </c>
      <c r="G58" s="696" t="s">
        <v>2262</v>
      </c>
      <c r="H58" s="696" t="s">
        <v>547</v>
      </c>
      <c r="I58" s="696" t="s">
        <v>727</v>
      </c>
      <c r="J58" s="696" t="s">
        <v>724</v>
      </c>
      <c r="K58" s="696" t="s">
        <v>2266</v>
      </c>
      <c r="L58" s="699">
        <v>314.89999999999998</v>
      </c>
      <c r="M58" s="699">
        <v>314.89999999999998</v>
      </c>
      <c r="N58" s="696">
        <v>1</v>
      </c>
      <c r="O58" s="700">
        <v>0.5</v>
      </c>
      <c r="P58" s="699">
        <v>314.89999999999998</v>
      </c>
      <c r="Q58" s="701">
        <v>1</v>
      </c>
      <c r="R58" s="696">
        <v>1</v>
      </c>
      <c r="S58" s="701">
        <v>1</v>
      </c>
      <c r="T58" s="700">
        <v>0.5</v>
      </c>
      <c r="U58" s="702">
        <v>1</v>
      </c>
    </row>
    <row r="59" spans="1:21" ht="14.4" customHeight="1" x14ac:dyDescent="0.3">
      <c r="A59" s="695">
        <v>7</v>
      </c>
      <c r="B59" s="696" t="s">
        <v>1978</v>
      </c>
      <c r="C59" s="696">
        <v>89301072</v>
      </c>
      <c r="D59" s="697" t="s">
        <v>3237</v>
      </c>
      <c r="E59" s="698" t="s">
        <v>2153</v>
      </c>
      <c r="F59" s="696" t="s">
        <v>2133</v>
      </c>
      <c r="G59" s="696" t="s">
        <v>2309</v>
      </c>
      <c r="H59" s="696" t="s">
        <v>1438</v>
      </c>
      <c r="I59" s="696" t="s">
        <v>2338</v>
      </c>
      <c r="J59" s="696" t="s">
        <v>2339</v>
      </c>
      <c r="K59" s="696" t="s">
        <v>2340</v>
      </c>
      <c r="L59" s="699">
        <v>156.86000000000001</v>
      </c>
      <c r="M59" s="699">
        <v>313.72000000000003</v>
      </c>
      <c r="N59" s="696">
        <v>2</v>
      </c>
      <c r="O59" s="700">
        <v>0.5</v>
      </c>
      <c r="P59" s="699">
        <v>313.72000000000003</v>
      </c>
      <c r="Q59" s="701">
        <v>1</v>
      </c>
      <c r="R59" s="696">
        <v>2</v>
      </c>
      <c r="S59" s="701">
        <v>1</v>
      </c>
      <c r="T59" s="700">
        <v>0.5</v>
      </c>
      <c r="U59" s="702">
        <v>1</v>
      </c>
    </row>
    <row r="60" spans="1:21" ht="14.4" customHeight="1" x14ac:dyDescent="0.3">
      <c r="A60" s="695">
        <v>7</v>
      </c>
      <c r="B60" s="696" t="s">
        <v>1978</v>
      </c>
      <c r="C60" s="696">
        <v>89301072</v>
      </c>
      <c r="D60" s="697" t="s">
        <v>3237</v>
      </c>
      <c r="E60" s="698" t="s">
        <v>2153</v>
      </c>
      <c r="F60" s="696" t="s">
        <v>2133</v>
      </c>
      <c r="G60" s="696" t="s">
        <v>2341</v>
      </c>
      <c r="H60" s="696" t="s">
        <v>547</v>
      </c>
      <c r="I60" s="696" t="s">
        <v>2342</v>
      </c>
      <c r="J60" s="696" t="s">
        <v>2343</v>
      </c>
      <c r="K60" s="696" t="s">
        <v>1458</v>
      </c>
      <c r="L60" s="699">
        <v>118.82</v>
      </c>
      <c r="M60" s="699">
        <v>118.82</v>
      </c>
      <c r="N60" s="696">
        <v>1</v>
      </c>
      <c r="O60" s="700">
        <v>1</v>
      </c>
      <c r="P60" s="699"/>
      <c r="Q60" s="701">
        <v>0</v>
      </c>
      <c r="R60" s="696"/>
      <c r="S60" s="701">
        <v>0</v>
      </c>
      <c r="T60" s="700"/>
      <c r="U60" s="702">
        <v>0</v>
      </c>
    </row>
    <row r="61" spans="1:21" ht="14.4" customHeight="1" x14ac:dyDescent="0.3">
      <c r="A61" s="695">
        <v>7</v>
      </c>
      <c r="B61" s="696" t="s">
        <v>1978</v>
      </c>
      <c r="C61" s="696">
        <v>89301072</v>
      </c>
      <c r="D61" s="697" t="s">
        <v>3237</v>
      </c>
      <c r="E61" s="698" t="s">
        <v>2153</v>
      </c>
      <c r="F61" s="696" t="s">
        <v>2133</v>
      </c>
      <c r="G61" s="696" t="s">
        <v>2344</v>
      </c>
      <c r="H61" s="696" t="s">
        <v>547</v>
      </c>
      <c r="I61" s="696" t="s">
        <v>889</v>
      </c>
      <c r="J61" s="696" t="s">
        <v>890</v>
      </c>
      <c r="K61" s="696" t="s">
        <v>2345</v>
      </c>
      <c r="L61" s="699">
        <v>45.75</v>
      </c>
      <c r="M61" s="699">
        <v>45.75</v>
      </c>
      <c r="N61" s="696">
        <v>1</v>
      </c>
      <c r="O61" s="700">
        <v>1</v>
      </c>
      <c r="P61" s="699">
        <v>45.75</v>
      </c>
      <c r="Q61" s="701">
        <v>1</v>
      </c>
      <c r="R61" s="696">
        <v>1</v>
      </c>
      <c r="S61" s="701">
        <v>1</v>
      </c>
      <c r="T61" s="700">
        <v>1</v>
      </c>
      <c r="U61" s="702">
        <v>1</v>
      </c>
    </row>
    <row r="62" spans="1:21" ht="14.4" customHeight="1" x14ac:dyDescent="0.3">
      <c r="A62" s="695">
        <v>7</v>
      </c>
      <c r="B62" s="696" t="s">
        <v>1978</v>
      </c>
      <c r="C62" s="696">
        <v>89301072</v>
      </c>
      <c r="D62" s="697" t="s">
        <v>3237</v>
      </c>
      <c r="E62" s="698" t="s">
        <v>2153</v>
      </c>
      <c r="F62" s="696" t="s">
        <v>2133</v>
      </c>
      <c r="G62" s="696" t="s">
        <v>2313</v>
      </c>
      <c r="H62" s="696" t="s">
        <v>547</v>
      </c>
      <c r="I62" s="696" t="s">
        <v>2346</v>
      </c>
      <c r="J62" s="696" t="s">
        <v>2315</v>
      </c>
      <c r="K62" s="696" t="s">
        <v>2347</v>
      </c>
      <c r="L62" s="699">
        <v>128.9</v>
      </c>
      <c r="M62" s="699">
        <v>128.9</v>
      </c>
      <c r="N62" s="696">
        <v>1</v>
      </c>
      <c r="O62" s="700">
        <v>0.5</v>
      </c>
      <c r="P62" s="699">
        <v>128.9</v>
      </c>
      <c r="Q62" s="701">
        <v>1</v>
      </c>
      <c r="R62" s="696">
        <v>1</v>
      </c>
      <c r="S62" s="701">
        <v>1</v>
      </c>
      <c r="T62" s="700">
        <v>0.5</v>
      </c>
      <c r="U62" s="702">
        <v>1</v>
      </c>
    </row>
    <row r="63" spans="1:21" ht="14.4" customHeight="1" x14ac:dyDescent="0.3">
      <c r="A63" s="695">
        <v>7</v>
      </c>
      <c r="B63" s="696" t="s">
        <v>1978</v>
      </c>
      <c r="C63" s="696">
        <v>89301072</v>
      </c>
      <c r="D63" s="697" t="s">
        <v>3237</v>
      </c>
      <c r="E63" s="698" t="s">
        <v>2153</v>
      </c>
      <c r="F63" s="696" t="s">
        <v>2133</v>
      </c>
      <c r="G63" s="696" t="s">
        <v>2348</v>
      </c>
      <c r="H63" s="696" t="s">
        <v>1438</v>
      </c>
      <c r="I63" s="696" t="s">
        <v>2349</v>
      </c>
      <c r="J63" s="696" t="s">
        <v>2350</v>
      </c>
      <c r="K63" s="696" t="s">
        <v>2351</v>
      </c>
      <c r="L63" s="699">
        <v>116.8</v>
      </c>
      <c r="M63" s="699">
        <v>116.8</v>
      </c>
      <c r="N63" s="696">
        <v>1</v>
      </c>
      <c r="O63" s="700">
        <v>1</v>
      </c>
      <c r="P63" s="699">
        <v>116.8</v>
      </c>
      <c r="Q63" s="701">
        <v>1</v>
      </c>
      <c r="R63" s="696">
        <v>1</v>
      </c>
      <c r="S63" s="701">
        <v>1</v>
      </c>
      <c r="T63" s="700">
        <v>1</v>
      </c>
      <c r="U63" s="702">
        <v>1</v>
      </c>
    </row>
    <row r="64" spans="1:21" ht="14.4" customHeight="1" x14ac:dyDescent="0.3">
      <c r="A64" s="695">
        <v>7</v>
      </c>
      <c r="B64" s="696" t="s">
        <v>1978</v>
      </c>
      <c r="C64" s="696">
        <v>89301072</v>
      </c>
      <c r="D64" s="697" t="s">
        <v>3237</v>
      </c>
      <c r="E64" s="698" t="s">
        <v>2153</v>
      </c>
      <c r="F64" s="696" t="s">
        <v>2133</v>
      </c>
      <c r="G64" s="696" t="s">
        <v>2352</v>
      </c>
      <c r="H64" s="696" t="s">
        <v>547</v>
      </c>
      <c r="I64" s="696" t="s">
        <v>2353</v>
      </c>
      <c r="J64" s="696" t="s">
        <v>2354</v>
      </c>
      <c r="K64" s="696" t="s">
        <v>2355</v>
      </c>
      <c r="L64" s="699">
        <v>0</v>
      </c>
      <c r="M64" s="699">
        <v>0</v>
      </c>
      <c r="N64" s="696">
        <v>1</v>
      </c>
      <c r="O64" s="700">
        <v>1</v>
      </c>
      <c r="P64" s="699"/>
      <c r="Q64" s="701"/>
      <c r="R64" s="696"/>
      <c r="S64" s="701">
        <v>0</v>
      </c>
      <c r="T64" s="700"/>
      <c r="U64" s="702">
        <v>0</v>
      </c>
    </row>
    <row r="65" spans="1:21" ht="14.4" customHeight="1" x14ac:dyDescent="0.3">
      <c r="A65" s="695">
        <v>7</v>
      </c>
      <c r="B65" s="696" t="s">
        <v>1978</v>
      </c>
      <c r="C65" s="696">
        <v>89301072</v>
      </c>
      <c r="D65" s="697" t="s">
        <v>3237</v>
      </c>
      <c r="E65" s="698" t="s">
        <v>2155</v>
      </c>
      <c r="F65" s="696" t="s">
        <v>2134</v>
      </c>
      <c r="G65" s="696" t="s">
        <v>2356</v>
      </c>
      <c r="H65" s="696" t="s">
        <v>547</v>
      </c>
      <c r="I65" s="696" t="s">
        <v>2357</v>
      </c>
      <c r="J65" s="696" t="s">
        <v>2358</v>
      </c>
      <c r="K65" s="696" t="s">
        <v>2359</v>
      </c>
      <c r="L65" s="699">
        <v>1978.94</v>
      </c>
      <c r="M65" s="699">
        <v>1978.94</v>
      </c>
      <c r="N65" s="696">
        <v>1</v>
      </c>
      <c r="O65" s="700">
        <v>1</v>
      </c>
      <c r="P65" s="699"/>
      <c r="Q65" s="701">
        <v>0</v>
      </c>
      <c r="R65" s="696"/>
      <c r="S65" s="701">
        <v>0</v>
      </c>
      <c r="T65" s="700"/>
      <c r="U65" s="702">
        <v>0</v>
      </c>
    </row>
    <row r="66" spans="1:21" ht="14.4" customHeight="1" x14ac:dyDescent="0.3">
      <c r="A66" s="695">
        <v>7</v>
      </c>
      <c r="B66" s="696" t="s">
        <v>1978</v>
      </c>
      <c r="C66" s="696">
        <v>89301072</v>
      </c>
      <c r="D66" s="697" t="s">
        <v>3237</v>
      </c>
      <c r="E66" s="698" t="s">
        <v>2156</v>
      </c>
      <c r="F66" s="696" t="s">
        <v>2133</v>
      </c>
      <c r="G66" s="696" t="s">
        <v>2360</v>
      </c>
      <c r="H66" s="696" t="s">
        <v>1438</v>
      </c>
      <c r="I66" s="696" t="s">
        <v>2361</v>
      </c>
      <c r="J66" s="696" t="s">
        <v>2362</v>
      </c>
      <c r="K66" s="696" t="s">
        <v>2363</v>
      </c>
      <c r="L66" s="699">
        <v>17.690000000000001</v>
      </c>
      <c r="M66" s="699">
        <v>88.45</v>
      </c>
      <c r="N66" s="696">
        <v>5</v>
      </c>
      <c r="O66" s="700">
        <v>4</v>
      </c>
      <c r="P66" s="699">
        <v>88.45</v>
      </c>
      <c r="Q66" s="701">
        <v>1</v>
      </c>
      <c r="R66" s="696">
        <v>5</v>
      </c>
      <c r="S66" s="701">
        <v>1</v>
      </c>
      <c r="T66" s="700">
        <v>4</v>
      </c>
      <c r="U66" s="702">
        <v>1</v>
      </c>
    </row>
    <row r="67" spans="1:21" ht="14.4" customHeight="1" x14ac:dyDescent="0.3">
      <c r="A67" s="695">
        <v>7</v>
      </c>
      <c r="B67" s="696" t="s">
        <v>1978</v>
      </c>
      <c r="C67" s="696">
        <v>89301072</v>
      </c>
      <c r="D67" s="697" t="s">
        <v>3237</v>
      </c>
      <c r="E67" s="698" t="s">
        <v>2156</v>
      </c>
      <c r="F67" s="696" t="s">
        <v>2133</v>
      </c>
      <c r="G67" s="696" t="s">
        <v>2364</v>
      </c>
      <c r="H67" s="696" t="s">
        <v>547</v>
      </c>
      <c r="I67" s="696" t="s">
        <v>2365</v>
      </c>
      <c r="J67" s="696" t="s">
        <v>2366</v>
      </c>
      <c r="K67" s="696" t="s">
        <v>2367</v>
      </c>
      <c r="L67" s="699">
        <v>0</v>
      </c>
      <c r="M67" s="699">
        <v>0</v>
      </c>
      <c r="N67" s="696">
        <v>6</v>
      </c>
      <c r="O67" s="700">
        <v>5</v>
      </c>
      <c r="P67" s="699">
        <v>0</v>
      </c>
      <c r="Q67" s="701"/>
      <c r="R67" s="696">
        <v>6</v>
      </c>
      <c r="S67" s="701">
        <v>1</v>
      </c>
      <c r="T67" s="700">
        <v>5</v>
      </c>
      <c r="U67" s="702">
        <v>1</v>
      </c>
    </row>
    <row r="68" spans="1:21" ht="14.4" customHeight="1" x14ac:dyDescent="0.3">
      <c r="A68" s="695">
        <v>7</v>
      </c>
      <c r="B68" s="696" t="s">
        <v>1978</v>
      </c>
      <c r="C68" s="696">
        <v>89301072</v>
      </c>
      <c r="D68" s="697" t="s">
        <v>3237</v>
      </c>
      <c r="E68" s="698" t="s">
        <v>2157</v>
      </c>
      <c r="F68" s="696" t="s">
        <v>2133</v>
      </c>
      <c r="G68" s="696" t="s">
        <v>2309</v>
      </c>
      <c r="H68" s="696" t="s">
        <v>1438</v>
      </c>
      <c r="I68" s="696" t="s">
        <v>2338</v>
      </c>
      <c r="J68" s="696" t="s">
        <v>2339</v>
      </c>
      <c r="K68" s="696" t="s">
        <v>2340</v>
      </c>
      <c r="L68" s="699">
        <v>333.31</v>
      </c>
      <c r="M68" s="699">
        <v>333.31</v>
      </c>
      <c r="N68" s="696">
        <v>1</v>
      </c>
      <c r="O68" s="700">
        <v>0.5</v>
      </c>
      <c r="P68" s="699"/>
      <c r="Q68" s="701">
        <v>0</v>
      </c>
      <c r="R68" s="696"/>
      <c r="S68" s="701">
        <v>0</v>
      </c>
      <c r="T68" s="700"/>
      <c r="U68" s="702">
        <v>0</v>
      </c>
    </row>
    <row r="69" spans="1:21" ht="14.4" customHeight="1" x14ac:dyDescent="0.3">
      <c r="A69" s="695">
        <v>7</v>
      </c>
      <c r="B69" s="696" t="s">
        <v>1978</v>
      </c>
      <c r="C69" s="696">
        <v>89301072</v>
      </c>
      <c r="D69" s="697" t="s">
        <v>3237</v>
      </c>
      <c r="E69" s="698" t="s">
        <v>2157</v>
      </c>
      <c r="F69" s="696" t="s">
        <v>2133</v>
      </c>
      <c r="G69" s="696" t="s">
        <v>2368</v>
      </c>
      <c r="H69" s="696" t="s">
        <v>547</v>
      </c>
      <c r="I69" s="696" t="s">
        <v>2369</v>
      </c>
      <c r="J69" s="696" t="s">
        <v>2370</v>
      </c>
      <c r="K69" s="696" t="s">
        <v>659</v>
      </c>
      <c r="L69" s="699">
        <v>45.75</v>
      </c>
      <c r="M69" s="699">
        <v>45.75</v>
      </c>
      <c r="N69" s="696">
        <v>1</v>
      </c>
      <c r="O69" s="700">
        <v>0.5</v>
      </c>
      <c r="P69" s="699">
        <v>45.75</v>
      </c>
      <c r="Q69" s="701">
        <v>1</v>
      </c>
      <c r="R69" s="696">
        <v>1</v>
      </c>
      <c r="S69" s="701">
        <v>1</v>
      </c>
      <c r="T69" s="700">
        <v>0.5</v>
      </c>
      <c r="U69" s="702">
        <v>1</v>
      </c>
    </row>
    <row r="70" spans="1:21" ht="14.4" customHeight="1" x14ac:dyDescent="0.3">
      <c r="A70" s="695">
        <v>7</v>
      </c>
      <c r="B70" s="696" t="s">
        <v>1978</v>
      </c>
      <c r="C70" s="696">
        <v>89301072</v>
      </c>
      <c r="D70" s="697" t="s">
        <v>3237</v>
      </c>
      <c r="E70" s="698" t="s">
        <v>2157</v>
      </c>
      <c r="F70" s="696" t="s">
        <v>2133</v>
      </c>
      <c r="G70" s="696" t="s">
        <v>2341</v>
      </c>
      <c r="H70" s="696" t="s">
        <v>547</v>
      </c>
      <c r="I70" s="696" t="s">
        <v>2342</v>
      </c>
      <c r="J70" s="696" t="s">
        <v>2343</v>
      </c>
      <c r="K70" s="696" t="s">
        <v>1458</v>
      </c>
      <c r="L70" s="699">
        <v>118.82</v>
      </c>
      <c r="M70" s="699">
        <v>118.82</v>
      </c>
      <c r="N70" s="696">
        <v>1</v>
      </c>
      <c r="O70" s="700">
        <v>0.5</v>
      </c>
      <c r="P70" s="699">
        <v>118.82</v>
      </c>
      <c r="Q70" s="701">
        <v>1</v>
      </c>
      <c r="R70" s="696">
        <v>1</v>
      </c>
      <c r="S70" s="701">
        <v>1</v>
      </c>
      <c r="T70" s="700">
        <v>0.5</v>
      </c>
      <c r="U70" s="702">
        <v>1</v>
      </c>
    </row>
    <row r="71" spans="1:21" ht="14.4" customHeight="1" x14ac:dyDescent="0.3">
      <c r="A71" s="695">
        <v>7</v>
      </c>
      <c r="B71" s="696" t="s">
        <v>1978</v>
      </c>
      <c r="C71" s="696">
        <v>89301072</v>
      </c>
      <c r="D71" s="697" t="s">
        <v>3237</v>
      </c>
      <c r="E71" s="698" t="s">
        <v>2157</v>
      </c>
      <c r="F71" s="696" t="s">
        <v>2133</v>
      </c>
      <c r="G71" s="696" t="s">
        <v>2371</v>
      </c>
      <c r="H71" s="696" t="s">
        <v>547</v>
      </c>
      <c r="I71" s="696" t="s">
        <v>2372</v>
      </c>
      <c r="J71" s="696" t="s">
        <v>2373</v>
      </c>
      <c r="K71" s="696" t="s">
        <v>2374</v>
      </c>
      <c r="L71" s="699">
        <v>39.39</v>
      </c>
      <c r="M71" s="699">
        <v>78.78</v>
      </c>
      <c r="N71" s="696">
        <v>2</v>
      </c>
      <c r="O71" s="700">
        <v>0.5</v>
      </c>
      <c r="P71" s="699">
        <v>78.78</v>
      </c>
      <c r="Q71" s="701">
        <v>1</v>
      </c>
      <c r="R71" s="696">
        <v>2</v>
      </c>
      <c r="S71" s="701">
        <v>1</v>
      </c>
      <c r="T71" s="700">
        <v>0.5</v>
      </c>
      <c r="U71" s="702">
        <v>1</v>
      </c>
    </row>
    <row r="72" spans="1:21" ht="14.4" customHeight="1" x14ac:dyDescent="0.3">
      <c r="A72" s="695">
        <v>7</v>
      </c>
      <c r="B72" s="696" t="s">
        <v>1978</v>
      </c>
      <c r="C72" s="696">
        <v>89301072</v>
      </c>
      <c r="D72" s="697" t="s">
        <v>3237</v>
      </c>
      <c r="E72" s="698" t="s">
        <v>2157</v>
      </c>
      <c r="F72" s="696" t="s">
        <v>2133</v>
      </c>
      <c r="G72" s="696" t="s">
        <v>2375</v>
      </c>
      <c r="H72" s="696" t="s">
        <v>547</v>
      </c>
      <c r="I72" s="696" t="s">
        <v>2376</v>
      </c>
      <c r="J72" s="696" t="s">
        <v>2377</v>
      </c>
      <c r="K72" s="696" t="s">
        <v>2378</v>
      </c>
      <c r="L72" s="699">
        <v>115.3</v>
      </c>
      <c r="M72" s="699">
        <v>115.3</v>
      </c>
      <c r="N72" s="696">
        <v>1</v>
      </c>
      <c r="O72" s="700">
        <v>0.5</v>
      </c>
      <c r="P72" s="699">
        <v>115.3</v>
      </c>
      <c r="Q72" s="701">
        <v>1</v>
      </c>
      <c r="R72" s="696">
        <v>1</v>
      </c>
      <c r="S72" s="701">
        <v>1</v>
      </c>
      <c r="T72" s="700">
        <v>0.5</v>
      </c>
      <c r="U72" s="702">
        <v>1</v>
      </c>
    </row>
    <row r="73" spans="1:21" ht="14.4" customHeight="1" x14ac:dyDescent="0.3">
      <c r="A73" s="695">
        <v>7</v>
      </c>
      <c r="B73" s="696" t="s">
        <v>1978</v>
      </c>
      <c r="C73" s="696">
        <v>89301072</v>
      </c>
      <c r="D73" s="697" t="s">
        <v>3237</v>
      </c>
      <c r="E73" s="698" t="s">
        <v>2157</v>
      </c>
      <c r="F73" s="696" t="s">
        <v>2133</v>
      </c>
      <c r="G73" s="696" t="s">
        <v>2379</v>
      </c>
      <c r="H73" s="696" t="s">
        <v>547</v>
      </c>
      <c r="I73" s="696" t="s">
        <v>2380</v>
      </c>
      <c r="J73" s="696" t="s">
        <v>2381</v>
      </c>
      <c r="K73" s="696" t="s">
        <v>714</v>
      </c>
      <c r="L73" s="699">
        <v>0</v>
      </c>
      <c r="M73" s="699">
        <v>0</v>
      </c>
      <c r="N73" s="696">
        <v>1</v>
      </c>
      <c r="O73" s="700">
        <v>0.5</v>
      </c>
      <c r="P73" s="699">
        <v>0</v>
      </c>
      <c r="Q73" s="701"/>
      <c r="R73" s="696">
        <v>1</v>
      </c>
      <c r="S73" s="701">
        <v>1</v>
      </c>
      <c r="T73" s="700">
        <v>0.5</v>
      </c>
      <c r="U73" s="702">
        <v>1</v>
      </c>
    </row>
    <row r="74" spans="1:21" ht="14.4" customHeight="1" x14ac:dyDescent="0.3">
      <c r="A74" s="695">
        <v>7</v>
      </c>
      <c r="B74" s="696" t="s">
        <v>1978</v>
      </c>
      <c r="C74" s="696">
        <v>89301072</v>
      </c>
      <c r="D74" s="697" t="s">
        <v>3237</v>
      </c>
      <c r="E74" s="698" t="s">
        <v>2157</v>
      </c>
      <c r="F74" s="696" t="s">
        <v>2133</v>
      </c>
      <c r="G74" s="696" t="s">
        <v>2254</v>
      </c>
      <c r="H74" s="696" t="s">
        <v>547</v>
      </c>
      <c r="I74" s="696" t="s">
        <v>2382</v>
      </c>
      <c r="J74" s="696" t="s">
        <v>2383</v>
      </c>
      <c r="K74" s="696" t="s">
        <v>2384</v>
      </c>
      <c r="L74" s="699">
        <v>0</v>
      </c>
      <c r="M74" s="699">
        <v>0</v>
      </c>
      <c r="N74" s="696">
        <v>1</v>
      </c>
      <c r="O74" s="700">
        <v>1</v>
      </c>
      <c r="P74" s="699"/>
      <c r="Q74" s="701"/>
      <c r="R74" s="696"/>
      <c r="S74" s="701">
        <v>0</v>
      </c>
      <c r="T74" s="700"/>
      <c r="U74" s="702">
        <v>0</v>
      </c>
    </row>
    <row r="75" spans="1:21" ht="14.4" customHeight="1" x14ac:dyDescent="0.3">
      <c r="A75" s="695">
        <v>7</v>
      </c>
      <c r="B75" s="696" t="s">
        <v>1978</v>
      </c>
      <c r="C75" s="696">
        <v>89301072</v>
      </c>
      <c r="D75" s="697" t="s">
        <v>3237</v>
      </c>
      <c r="E75" s="698" t="s">
        <v>2157</v>
      </c>
      <c r="F75" s="696" t="s">
        <v>2133</v>
      </c>
      <c r="G75" s="696" t="s">
        <v>2385</v>
      </c>
      <c r="H75" s="696" t="s">
        <v>547</v>
      </c>
      <c r="I75" s="696" t="s">
        <v>2386</v>
      </c>
      <c r="J75" s="696" t="s">
        <v>2387</v>
      </c>
      <c r="K75" s="696" t="s">
        <v>2388</v>
      </c>
      <c r="L75" s="699">
        <v>91.14</v>
      </c>
      <c r="M75" s="699">
        <v>273.42</v>
      </c>
      <c r="N75" s="696">
        <v>3</v>
      </c>
      <c r="O75" s="700">
        <v>0.5</v>
      </c>
      <c r="P75" s="699">
        <v>273.42</v>
      </c>
      <c r="Q75" s="701">
        <v>1</v>
      </c>
      <c r="R75" s="696">
        <v>3</v>
      </c>
      <c r="S75" s="701">
        <v>1</v>
      </c>
      <c r="T75" s="700">
        <v>0.5</v>
      </c>
      <c r="U75" s="702">
        <v>1</v>
      </c>
    </row>
    <row r="76" spans="1:21" ht="14.4" customHeight="1" x14ac:dyDescent="0.3">
      <c r="A76" s="695">
        <v>7</v>
      </c>
      <c r="B76" s="696" t="s">
        <v>1978</v>
      </c>
      <c r="C76" s="696">
        <v>89301072</v>
      </c>
      <c r="D76" s="697" t="s">
        <v>3237</v>
      </c>
      <c r="E76" s="698" t="s">
        <v>2157</v>
      </c>
      <c r="F76" s="696" t="s">
        <v>2133</v>
      </c>
      <c r="G76" s="696" t="s">
        <v>2389</v>
      </c>
      <c r="H76" s="696" t="s">
        <v>1438</v>
      </c>
      <c r="I76" s="696" t="s">
        <v>2390</v>
      </c>
      <c r="J76" s="696" t="s">
        <v>2391</v>
      </c>
      <c r="K76" s="696" t="s">
        <v>2392</v>
      </c>
      <c r="L76" s="699">
        <v>97.97</v>
      </c>
      <c r="M76" s="699">
        <v>195.94</v>
      </c>
      <c r="N76" s="696">
        <v>2</v>
      </c>
      <c r="O76" s="700">
        <v>0.5</v>
      </c>
      <c r="P76" s="699"/>
      <c r="Q76" s="701">
        <v>0</v>
      </c>
      <c r="R76" s="696"/>
      <c r="S76" s="701">
        <v>0</v>
      </c>
      <c r="T76" s="700"/>
      <c r="U76" s="702">
        <v>0</v>
      </c>
    </row>
    <row r="77" spans="1:21" ht="14.4" customHeight="1" x14ac:dyDescent="0.3">
      <c r="A77" s="695">
        <v>7</v>
      </c>
      <c r="B77" s="696" t="s">
        <v>1978</v>
      </c>
      <c r="C77" s="696">
        <v>89301072</v>
      </c>
      <c r="D77" s="697" t="s">
        <v>3237</v>
      </c>
      <c r="E77" s="698" t="s">
        <v>2157</v>
      </c>
      <c r="F77" s="696" t="s">
        <v>2133</v>
      </c>
      <c r="G77" s="696" t="s">
        <v>2393</v>
      </c>
      <c r="H77" s="696" t="s">
        <v>547</v>
      </c>
      <c r="I77" s="696" t="s">
        <v>2394</v>
      </c>
      <c r="J77" s="696" t="s">
        <v>2395</v>
      </c>
      <c r="K77" s="696" t="s">
        <v>2396</v>
      </c>
      <c r="L77" s="699">
        <v>49.92</v>
      </c>
      <c r="M77" s="699">
        <v>99.84</v>
      </c>
      <c r="N77" s="696">
        <v>2</v>
      </c>
      <c r="O77" s="700">
        <v>0.5</v>
      </c>
      <c r="P77" s="699">
        <v>99.84</v>
      </c>
      <c r="Q77" s="701">
        <v>1</v>
      </c>
      <c r="R77" s="696">
        <v>2</v>
      </c>
      <c r="S77" s="701">
        <v>1</v>
      </c>
      <c r="T77" s="700">
        <v>0.5</v>
      </c>
      <c r="U77" s="702">
        <v>1</v>
      </c>
    </row>
    <row r="78" spans="1:21" ht="14.4" customHeight="1" x14ac:dyDescent="0.3">
      <c r="A78" s="695">
        <v>7</v>
      </c>
      <c r="B78" s="696" t="s">
        <v>1978</v>
      </c>
      <c r="C78" s="696">
        <v>89301072</v>
      </c>
      <c r="D78" s="697" t="s">
        <v>3237</v>
      </c>
      <c r="E78" s="698" t="s">
        <v>2157</v>
      </c>
      <c r="F78" s="696" t="s">
        <v>2133</v>
      </c>
      <c r="G78" s="696" t="s">
        <v>2233</v>
      </c>
      <c r="H78" s="696" t="s">
        <v>1438</v>
      </c>
      <c r="I78" s="696" t="s">
        <v>2397</v>
      </c>
      <c r="J78" s="696" t="s">
        <v>2235</v>
      </c>
      <c r="K78" s="696" t="s">
        <v>2398</v>
      </c>
      <c r="L78" s="699">
        <v>96.63</v>
      </c>
      <c r="M78" s="699">
        <v>289.89</v>
      </c>
      <c r="N78" s="696">
        <v>3</v>
      </c>
      <c r="O78" s="700">
        <v>1.5</v>
      </c>
      <c r="P78" s="699"/>
      <c r="Q78" s="701">
        <v>0</v>
      </c>
      <c r="R78" s="696"/>
      <c r="S78" s="701">
        <v>0</v>
      </c>
      <c r="T78" s="700"/>
      <c r="U78" s="702">
        <v>0</v>
      </c>
    </row>
    <row r="79" spans="1:21" ht="14.4" customHeight="1" x14ac:dyDescent="0.3">
      <c r="A79" s="695">
        <v>7</v>
      </c>
      <c r="B79" s="696" t="s">
        <v>1978</v>
      </c>
      <c r="C79" s="696">
        <v>89301072</v>
      </c>
      <c r="D79" s="697" t="s">
        <v>3237</v>
      </c>
      <c r="E79" s="698" t="s">
        <v>2157</v>
      </c>
      <c r="F79" s="696" t="s">
        <v>2133</v>
      </c>
      <c r="G79" s="696" t="s">
        <v>2262</v>
      </c>
      <c r="H79" s="696" t="s">
        <v>547</v>
      </c>
      <c r="I79" s="696" t="s">
        <v>2399</v>
      </c>
      <c r="J79" s="696" t="s">
        <v>2400</v>
      </c>
      <c r="K79" s="696" t="s">
        <v>728</v>
      </c>
      <c r="L79" s="699">
        <v>314.89999999999998</v>
      </c>
      <c r="M79" s="699">
        <v>314.89999999999998</v>
      </c>
      <c r="N79" s="696">
        <v>1</v>
      </c>
      <c r="O79" s="700">
        <v>0.5</v>
      </c>
      <c r="P79" s="699">
        <v>314.89999999999998</v>
      </c>
      <c r="Q79" s="701">
        <v>1</v>
      </c>
      <c r="R79" s="696">
        <v>1</v>
      </c>
      <c r="S79" s="701">
        <v>1</v>
      </c>
      <c r="T79" s="700">
        <v>0.5</v>
      </c>
      <c r="U79" s="702">
        <v>1</v>
      </c>
    </row>
    <row r="80" spans="1:21" ht="14.4" customHeight="1" x14ac:dyDescent="0.3">
      <c r="A80" s="695">
        <v>7</v>
      </c>
      <c r="B80" s="696" t="s">
        <v>1978</v>
      </c>
      <c r="C80" s="696">
        <v>89301072</v>
      </c>
      <c r="D80" s="697" t="s">
        <v>3237</v>
      </c>
      <c r="E80" s="698" t="s">
        <v>2157</v>
      </c>
      <c r="F80" s="696" t="s">
        <v>2133</v>
      </c>
      <c r="G80" s="696" t="s">
        <v>2262</v>
      </c>
      <c r="H80" s="696" t="s">
        <v>547</v>
      </c>
      <c r="I80" s="696" t="s">
        <v>727</v>
      </c>
      <c r="J80" s="696" t="s">
        <v>724</v>
      </c>
      <c r="K80" s="696" t="s">
        <v>2266</v>
      </c>
      <c r="L80" s="699">
        <v>314.89999999999998</v>
      </c>
      <c r="M80" s="699">
        <v>629.79999999999995</v>
      </c>
      <c r="N80" s="696">
        <v>2</v>
      </c>
      <c r="O80" s="700">
        <v>2</v>
      </c>
      <c r="P80" s="699">
        <v>314.89999999999998</v>
      </c>
      <c r="Q80" s="701">
        <v>0.5</v>
      </c>
      <c r="R80" s="696">
        <v>1</v>
      </c>
      <c r="S80" s="701">
        <v>0.5</v>
      </c>
      <c r="T80" s="700">
        <v>1</v>
      </c>
      <c r="U80" s="702">
        <v>0.5</v>
      </c>
    </row>
    <row r="81" spans="1:21" ht="14.4" customHeight="1" x14ac:dyDescent="0.3">
      <c r="A81" s="695">
        <v>7</v>
      </c>
      <c r="B81" s="696" t="s">
        <v>1978</v>
      </c>
      <c r="C81" s="696">
        <v>89301072</v>
      </c>
      <c r="D81" s="697" t="s">
        <v>3237</v>
      </c>
      <c r="E81" s="698" t="s">
        <v>2157</v>
      </c>
      <c r="F81" s="696" t="s">
        <v>2133</v>
      </c>
      <c r="G81" s="696" t="s">
        <v>2401</v>
      </c>
      <c r="H81" s="696" t="s">
        <v>547</v>
      </c>
      <c r="I81" s="696" t="s">
        <v>1091</v>
      </c>
      <c r="J81" s="696" t="s">
        <v>2402</v>
      </c>
      <c r="K81" s="696" t="s">
        <v>2403</v>
      </c>
      <c r="L81" s="699">
        <v>19.66</v>
      </c>
      <c r="M81" s="699">
        <v>58.980000000000004</v>
      </c>
      <c r="N81" s="696">
        <v>3</v>
      </c>
      <c r="O81" s="700">
        <v>1</v>
      </c>
      <c r="P81" s="699"/>
      <c r="Q81" s="701">
        <v>0</v>
      </c>
      <c r="R81" s="696"/>
      <c r="S81" s="701">
        <v>0</v>
      </c>
      <c r="T81" s="700"/>
      <c r="U81" s="702">
        <v>0</v>
      </c>
    </row>
    <row r="82" spans="1:21" ht="14.4" customHeight="1" x14ac:dyDescent="0.3">
      <c r="A82" s="695">
        <v>7</v>
      </c>
      <c r="B82" s="696" t="s">
        <v>1978</v>
      </c>
      <c r="C82" s="696">
        <v>89301072</v>
      </c>
      <c r="D82" s="697" t="s">
        <v>3237</v>
      </c>
      <c r="E82" s="698" t="s">
        <v>2157</v>
      </c>
      <c r="F82" s="696" t="s">
        <v>2133</v>
      </c>
      <c r="G82" s="696" t="s">
        <v>2237</v>
      </c>
      <c r="H82" s="696" t="s">
        <v>547</v>
      </c>
      <c r="I82" s="696" t="s">
        <v>738</v>
      </c>
      <c r="J82" s="696" t="s">
        <v>739</v>
      </c>
      <c r="K82" s="696" t="s">
        <v>740</v>
      </c>
      <c r="L82" s="699">
        <v>56.69</v>
      </c>
      <c r="M82" s="699">
        <v>113.38</v>
      </c>
      <c r="N82" s="696">
        <v>2</v>
      </c>
      <c r="O82" s="700">
        <v>1</v>
      </c>
      <c r="P82" s="699">
        <v>113.38</v>
      </c>
      <c r="Q82" s="701">
        <v>1</v>
      </c>
      <c r="R82" s="696">
        <v>2</v>
      </c>
      <c r="S82" s="701">
        <v>1</v>
      </c>
      <c r="T82" s="700">
        <v>1</v>
      </c>
      <c r="U82" s="702">
        <v>1</v>
      </c>
    </row>
    <row r="83" spans="1:21" ht="14.4" customHeight="1" x14ac:dyDescent="0.3">
      <c r="A83" s="695">
        <v>7</v>
      </c>
      <c r="B83" s="696" t="s">
        <v>1978</v>
      </c>
      <c r="C83" s="696">
        <v>89301072</v>
      </c>
      <c r="D83" s="697" t="s">
        <v>3237</v>
      </c>
      <c r="E83" s="698" t="s">
        <v>2157</v>
      </c>
      <c r="F83" s="696" t="s">
        <v>2133</v>
      </c>
      <c r="G83" s="696" t="s">
        <v>2198</v>
      </c>
      <c r="H83" s="696" t="s">
        <v>547</v>
      </c>
      <c r="I83" s="696" t="s">
        <v>742</v>
      </c>
      <c r="J83" s="696" t="s">
        <v>2199</v>
      </c>
      <c r="K83" s="696" t="s">
        <v>2200</v>
      </c>
      <c r="L83" s="699">
        <v>0</v>
      </c>
      <c r="M83" s="699">
        <v>0</v>
      </c>
      <c r="N83" s="696">
        <v>2</v>
      </c>
      <c r="O83" s="700">
        <v>0.5</v>
      </c>
      <c r="P83" s="699"/>
      <c r="Q83" s="701"/>
      <c r="R83" s="696"/>
      <c r="S83" s="701">
        <v>0</v>
      </c>
      <c r="T83" s="700"/>
      <c r="U83" s="702">
        <v>0</v>
      </c>
    </row>
    <row r="84" spans="1:21" ht="14.4" customHeight="1" x14ac:dyDescent="0.3">
      <c r="A84" s="695">
        <v>7</v>
      </c>
      <c r="B84" s="696" t="s">
        <v>1978</v>
      </c>
      <c r="C84" s="696">
        <v>89301072</v>
      </c>
      <c r="D84" s="697" t="s">
        <v>3237</v>
      </c>
      <c r="E84" s="698" t="s">
        <v>2157</v>
      </c>
      <c r="F84" s="696" t="s">
        <v>2133</v>
      </c>
      <c r="G84" s="696" t="s">
        <v>2194</v>
      </c>
      <c r="H84" s="696" t="s">
        <v>547</v>
      </c>
      <c r="I84" s="696" t="s">
        <v>2404</v>
      </c>
      <c r="J84" s="696" t="s">
        <v>2405</v>
      </c>
      <c r="K84" s="696" t="s">
        <v>2406</v>
      </c>
      <c r="L84" s="699">
        <v>0</v>
      </c>
      <c r="M84" s="699">
        <v>0</v>
      </c>
      <c r="N84" s="696">
        <v>1</v>
      </c>
      <c r="O84" s="700">
        <v>1</v>
      </c>
      <c r="P84" s="699">
        <v>0</v>
      </c>
      <c r="Q84" s="701"/>
      <c r="R84" s="696">
        <v>1</v>
      </c>
      <c r="S84" s="701">
        <v>1</v>
      </c>
      <c r="T84" s="700">
        <v>1</v>
      </c>
      <c r="U84" s="702">
        <v>1</v>
      </c>
    </row>
    <row r="85" spans="1:21" ht="14.4" customHeight="1" x14ac:dyDescent="0.3">
      <c r="A85" s="695">
        <v>7</v>
      </c>
      <c r="B85" s="696" t="s">
        <v>1978</v>
      </c>
      <c r="C85" s="696">
        <v>89301072</v>
      </c>
      <c r="D85" s="697" t="s">
        <v>3237</v>
      </c>
      <c r="E85" s="698" t="s">
        <v>2158</v>
      </c>
      <c r="F85" s="696" t="s">
        <v>2133</v>
      </c>
      <c r="G85" s="696" t="s">
        <v>2407</v>
      </c>
      <c r="H85" s="696" t="s">
        <v>547</v>
      </c>
      <c r="I85" s="696" t="s">
        <v>2408</v>
      </c>
      <c r="J85" s="696" t="s">
        <v>2409</v>
      </c>
      <c r="K85" s="696" t="s">
        <v>850</v>
      </c>
      <c r="L85" s="699">
        <v>149.62</v>
      </c>
      <c r="M85" s="699">
        <v>149.62</v>
      </c>
      <c r="N85" s="696">
        <v>1</v>
      </c>
      <c r="O85" s="700">
        <v>0.5</v>
      </c>
      <c r="P85" s="699"/>
      <c r="Q85" s="701">
        <v>0</v>
      </c>
      <c r="R85" s="696"/>
      <c r="S85" s="701">
        <v>0</v>
      </c>
      <c r="T85" s="700"/>
      <c r="U85" s="702">
        <v>0</v>
      </c>
    </row>
    <row r="86" spans="1:21" ht="14.4" customHeight="1" x14ac:dyDescent="0.3">
      <c r="A86" s="695">
        <v>7</v>
      </c>
      <c r="B86" s="696" t="s">
        <v>1978</v>
      </c>
      <c r="C86" s="696">
        <v>89301072</v>
      </c>
      <c r="D86" s="697" t="s">
        <v>3237</v>
      </c>
      <c r="E86" s="698" t="s">
        <v>2158</v>
      </c>
      <c r="F86" s="696" t="s">
        <v>2133</v>
      </c>
      <c r="G86" s="696" t="s">
        <v>2410</v>
      </c>
      <c r="H86" s="696" t="s">
        <v>1438</v>
      </c>
      <c r="I86" s="696" t="s">
        <v>2411</v>
      </c>
      <c r="J86" s="696" t="s">
        <v>2412</v>
      </c>
      <c r="K86" s="696" t="s">
        <v>2406</v>
      </c>
      <c r="L86" s="699">
        <v>65.3</v>
      </c>
      <c r="M86" s="699">
        <v>130.6</v>
      </c>
      <c r="N86" s="696">
        <v>2</v>
      </c>
      <c r="O86" s="700">
        <v>1.5</v>
      </c>
      <c r="P86" s="699">
        <v>65.3</v>
      </c>
      <c r="Q86" s="701">
        <v>0.5</v>
      </c>
      <c r="R86" s="696">
        <v>1</v>
      </c>
      <c r="S86" s="701">
        <v>0.5</v>
      </c>
      <c r="T86" s="700">
        <v>1</v>
      </c>
      <c r="U86" s="702">
        <v>0.66666666666666663</v>
      </c>
    </row>
    <row r="87" spans="1:21" ht="14.4" customHeight="1" x14ac:dyDescent="0.3">
      <c r="A87" s="695">
        <v>7</v>
      </c>
      <c r="B87" s="696" t="s">
        <v>1978</v>
      </c>
      <c r="C87" s="696">
        <v>89301072</v>
      </c>
      <c r="D87" s="697" t="s">
        <v>3237</v>
      </c>
      <c r="E87" s="698" t="s">
        <v>2158</v>
      </c>
      <c r="F87" s="696" t="s">
        <v>2133</v>
      </c>
      <c r="G87" s="696" t="s">
        <v>2341</v>
      </c>
      <c r="H87" s="696" t="s">
        <v>547</v>
      </c>
      <c r="I87" s="696" t="s">
        <v>2413</v>
      </c>
      <c r="J87" s="696" t="s">
        <v>2343</v>
      </c>
      <c r="K87" s="696" t="s">
        <v>2414</v>
      </c>
      <c r="L87" s="699">
        <v>0</v>
      </c>
      <c r="M87" s="699">
        <v>0</v>
      </c>
      <c r="N87" s="696">
        <v>1</v>
      </c>
      <c r="O87" s="700">
        <v>1</v>
      </c>
      <c r="P87" s="699">
        <v>0</v>
      </c>
      <c r="Q87" s="701"/>
      <c r="R87" s="696">
        <v>1</v>
      </c>
      <c r="S87" s="701">
        <v>1</v>
      </c>
      <c r="T87" s="700">
        <v>1</v>
      </c>
      <c r="U87" s="702">
        <v>1</v>
      </c>
    </row>
    <row r="88" spans="1:21" ht="14.4" customHeight="1" x14ac:dyDescent="0.3">
      <c r="A88" s="695">
        <v>7</v>
      </c>
      <c r="B88" s="696" t="s">
        <v>1978</v>
      </c>
      <c r="C88" s="696">
        <v>89301072</v>
      </c>
      <c r="D88" s="697" t="s">
        <v>3237</v>
      </c>
      <c r="E88" s="698" t="s">
        <v>2158</v>
      </c>
      <c r="F88" s="696" t="s">
        <v>2133</v>
      </c>
      <c r="G88" s="696" t="s">
        <v>2375</v>
      </c>
      <c r="H88" s="696" t="s">
        <v>547</v>
      </c>
      <c r="I88" s="696" t="s">
        <v>2376</v>
      </c>
      <c r="J88" s="696" t="s">
        <v>2377</v>
      </c>
      <c r="K88" s="696" t="s">
        <v>2378</v>
      </c>
      <c r="L88" s="699">
        <v>115.3</v>
      </c>
      <c r="M88" s="699">
        <v>115.3</v>
      </c>
      <c r="N88" s="696">
        <v>1</v>
      </c>
      <c r="O88" s="700">
        <v>0.5</v>
      </c>
      <c r="P88" s="699"/>
      <c r="Q88" s="701">
        <v>0</v>
      </c>
      <c r="R88" s="696"/>
      <c r="S88" s="701">
        <v>0</v>
      </c>
      <c r="T88" s="700"/>
      <c r="U88" s="702">
        <v>0</v>
      </c>
    </row>
    <row r="89" spans="1:21" ht="14.4" customHeight="1" x14ac:dyDescent="0.3">
      <c r="A89" s="695">
        <v>7</v>
      </c>
      <c r="B89" s="696" t="s">
        <v>1978</v>
      </c>
      <c r="C89" s="696">
        <v>89301072</v>
      </c>
      <c r="D89" s="697" t="s">
        <v>3237</v>
      </c>
      <c r="E89" s="698" t="s">
        <v>2158</v>
      </c>
      <c r="F89" s="696" t="s">
        <v>2133</v>
      </c>
      <c r="G89" s="696" t="s">
        <v>2254</v>
      </c>
      <c r="H89" s="696" t="s">
        <v>547</v>
      </c>
      <c r="I89" s="696" t="s">
        <v>2415</v>
      </c>
      <c r="J89" s="696" t="s">
        <v>2416</v>
      </c>
      <c r="K89" s="696" t="s">
        <v>2417</v>
      </c>
      <c r="L89" s="699">
        <v>0</v>
      </c>
      <c r="M89" s="699">
        <v>0</v>
      </c>
      <c r="N89" s="696">
        <v>1</v>
      </c>
      <c r="O89" s="700">
        <v>1</v>
      </c>
      <c r="P89" s="699"/>
      <c r="Q89" s="701"/>
      <c r="R89" s="696"/>
      <c r="S89" s="701">
        <v>0</v>
      </c>
      <c r="T89" s="700"/>
      <c r="U89" s="702">
        <v>0</v>
      </c>
    </row>
    <row r="90" spans="1:21" ht="14.4" customHeight="1" x14ac:dyDescent="0.3">
      <c r="A90" s="695">
        <v>7</v>
      </c>
      <c r="B90" s="696" t="s">
        <v>1978</v>
      </c>
      <c r="C90" s="696">
        <v>89301072</v>
      </c>
      <c r="D90" s="697" t="s">
        <v>3237</v>
      </c>
      <c r="E90" s="698" t="s">
        <v>2158</v>
      </c>
      <c r="F90" s="696" t="s">
        <v>2133</v>
      </c>
      <c r="G90" s="696" t="s">
        <v>2393</v>
      </c>
      <c r="H90" s="696" t="s">
        <v>547</v>
      </c>
      <c r="I90" s="696" t="s">
        <v>2394</v>
      </c>
      <c r="J90" s="696" t="s">
        <v>2395</v>
      </c>
      <c r="K90" s="696" t="s">
        <v>2396</v>
      </c>
      <c r="L90" s="699">
        <v>49.92</v>
      </c>
      <c r="M90" s="699">
        <v>149.76</v>
      </c>
      <c r="N90" s="696">
        <v>3</v>
      </c>
      <c r="O90" s="700">
        <v>1</v>
      </c>
      <c r="P90" s="699"/>
      <c r="Q90" s="701">
        <v>0</v>
      </c>
      <c r="R90" s="696"/>
      <c r="S90" s="701">
        <v>0</v>
      </c>
      <c r="T90" s="700"/>
      <c r="U90" s="702">
        <v>0</v>
      </c>
    </row>
    <row r="91" spans="1:21" ht="14.4" customHeight="1" x14ac:dyDescent="0.3">
      <c r="A91" s="695">
        <v>7</v>
      </c>
      <c r="B91" s="696" t="s">
        <v>1978</v>
      </c>
      <c r="C91" s="696">
        <v>89301072</v>
      </c>
      <c r="D91" s="697" t="s">
        <v>3237</v>
      </c>
      <c r="E91" s="698" t="s">
        <v>2158</v>
      </c>
      <c r="F91" s="696" t="s">
        <v>2133</v>
      </c>
      <c r="G91" s="696" t="s">
        <v>2418</v>
      </c>
      <c r="H91" s="696" t="s">
        <v>547</v>
      </c>
      <c r="I91" s="696" t="s">
        <v>2419</v>
      </c>
      <c r="J91" s="696" t="s">
        <v>2420</v>
      </c>
      <c r="K91" s="696" t="s">
        <v>2421</v>
      </c>
      <c r="L91" s="699">
        <v>153.52000000000001</v>
      </c>
      <c r="M91" s="699">
        <v>153.52000000000001</v>
      </c>
      <c r="N91" s="696">
        <v>1</v>
      </c>
      <c r="O91" s="700">
        <v>1</v>
      </c>
      <c r="P91" s="699">
        <v>153.52000000000001</v>
      </c>
      <c r="Q91" s="701">
        <v>1</v>
      </c>
      <c r="R91" s="696">
        <v>1</v>
      </c>
      <c r="S91" s="701">
        <v>1</v>
      </c>
      <c r="T91" s="700">
        <v>1</v>
      </c>
      <c r="U91" s="702">
        <v>1</v>
      </c>
    </row>
    <row r="92" spans="1:21" ht="14.4" customHeight="1" x14ac:dyDescent="0.3">
      <c r="A92" s="695">
        <v>7</v>
      </c>
      <c r="B92" s="696" t="s">
        <v>1978</v>
      </c>
      <c r="C92" s="696">
        <v>89301072</v>
      </c>
      <c r="D92" s="697" t="s">
        <v>3237</v>
      </c>
      <c r="E92" s="698" t="s">
        <v>2158</v>
      </c>
      <c r="F92" s="696" t="s">
        <v>2133</v>
      </c>
      <c r="G92" s="696" t="s">
        <v>2422</v>
      </c>
      <c r="H92" s="696" t="s">
        <v>547</v>
      </c>
      <c r="I92" s="696" t="s">
        <v>2423</v>
      </c>
      <c r="J92" s="696" t="s">
        <v>2424</v>
      </c>
      <c r="K92" s="696" t="s">
        <v>2425</v>
      </c>
      <c r="L92" s="699">
        <v>67.42</v>
      </c>
      <c r="M92" s="699">
        <v>202.26</v>
      </c>
      <c r="N92" s="696">
        <v>3</v>
      </c>
      <c r="O92" s="700">
        <v>0.5</v>
      </c>
      <c r="P92" s="699"/>
      <c r="Q92" s="701">
        <v>0</v>
      </c>
      <c r="R92" s="696"/>
      <c r="S92" s="701">
        <v>0</v>
      </c>
      <c r="T92" s="700"/>
      <c r="U92" s="702">
        <v>0</v>
      </c>
    </row>
    <row r="93" spans="1:21" ht="14.4" customHeight="1" x14ac:dyDescent="0.3">
      <c r="A93" s="695">
        <v>7</v>
      </c>
      <c r="B93" s="696" t="s">
        <v>1978</v>
      </c>
      <c r="C93" s="696">
        <v>89301072</v>
      </c>
      <c r="D93" s="697" t="s">
        <v>3237</v>
      </c>
      <c r="E93" s="698" t="s">
        <v>2159</v>
      </c>
      <c r="F93" s="696" t="s">
        <v>2133</v>
      </c>
      <c r="G93" s="696" t="s">
        <v>2426</v>
      </c>
      <c r="H93" s="696" t="s">
        <v>547</v>
      </c>
      <c r="I93" s="696" t="s">
        <v>2427</v>
      </c>
      <c r="J93" s="696" t="s">
        <v>2428</v>
      </c>
      <c r="K93" s="696" t="s">
        <v>2429</v>
      </c>
      <c r="L93" s="699">
        <v>53.77</v>
      </c>
      <c r="M93" s="699">
        <v>107.54</v>
      </c>
      <c r="N93" s="696">
        <v>2</v>
      </c>
      <c r="O93" s="700">
        <v>1</v>
      </c>
      <c r="P93" s="699"/>
      <c r="Q93" s="701">
        <v>0</v>
      </c>
      <c r="R93" s="696"/>
      <c r="S93" s="701">
        <v>0</v>
      </c>
      <c r="T93" s="700"/>
      <c r="U93" s="702">
        <v>0</v>
      </c>
    </row>
    <row r="94" spans="1:21" ht="14.4" customHeight="1" x14ac:dyDescent="0.3">
      <c r="A94" s="695">
        <v>7</v>
      </c>
      <c r="B94" s="696" t="s">
        <v>1978</v>
      </c>
      <c r="C94" s="696">
        <v>89301072</v>
      </c>
      <c r="D94" s="697" t="s">
        <v>3237</v>
      </c>
      <c r="E94" s="698" t="s">
        <v>2159</v>
      </c>
      <c r="F94" s="696" t="s">
        <v>2133</v>
      </c>
      <c r="G94" s="696" t="s">
        <v>2430</v>
      </c>
      <c r="H94" s="696" t="s">
        <v>547</v>
      </c>
      <c r="I94" s="696" t="s">
        <v>2431</v>
      </c>
      <c r="J94" s="696" t="s">
        <v>2432</v>
      </c>
      <c r="K94" s="696" t="s">
        <v>2433</v>
      </c>
      <c r="L94" s="699">
        <v>46.3</v>
      </c>
      <c r="M94" s="699">
        <v>46.3</v>
      </c>
      <c r="N94" s="696">
        <v>1</v>
      </c>
      <c r="O94" s="700">
        <v>1</v>
      </c>
      <c r="P94" s="699"/>
      <c r="Q94" s="701">
        <v>0</v>
      </c>
      <c r="R94" s="696"/>
      <c r="S94" s="701">
        <v>0</v>
      </c>
      <c r="T94" s="700"/>
      <c r="U94" s="702">
        <v>0</v>
      </c>
    </row>
    <row r="95" spans="1:21" ht="14.4" customHeight="1" x14ac:dyDescent="0.3">
      <c r="A95" s="695">
        <v>7</v>
      </c>
      <c r="B95" s="696" t="s">
        <v>1978</v>
      </c>
      <c r="C95" s="696">
        <v>89301072</v>
      </c>
      <c r="D95" s="697" t="s">
        <v>3237</v>
      </c>
      <c r="E95" s="698" t="s">
        <v>2159</v>
      </c>
      <c r="F95" s="696" t="s">
        <v>2133</v>
      </c>
      <c r="G95" s="696" t="s">
        <v>2434</v>
      </c>
      <c r="H95" s="696" t="s">
        <v>547</v>
      </c>
      <c r="I95" s="696" t="s">
        <v>2435</v>
      </c>
      <c r="J95" s="696" t="s">
        <v>2436</v>
      </c>
      <c r="K95" s="696" t="s">
        <v>2437</v>
      </c>
      <c r="L95" s="699">
        <v>2332.38</v>
      </c>
      <c r="M95" s="699">
        <v>13994.28</v>
      </c>
      <c r="N95" s="696">
        <v>6</v>
      </c>
      <c r="O95" s="700">
        <v>1</v>
      </c>
      <c r="P95" s="699">
        <v>13994.28</v>
      </c>
      <c r="Q95" s="701">
        <v>1</v>
      </c>
      <c r="R95" s="696">
        <v>6</v>
      </c>
      <c r="S95" s="701">
        <v>1</v>
      </c>
      <c r="T95" s="700">
        <v>1</v>
      </c>
      <c r="U95" s="702">
        <v>1</v>
      </c>
    </row>
    <row r="96" spans="1:21" ht="14.4" customHeight="1" x14ac:dyDescent="0.3">
      <c r="A96" s="695">
        <v>7</v>
      </c>
      <c r="B96" s="696" t="s">
        <v>1978</v>
      </c>
      <c r="C96" s="696">
        <v>89301072</v>
      </c>
      <c r="D96" s="697" t="s">
        <v>3237</v>
      </c>
      <c r="E96" s="698" t="s">
        <v>2159</v>
      </c>
      <c r="F96" s="696" t="s">
        <v>2133</v>
      </c>
      <c r="G96" s="696" t="s">
        <v>2438</v>
      </c>
      <c r="H96" s="696" t="s">
        <v>547</v>
      </c>
      <c r="I96" s="696" t="s">
        <v>2439</v>
      </c>
      <c r="J96" s="696" t="s">
        <v>2440</v>
      </c>
      <c r="K96" s="696" t="s">
        <v>2441</v>
      </c>
      <c r="L96" s="699">
        <v>733.54</v>
      </c>
      <c r="M96" s="699">
        <v>2934.16</v>
      </c>
      <c r="N96" s="696">
        <v>4</v>
      </c>
      <c r="O96" s="700">
        <v>1</v>
      </c>
      <c r="P96" s="699"/>
      <c r="Q96" s="701">
        <v>0</v>
      </c>
      <c r="R96" s="696"/>
      <c r="S96" s="701">
        <v>0</v>
      </c>
      <c r="T96" s="700"/>
      <c r="U96" s="702">
        <v>0</v>
      </c>
    </row>
    <row r="97" spans="1:21" ht="14.4" customHeight="1" x14ac:dyDescent="0.3">
      <c r="A97" s="695">
        <v>7</v>
      </c>
      <c r="B97" s="696" t="s">
        <v>1978</v>
      </c>
      <c r="C97" s="696">
        <v>89301072</v>
      </c>
      <c r="D97" s="697" t="s">
        <v>3237</v>
      </c>
      <c r="E97" s="698" t="s">
        <v>2159</v>
      </c>
      <c r="F97" s="696" t="s">
        <v>2133</v>
      </c>
      <c r="G97" s="696" t="s">
        <v>2438</v>
      </c>
      <c r="H97" s="696" t="s">
        <v>547</v>
      </c>
      <c r="I97" s="696" t="s">
        <v>2442</v>
      </c>
      <c r="J97" s="696" t="s">
        <v>2443</v>
      </c>
      <c r="K97" s="696" t="s">
        <v>2444</v>
      </c>
      <c r="L97" s="699">
        <v>132.77000000000001</v>
      </c>
      <c r="M97" s="699">
        <v>531.08000000000004</v>
      </c>
      <c r="N97" s="696">
        <v>4</v>
      </c>
      <c r="O97" s="700">
        <v>1</v>
      </c>
      <c r="P97" s="699">
        <v>531.08000000000004</v>
      </c>
      <c r="Q97" s="701">
        <v>1</v>
      </c>
      <c r="R97" s="696">
        <v>4</v>
      </c>
      <c r="S97" s="701">
        <v>1</v>
      </c>
      <c r="T97" s="700">
        <v>1</v>
      </c>
      <c r="U97" s="702">
        <v>1</v>
      </c>
    </row>
    <row r="98" spans="1:21" ht="14.4" customHeight="1" x14ac:dyDescent="0.3">
      <c r="A98" s="695">
        <v>7</v>
      </c>
      <c r="B98" s="696" t="s">
        <v>1978</v>
      </c>
      <c r="C98" s="696">
        <v>89301072</v>
      </c>
      <c r="D98" s="697" t="s">
        <v>3237</v>
      </c>
      <c r="E98" s="698" t="s">
        <v>2159</v>
      </c>
      <c r="F98" s="696" t="s">
        <v>2133</v>
      </c>
      <c r="G98" s="696" t="s">
        <v>2438</v>
      </c>
      <c r="H98" s="696" t="s">
        <v>547</v>
      </c>
      <c r="I98" s="696" t="s">
        <v>2445</v>
      </c>
      <c r="J98" s="696" t="s">
        <v>2446</v>
      </c>
      <c r="K98" s="696" t="s">
        <v>2447</v>
      </c>
      <c r="L98" s="699">
        <v>244.58</v>
      </c>
      <c r="M98" s="699">
        <v>1467.48</v>
      </c>
      <c r="N98" s="696">
        <v>6</v>
      </c>
      <c r="O98" s="700">
        <v>1</v>
      </c>
      <c r="P98" s="699">
        <v>1467.48</v>
      </c>
      <c r="Q98" s="701">
        <v>1</v>
      </c>
      <c r="R98" s="696">
        <v>6</v>
      </c>
      <c r="S98" s="701">
        <v>1</v>
      </c>
      <c r="T98" s="700">
        <v>1</v>
      </c>
      <c r="U98" s="702">
        <v>1</v>
      </c>
    </row>
    <row r="99" spans="1:21" ht="14.4" customHeight="1" x14ac:dyDescent="0.3">
      <c r="A99" s="695">
        <v>7</v>
      </c>
      <c r="B99" s="696" t="s">
        <v>1978</v>
      </c>
      <c r="C99" s="696">
        <v>89301072</v>
      </c>
      <c r="D99" s="697" t="s">
        <v>3237</v>
      </c>
      <c r="E99" s="698" t="s">
        <v>2159</v>
      </c>
      <c r="F99" s="696" t="s">
        <v>2133</v>
      </c>
      <c r="G99" s="696" t="s">
        <v>2438</v>
      </c>
      <c r="H99" s="696" t="s">
        <v>547</v>
      </c>
      <c r="I99" s="696" t="s">
        <v>2448</v>
      </c>
      <c r="J99" s="696" t="s">
        <v>2449</v>
      </c>
      <c r="K99" s="696" t="s">
        <v>2450</v>
      </c>
      <c r="L99" s="699">
        <v>407.64</v>
      </c>
      <c r="M99" s="699">
        <v>3668.7599999999998</v>
      </c>
      <c r="N99" s="696">
        <v>9</v>
      </c>
      <c r="O99" s="700">
        <v>1</v>
      </c>
      <c r="P99" s="699">
        <v>3668.7599999999998</v>
      </c>
      <c r="Q99" s="701">
        <v>1</v>
      </c>
      <c r="R99" s="696">
        <v>9</v>
      </c>
      <c r="S99" s="701">
        <v>1</v>
      </c>
      <c r="T99" s="700">
        <v>1</v>
      </c>
      <c r="U99" s="702">
        <v>1</v>
      </c>
    </row>
    <row r="100" spans="1:21" ht="14.4" customHeight="1" x14ac:dyDescent="0.3">
      <c r="A100" s="695">
        <v>7</v>
      </c>
      <c r="B100" s="696" t="s">
        <v>1978</v>
      </c>
      <c r="C100" s="696">
        <v>89301072</v>
      </c>
      <c r="D100" s="697" t="s">
        <v>3237</v>
      </c>
      <c r="E100" s="698" t="s">
        <v>2159</v>
      </c>
      <c r="F100" s="696" t="s">
        <v>2133</v>
      </c>
      <c r="G100" s="696" t="s">
        <v>2451</v>
      </c>
      <c r="H100" s="696" t="s">
        <v>547</v>
      </c>
      <c r="I100" s="696" t="s">
        <v>2452</v>
      </c>
      <c r="J100" s="696" t="s">
        <v>2453</v>
      </c>
      <c r="K100" s="696" t="s">
        <v>2454</v>
      </c>
      <c r="L100" s="699">
        <v>1753.54</v>
      </c>
      <c r="M100" s="699">
        <v>3507.08</v>
      </c>
      <c r="N100" s="696">
        <v>2</v>
      </c>
      <c r="O100" s="700">
        <v>1</v>
      </c>
      <c r="P100" s="699">
        <v>3507.08</v>
      </c>
      <c r="Q100" s="701">
        <v>1</v>
      </c>
      <c r="R100" s="696">
        <v>2</v>
      </c>
      <c r="S100" s="701">
        <v>1</v>
      </c>
      <c r="T100" s="700">
        <v>1</v>
      </c>
      <c r="U100" s="702">
        <v>1</v>
      </c>
    </row>
    <row r="101" spans="1:21" ht="14.4" customHeight="1" x14ac:dyDescent="0.3">
      <c r="A101" s="695">
        <v>7</v>
      </c>
      <c r="B101" s="696" t="s">
        <v>1978</v>
      </c>
      <c r="C101" s="696">
        <v>89301072</v>
      </c>
      <c r="D101" s="697" t="s">
        <v>3237</v>
      </c>
      <c r="E101" s="698" t="s">
        <v>2159</v>
      </c>
      <c r="F101" s="696" t="s">
        <v>2133</v>
      </c>
      <c r="G101" s="696" t="s">
        <v>2201</v>
      </c>
      <c r="H101" s="696" t="s">
        <v>547</v>
      </c>
      <c r="I101" s="696" t="s">
        <v>2455</v>
      </c>
      <c r="J101" s="696" t="s">
        <v>2456</v>
      </c>
      <c r="K101" s="696" t="s">
        <v>2441</v>
      </c>
      <c r="L101" s="699">
        <v>196.46</v>
      </c>
      <c r="M101" s="699">
        <v>589.38</v>
      </c>
      <c r="N101" s="696">
        <v>3</v>
      </c>
      <c r="O101" s="700">
        <v>0.5</v>
      </c>
      <c r="P101" s="699"/>
      <c r="Q101" s="701">
        <v>0</v>
      </c>
      <c r="R101" s="696"/>
      <c r="S101" s="701">
        <v>0</v>
      </c>
      <c r="T101" s="700"/>
      <c r="U101" s="702">
        <v>0</v>
      </c>
    </row>
    <row r="102" spans="1:21" ht="14.4" customHeight="1" x14ac:dyDescent="0.3">
      <c r="A102" s="695">
        <v>7</v>
      </c>
      <c r="B102" s="696" t="s">
        <v>1978</v>
      </c>
      <c r="C102" s="696">
        <v>89301072</v>
      </c>
      <c r="D102" s="697" t="s">
        <v>3237</v>
      </c>
      <c r="E102" s="698" t="s">
        <v>2159</v>
      </c>
      <c r="F102" s="696" t="s">
        <v>2133</v>
      </c>
      <c r="G102" s="696" t="s">
        <v>2201</v>
      </c>
      <c r="H102" s="696" t="s">
        <v>1438</v>
      </c>
      <c r="I102" s="696" t="s">
        <v>2457</v>
      </c>
      <c r="J102" s="696" t="s">
        <v>2458</v>
      </c>
      <c r="K102" s="696" t="s">
        <v>2441</v>
      </c>
      <c r="L102" s="699">
        <v>196.46</v>
      </c>
      <c r="M102" s="699">
        <v>1178.76</v>
      </c>
      <c r="N102" s="696">
        <v>6</v>
      </c>
      <c r="O102" s="700">
        <v>2</v>
      </c>
      <c r="P102" s="699">
        <v>1178.76</v>
      </c>
      <c r="Q102" s="701">
        <v>1</v>
      </c>
      <c r="R102" s="696">
        <v>6</v>
      </c>
      <c r="S102" s="701">
        <v>1</v>
      </c>
      <c r="T102" s="700">
        <v>2</v>
      </c>
      <c r="U102" s="702">
        <v>1</v>
      </c>
    </row>
    <row r="103" spans="1:21" ht="14.4" customHeight="1" x14ac:dyDescent="0.3">
      <c r="A103" s="695">
        <v>7</v>
      </c>
      <c r="B103" s="696" t="s">
        <v>1978</v>
      </c>
      <c r="C103" s="696">
        <v>89301072</v>
      </c>
      <c r="D103" s="697" t="s">
        <v>3237</v>
      </c>
      <c r="E103" s="698" t="s">
        <v>2159</v>
      </c>
      <c r="F103" s="696" t="s">
        <v>2133</v>
      </c>
      <c r="G103" s="696" t="s">
        <v>2288</v>
      </c>
      <c r="H103" s="696" t="s">
        <v>547</v>
      </c>
      <c r="I103" s="696" t="s">
        <v>2459</v>
      </c>
      <c r="J103" s="696" t="s">
        <v>2460</v>
      </c>
      <c r="K103" s="696" t="s">
        <v>2461</v>
      </c>
      <c r="L103" s="699">
        <v>0</v>
      </c>
      <c r="M103" s="699">
        <v>0</v>
      </c>
      <c r="N103" s="696">
        <v>6</v>
      </c>
      <c r="O103" s="700">
        <v>1</v>
      </c>
      <c r="P103" s="699">
        <v>0</v>
      </c>
      <c r="Q103" s="701"/>
      <c r="R103" s="696">
        <v>6</v>
      </c>
      <c r="S103" s="701">
        <v>1</v>
      </c>
      <c r="T103" s="700">
        <v>1</v>
      </c>
      <c r="U103" s="702">
        <v>1</v>
      </c>
    </row>
    <row r="104" spans="1:21" ht="14.4" customHeight="1" x14ac:dyDescent="0.3">
      <c r="A104" s="695">
        <v>7</v>
      </c>
      <c r="B104" s="696" t="s">
        <v>1978</v>
      </c>
      <c r="C104" s="696">
        <v>89301072</v>
      </c>
      <c r="D104" s="697" t="s">
        <v>3237</v>
      </c>
      <c r="E104" s="698" t="s">
        <v>2159</v>
      </c>
      <c r="F104" s="696" t="s">
        <v>2133</v>
      </c>
      <c r="G104" s="696" t="s">
        <v>2194</v>
      </c>
      <c r="H104" s="696" t="s">
        <v>547</v>
      </c>
      <c r="I104" s="696" t="s">
        <v>2462</v>
      </c>
      <c r="J104" s="696" t="s">
        <v>2463</v>
      </c>
      <c r="K104" s="696" t="s">
        <v>2464</v>
      </c>
      <c r="L104" s="699">
        <v>0</v>
      </c>
      <c r="M104" s="699">
        <v>0</v>
      </c>
      <c r="N104" s="696">
        <v>1</v>
      </c>
      <c r="O104" s="700">
        <v>0.5</v>
      </c>
      <c r="P104" s="699"/>
      <c r="Q104" s="701"/>
      <c r="R104" s="696"/>
      <c r="S104" s="701">
        <v>0</v>
      </c>
      <c r="T104" s="700"/>
      <c r="U104" s="702">
        <v>0</v>
      </c>
    </row>
    <row r="105" spans="1:21" ht="14.4" customHeight="1" x14ac:dyDescent="0.3">
      <c r="A105" s="695">
        <v>7</v>
      </c>
      <c r="B105" s="696" t="s">
        <v>1978</v>
      </c>
      <c r="C105" s="696">
        <v>89301072</v>
      </c>
      <c r="D105" s="697" t="s">
        <v>3237</v>
      </c>
      <c r="E105" s="698" t="s">
        <v>2160</v>
      </c>
      <c r="F105" s="696" t="s">
        <v>2133</v>
      </c>
      <c r="G105" s="696" t="s">
        <v>2465</v>
      </c>
      <c r="H105" s="696" t="s">
        <v>547</v>
      </c>
      <c r="I105" s="696" t="s">
        <v>2466</v>
      </c>
      <c r="J105" s="696" t="s">
        <v>2467</v>
      </c>
      <c r="K105" s="696" t="s">
        <v>2468</v>
      </c>
      <c r="L105" s="699">
        <v>198.04</v>
      </c>
      <c r="M105" s="699">
        <v>198.04</v>
      </c>
      <c r="N105" s="696">
        <v>1</v>
      </c>
      <c r="O105" s="700">
        <v>1</v>
      </c>
      <c r="P105" s="699">
        <v>198.04</v>
      </c>
      <c r="Q105" s="701">
        <v>1</v>
      </c>
      <c r="R105" s="696">
        <v>1</v>
      </c>
      <c r="S105" s="701">
        <v>1</v>
      </c>
      <c r="T105" s="700">
        <v>1</v>
      </c>
      <c r="U105" s="702">
        <v>1</v>
      </c>
    </row>
    <row r="106" spans="1:21" ht="14.4" customHeight="1" x14ac:dyDescent="0.3">
      <c r="A106" s="695">
        <v>7</v>
      </c>
      <c r="B106" s="696" t="s">
        <v>1978</v>
      </c>
      <c r="C106" s="696">
        <v>89301072</v>
      </c>
      <c r="D106" s="697" t="s">
        <v>3237</v>
      </c>
      <c r="E106" s="698" t="s">
        <v>2161</v>
      </c>
      <c r="F106" s="696" t="s">
        <v>2133</v>
      </c>
      <c r="G106" s="696" t="s">
        <v>2469</v>
      </c>
      <c r="H106" s="696" t="s">
        <v>547</v>
      </c>
      <c r="I106" s="696" t="s">
        <v>2470</v>
      </c>
      <c r="J106" s="696" t="s">
        <v>2471</v>
      </c>
      <c r="K106" s="696" t="s">
        <v>2472</v>
      </c>
      <c r="L106" s="699">
        <v>74.06</v>
      </c>
      <c r="M106" s="699">
        <v>74.06</v>
      </c>
      <c r="N106" s="696">
        <v>1</v>
      </c>
      <c r="O106" s="700">
        <v>1</v>
      </c>
      <c r="P106" s="699">
        <v>74.06</v>
      </c>
      <c r="Q106" s="701">
        <v>1</v>
      </c>
      <c r="R106" s="696">
        <v>1</v>
      </c>
      <c r="S106" s="701">
        <v>1</v>
      </c>
      <c r="T106" s="700">
        <v>1</v>
      </c>
      <c r="U106" s="702">
        <v>1</v>
      </c>
    </row>
    <row r="107" spans="1:21" ht="14.4" customHeight="1" x14ac:dyDescent="0.3">
      <c r="A107" s="695">
        <v>7</v>
      </c>
      <c r="B107" s="696" t="s">
        <v>1978</v>
      </c>
      <c r="C107" s="696">
        <v>89301072</v>
      </c>
      <c r="D107" s="697" t="s">
        <v>3237</v>
      </c>
      <c r="E107" s="698" t="s">
        <v>2161</v>
      </c>
      <c r="F107" s="696" t="s">
        <v>2133</v>
      </c>
      <c r="G107" s="696" t="s">
        <v>2242</v>
      </c>
      <c r="H107" s="696" t="s">
        <v>547</v>
      </c>
      <c r="I107" s="696" t="s">
        <v>2243</v>
      </c>
      <c r="J107" s="696" t="s">
        <v>2244</v>
      </c>
      <c r="K107" s="696" t="s">
        <v>2245</v>
      </c>
      <c r="L107" s="699">
        <v>0</v>
      </c>
      <c r="M107" s="699">
        <v>0</v>
      </c>
      <c r="N107" s="696">
        <v>1</v>
      </c>
      <c r="O107" s="700">
        <v>1</v>
      </c>
      <c r="P107" s="699">
        <v>0</v>
      </c>
      <c r="Q107" s="701"/>
      <c r="R107" s="696">
        <v>1</v>
      </c>
      <c r="S107" s="701">
        <v>1</v>
      </c>
      <c r="T107" s="700">
        <v>1</v>
      </c>
      <c r="U107" s="702">
        <v>1</v>
      </c>
    </row>
    <row r="108" spans="1:21" ht="14.4" customHeight="1" x14ac:dyDescent="0.3">
      <c r="A108" s="695">
        <v>7</v>
      </c>
      <c r="B108" s="696" t="s">
        <v>1978</v>
      </c>
      <c r="C108" s="696">
        <v>89301072</v>
      </c>
      <c r="D108" s="697" t="s">
        <v>3237</v>
      </c>
      <c r="E108" s="698" t="s">
        <v>2162</v>
      </c>
      <c r="F108" s="696" t="s">
        <v>2133</v>
      </c>
      <c r="G108" s="696" t="s">
        <v>2473</v>
      </c>
      <c r="H108" s="696" t="s">
        <v>547</v>
      </c>
      <c r="I108" s="696" t="s">
        <v>2474</v>
      </c>
      <c r="J108" s="696" t="s">
        <v>2475</v>
      </c>
      <c r="K108" s="696" t="s">
        <v>2476</v>
      </c>
      <c r="L108" s="699">
        <v>84.54</v>
      </c>
      <c r="M108" s="699">
        <v>169.08</v>
      </c>
      <c r="N108" s="696">
        <v>2</v>
      </c>
      <c r="O108" s="700">
        <v>0.5</v>
      </c>
      <c r="P108" s="699"/>
      <c r="Q108" s="701">
        <v>0</v>
      </c>
      <c r="R108" s="696"/>
      <c r="S108" s="701">
        <v>0</v>
      </c>
      <c r="T108" s="700"/>
      <c r="U108" s="702">
        <v>0</v>
      </c>
    </row>
    <row r="109" spans="1:21" ht="14.4" customHeight="1" x14ac:dyDescent="0.3">
      <c r="A109" s="695">
        <v>7</v>
      </c>
      <c r="B109" s="696" t="s">
        <v>1978</v>
      </c>
      <c r="C109" s="696">
        <v>89301072</v>
      </c>
      <c r="D109" s="697" t="s">
        <v>3237</v>
      </c>
      <c r="E109" s="698" t="s">
        <v>2162</v>
      </c>
      <c r="F109" s="696" t="s">
        <v>2133</v>
      </c>
      <c r="G109" s="696" t="s">
        <v>2477</v>
      </c>
      <c r="H109" s="696" t="s">
        <v>547</v>
      </c>
      <c r="I109" s="696" t="s">
        <v>2478</v>
      </c>
      <c r="J109" s="696" t="s">
        <v>2479</v>
      </c>
      <c r="K109" s="696" t="s">
        <v>2480</v>
      </c>
      <c r="L109" s="699">
        <v>0</v>
      </c>
      <c r="M109" s="699">
        <v>0</v>
      </c>
      <c r="N109" s="696">
        <v>2</v>
      </c>
      <c r="O109" s="700">
        <v>1</v>
      </c>
      <c r="P109" s="699"/>
      <c r="Q109" s="701"/>
      <c r="R109" s="696"/>
      <c r="S109" s="701">
        <v>0</v>
      </c>
      <c r="T109" s="700"/>
      <c r="U109" s="702">
        <v>0</v>
      </c>
    </row>
    <row r="110" spans="1:21" ht="14.4" customHeight="1" x14ac:dyDescent="0.3">
      <c r="A110" s="695">
        <v>7</v>
      </c>
      <c r="B110" s="696" t="s">
        <v>1978</v>
      </c>
      <c r="C110" s="696">
        <v>89301072</v>
      </c>
      <c r="D110" s="697" t="s">
        <v>3237</v>
      </c>
      <c r="E110" s="698" t="s">
        <v>2162</v>
      </c>
      <c r="F110" s="696" t="s">
        <v>2133</v>
      </c>
      <c r="G110" s="696" t="s">
        <v>2250</v>
      </c>
      <c r="H110" s="696" t="s">
        <v>1438</v>
      </c>
      <c r="I110" s="696" t="s">
        <v>2481</v>
      </c>
      <c r="J110" s="696" t="s">
        <v>2482</v>
      </c>
      <c r="K110" s="696" t="s">
        <v>834</v>
      </c>
      <c r="L110" s="699">
        <v>216.16</v>
      </c>
      <c r="M110" s="699">
        <v>432.32</v>
      </c>
      <c r="N110" s="696">
        <v>2</v>
      </c>
      <c r="O110" s="700">
        <v>0.5</v>
      </c>
      <c r="P110" s="699"/>
      <c r="Q110" s="701">
        <v>0</v>
      </c>
      <c r="R110" s="696"/>
      <c r="S110" s="701">
        <v>0</v>
      </c>
      <c r="T110" s="700"/>
      <c r="U110" s="702">
        <v>0</v>
      </c>
    </row>
    <row r="111" spans="1:21" ht="14.4" customHeight="1" x14ac:dyDescent="0.3">
      <c r="A111" s="695">
        <v>7</v>
      </c>
      <c r="B111" s="696" t="s">
        <v>1978</v>
      </c>
      <c r="C111" s="696">
        <v>89301072</v>
      </c>
      <c r="D111" s="697" t="s">
        <v>3237</v>
      </c>
      <c r="E111" s="698" t="s">
        <v>2162</v>
      </c>
      <c r="F111" s="696" t="s">
        <v>2133</v>
      </c>
      <c r="G111" s="696" t="s">
        <v>2430</v>
      </c>
      <c r="H111" s="696" t="s">
        <v>547</v>
      </c>
      <c r="I111" s="696" t="s">
        <v>2431</v>
      </c>
      <c r="J111" s="696" t="s">
        <v>2432</v>
      </c>
      <c r="K111" s="696" t="s">
        <v>2433</v>
      </c>
      <c r="L111" s="699">
        <v>46.3</v>
      </c>
      <c r="M111" s="699">
        <v>92.6</v>
      </c>
      <c r="N111" s="696">
        <v>2</v>
      </c>
      <c r="O111" s="700">
        <v>0.5</v>
      </c>
      <c r="P111" s="699"/>
      <c r="Q111" s="701">
        <v>0</v>
      </c>
      <c r="R111" s="696"/>
      <c r="S111" s="701">
        <v>0</v>
      </c>
      <c r="T111" s="700"/>
      <c r="U111" s="702">
        <v>0</v>
      </c>
    </row>
    <row r="112" spans="1:21" ht="14.4" customHeight="1" x14ac:dyDescent="0.3">
      <c r="A112" s="695">
        <v>7</v>
      </c>
      <c r="B112" s="696" t="s">
        <v>1978</v>
      </c>
      <c r="C112" s="696">
        <v>89301072</v>
      </c>
      <c r="D112" s="697" t="s">
        <v>3237</v>
      </c>
      <c r="E112" s="698" t="s">
        <v>2162</v>
      </c>
      <c r="F112" s="696" t="s">
        <v>2133</v>
      </c>
      <c r="G112" s="696" t="s">
        <v>2430</v>
      </c>
      <c r="H112" s="696" t="s">
        <v>547</v>
      </c>
      <c r="I112" s="696" t="s">
        <v>2483</v>
      </c>
      <c r="J112" s="696" t="s">
        <v>2432</v>
      </c>
      <c r="K112" s="696" t="s">
        <v>2484</v>
      </c>
      <c r="L112" s="699">
        <v>0</v>
      </c>
      <c r="M112" s="699">
        <v>0</v>
      </c>
      <c r="N112" s="696">
        <v>1</v>
      </c>
      <c r="O112" s="700">
        <v>0.5</v>
      </c>
      <c r="P112" s="699"/>
      <c r="Q112" s="701"/>
      <c r="R112" s="696"/>
      <c r="S112" s="701">
        <v>0</v>
      </c>
      <c r="T112" s="700"/>
      <c r="U112" s="702">
        <v>0</v>
      </c>
    </row>
    <row r="113" spans="1:21" ht="14.4" customHeight="1" x14ac:dyDescent="0.3">
      <c r="A113" s="695">
        <v>7</v>
      </c>
      <c r="B113" s="696" t="s">
        <v>1978</v>
      </c>
      <c r="C113" s="696">
        <v>89301072</v>
      </c>
      <c r="D113" s="697" t="s">
        <v>3237</v>
      </c>
      <c r="E113" s="698" t="s">
        <v>2162</v>
      </c>
      <c r="F113" s="696" t="s">
        <v>2133</v>
      </c>
      <c r="G113" s="696" t="s">
        <v>2393</v>
      </c>
      <c r="H113" s="696" t="s">
        <v>547</v>
      </c>
      <c r="I113" s="696" t="s">
        <v>2485</v>
      </c>
      <c r="J113" s="696" t="s">
        <v>2486</v>
      </c>
      <c r="K113" s="696" t="s">
        <v>2487</v>
      </c>
      <c r="L113" s="699">
        <v>200.07</v>
      </c>
      <c r="M113" s="699">
        <v>200.07</v>
      </c>
      <c r="N113" s="696">
        <v>1</v>
      </c>
      <c r="O113" s="700">
        <v>0.5</v>
      </c>
      <c r="P113" s="699">
        <v>200.07</v>
      </c>
      <c r="Q113" s="701">
        <v>1</v>
      </c>
      <c r="R113" s="696">
        <v>1</v>
      </c>
      <c r="S113" s="701">
        <v>1</v>
      </c>
      <c r="T113" s="700">
        <v>0.5</v>
      </c>
      <c r="U113" s="702">
        <v>1</v>
      </c>
    </row>
    <row r="114" spans="1:21" ht="14.4" customHeight="1" x14ac:dyDescent="0.3">
      <c r="A114" s="695">
        <v>7</v>
      </c>
      <c r="B114" s="696" t="s">
        <v>1978</v>
      </c>
      <c r="C114" s="696">
        <v>89301072</v>
      </c>
      <c r="D114" s="697" t="s">
        <v>3237</v>
      </c>
      <c r="E114" s="698" t="s">
        <v>2162</v>
      </c>
      <c r="F114" s="696" t="s">
        <v>2133</v>
      </c>
      <c r="G114" s="696" t="s">
        <v>2262</v>
      </c>
      <c r="H114" s="696" t="s">
        <v>547</v>
      </c>
      <c r="I114" s="696" t="s">
        <v>2399</v>
      </c>
      <c r="J114" s="696" t="s">
        <v>2400</v>
      </c>
      <c r="K114" s="696" t="s">
        <v>728</v>
      </c>
      <c r="L114" s="699">
        <v>314.89999999999998</v>
      </c>
      <c r="M114" s="699">
        <v>314.89999999999998</v>
      </c>
      <c r="N114" s="696">
        <v>1</v>
      </c>
      <c r="O114" s="700">
        <v>0.5</v>
      </c>
      <c r="P114" s="699"/>
      <c r="Q114" s="701">
        <v>0</v>
      </c>
      <c r="R114" s="696"/>
      <c r="S114" s="701">
        <v>0</v>
      </c>
      <c r="T114" s="700"/>
      <c r="U114" s="702">
        <v>0</v>
      </c>
    </row>
    <row r="115" spans="1:21" ht="14.4" customHeight="1" x14ac:dyDescent="0.3">
      <c r="A115" s="695">
        <v>7</v>
      </c>
      <c r="B115" s="696" t="s">
        <v>1978</v>
      </c>
      <c r="C115" s="696">
        <v>89301072</v>
      </c>
      <c r="D115" s="697" t="s">
        <v>3237</v>
      </c>
      <c r="E115" s="698" t="s">
        <v>2162</v>
      </c>
      <c r="F115" s="696" t="s">
        <v>2133</v>
      </c>
      <c r="G115" s="696" t="s">
        <v>2488</v>
      </c>
      <c r="H115" s="696" t="s">
        <v>547</v>
      </c>
      <c r="I115" s="696" t="s">
        <v>861</v>
      </c>
      <c r="J115" s="696" t="s">
        <v>862</v>
      </c>
      <c r="K115" s="696" t="s">
        <v>838</v>
      </c>
      <c r="L115" s="699">
        <v>203.38</v>
      </c>
      <c r="M115" s="699">
        <v>610.14</v>
      </c>
      <c r="N115" s="696">
        <v>3</v>
      </c>
      <c r="O115" s="700">
        <v>0.5</v>
      </c>
      <c r="P115" s="699">
        <v>610.14</v>
      </c>
      <c r="Q115" s="701">
        <v>1</v>
      </c>
      <c r="R115" s="696">
        <v>3</v>
      </c>
      <c r="S115" s="701">
        <v>1</v>
      </c>
      <c r="T115" s="700">
        <v>0.5</v>
      </c>
      <c r="U115" s="702">
        <v>1</v>
      </c>
    </row>
    <row r="116" spans="1:21" ht="14.4" customHeight="1" x14ac:dyDescent="0.3">
      <c r="A116" s="695">
        <v>7</v>
      </c>
      <c r="B116" s="696" t="s">
        <v>1978</v>
      </c>
      <c r="C116" s="696">
        <v>89301072</v>
      </c>
      <c r="D116" s="697" t="s">
        <v>3237</v>
      </c>
      <c r="E116" s="698" t="s">
        <v>2162</v>
      </c>
      <c r="F116" s="696" t="s">
        <v>2133</v>
      </c>
      <c r="G116" s="696" t="s">
        <v>2488</v>
      </c>
      <c r="H116" s="696" t="s">
        <v>547</v>
      </c>
      <c r="I116" s="696" t="s">
        <v>2489</v>
      </c>
      <c r="J116" s="696" t="s">
        <v>862</v>
      </c>
      <c r="K116" s="696" t="s">
        <v>2294</v>
      </c>
      <c r="L116" s="699">
        <v>610.14</v>
      </c>
      <c r="M116" s="699">
        <v>610.14</v>
      </c>
      <c r="N116" s="696">
        <v>1</v>
      </c>
      <c r="O116" s="700">
        <v>0.5</v>
      </c>
      <c r="P116" s="699"/>
      <c r="Q116" s="701">
        <v>0</v>
      </c>
      <c r="R116" s="696"/>
      <c r="S116" s="701">
        <v>0</v>
      </c>
      <c r="T116" s="700"/>
      <c r="U116" s="702">
        <v>0</v>
      </c>
    </row>
    <row r="117" spans="1:21" ht="14.4" customHeight="1" x14ac:dyDescent="0.3">
      <c r="A117" s="695">
        <v>7</v>
      </c>
      <c r="B117" s="696" t="s">
        <v>1978</v>
      </c>
      <c r="C117" s="696">
        <v>89301072</v>
      </c>
      <c r="D117" s="697" t="s">
        <v>3237</v>
      </c>
      <c r="E117" s="698" t="s">
        <v>2162</v>
      </c>
      <c r="F117" s="696" t="s">
        <v>2133</v>
      </c>
      <c r="G117" s="696" t="s">
        <v>2194</v>
      </c>
      <c r="H117" s="696" t="s">
        <v>547</v>
      </c>
      <c r="I117" s="696" t="s">
        <v>2490</v>
      </c>
      <c r="J117" s="696" t="s">
        <v>2491</v>
      </c>
      <c r="K117" s="696" t="s">
        <v>2464</v>
      </c>
      <c r="L117" s="699">
        <v>0</v>
      </c>
      <c r="M117" s="699">
        <v>0</v>
      </c>
      <c r="N117" s="696">
        <v>1</v>
      </c>
      <c r="O117" s="700">
        <v>1</v>
      </c>
      <c r="P117" s="699"/>
      <c r="Q117" s="701"/>
      <c r="R117" s="696"/>
      <c r="S117" s="701">
        <v>0</v>
      </c>
      <c r="T117" s="700"/>
      <c r="U117" s="702">
        <v>0</v>
      </c>
    </row>
    <row r="118" spans="1:21" ht="14.4" customHeight="1" x14ac:dyDescent="0.3">
      <c r="A118" s="695">
        <v>7</v>
      </c>
      <c r="B118" s="696" t="s">
        <v>1978</v>
      </c>
      <c r="C118" s="696">
        <v>89301072</v>
      </c>
      <c r="D118" s="697" t="s">
        <v>3237</v>
      </c>
      <c r="E118" s="698" t="s">
        <v>2163</v>
      </c>
      <c r="F118" s="696" t="s">
        <v>2133</v>
      </c>
      <c r="G118" s="696" t="s">
        <v>2492</v>
      </c>
      <c r="H118" s="696" t="s">
        <v>547</v>
      </c>
      <c r="I118" s="696" t="s">
        <v>2493</v>
      </c>
      <c r="J118" s="696" t="s">
        <v>2494</v>
      </c>
      <c r="K118" s="696" t="s">
        <v>2495</v>
      </c>
      <c r="L118" s="699">
        <v>25.89</v>
      </c>
      <c r="M118" s="699">
        <v>103.56</v>
      </c>
      <c r="N118" s="696">
        <v>4</v>
      </c>
      <c r="O118" s="700">
        <v>0.5</v>
      </c>
      <c r="P118" s="699">
        <v>103.56</v>
      </c>
      <c r="Q118" s="701">
        <v>1</v>
      </c>
      <c r="R118" s="696">
        <v>4</v>
      </c>
      <c r="S118" s="701">
        <v>1</v>
      </c>
      <c r="T118" s="700">
        <v>0.5</v>
      </c>
      <c r="U118" s="702">
        <v>1</v>
      </c>
    </row>
    <row r="119" spans="1:21" ht="14.4" customHeight="1" x14ac:dyDescent="0.3">
      <c r="A119" s="695">
        <v>7</v>
      </c>
      <c r="B119" s="696" t="s">
        <v>1978</v>
      </c>
      <c r="C119" s="696">
        <v>89301072</v>
      </c>
      <c r="D119" s="697" t="s">
        <v>3237</v>
      </c>
      <c r="E119" s="698" t="s">
        <v>2163</v>
      </c>
      <c r="F119" s="696" t="s">
        <v>2133</v>
      </c>
      <c r="G119" s="696" t="s">
        <v>2496</v>
      </c>
      <c r="H119" s="696" t="s">
        <v>547</v>
      </c>
      <c r="I119" s="696" t="s">
        <v>1961</v>
      </c>
      <c r="J119" s="696" t="s">
        <v>1962</v>
      </c>
      <c r="K119" s="696" t="s">
        <v>2497</v>
      </c>
      <c r="L119" s="699">
        <v>47.94</v>
      </c>
      <c r="M119" s="699">
        <v>143.82</v>
      </c>
      <c r="N119" s="696">
        <v>3</v>
      </c>
      <c r="O119" s="700">
        <v>0.5</v>
      </c>
      <c r="P119" s="699">
        <v>143.82</v>
      </c>
      <c r="Q119" s="701">
        <v>1</v>
      </c>
      <c r="R119" s="696">
        <v>3</v>
      </c>
      <c r="S119" s="701">
        <v>1</v>
      </c>
      <c r="T119" s="700">
        <v>0.5</v>
      </c>
      <c r="U119" s="702">
        <v>1</v>
      </c>
    </row>
    <row r="120" spans="1:21" ht="14.4" customHeight="1" x14ac:dyDescent="0.3">
      <c r="A120" s="695">
        <v>7</v>
      </c>
      <c r="B120" s="696" t="s">
        <v>1978</v>
      </c>
      <c r="C120" s="696">
        <v>89301072</v>
      </c>
      <c r="D120" s="697" t="s">
        <v>3237</v>
      </c>
      <c r="E120" s="698" t="s">
        <v>2163</v>
      </c>
      <c r="F120" s="696" t="s">
        <v>2133</v>
      </c>
      <c r="G120" s="696" t="s">
        <v>2220</v>
      </c>
      <c r="H120" s="696" t="s">
        <v>547</v>
      </c>
      <c r="I120" s="696" t="s">
        <v>2221</v>
      </c>
      <c r="J120" s="696" t="s">
        <v>2222</v>
      </c>
      <c r="K120" s="696" t="s">
        <v>2223</v>
      </c>
      <c r="L120" s="699">
        <v>0</v>
      </c>
      <c r="M120" s="699">
        <v>0</v>
      </c>
      <c r="N120" s="696">
        <v>3</v>
      </c>
      <c r="O120" s="700">
        <v>0.5</v>
      </c>
      <c r="P120" s="699">
        <v>0</v>
      </c>
      <c r="Q120" s="701"/>
      <c r="R120" s="696">
        <v>3</v>
      </c>
      <c r="S120" s="701">
        <v>1</v>
      </c>
      <c r="T120" s="700">
        <v>0.5</v>
      </c>
      <c r="U120" s="702">
        <v>1</v>
      </c>
    </row>
    <row r="121" spans="1:21" ht="14.4" customHeight="1" x14ac:dyDescent="0.3">
      <c r="A121" s="695">
        <v>7</v>
      </c>
      <c r="B121" s="696" t="s">
        <v>1978</v>
      </c>
      <c r="C121" s="696">
        <v>89301072</v>
      </c>
      <c r="D121" s="697" t="s">
        <v>3237</v>
      </c>
      <c r="E121" s="698" t="s">
        <v>2163</v>
      </c>
      <c r="F121" s="696" t="s">
        <v>2133</v>
      </c>
      <c r="G121" s="696" t="s">
        <v>2498</v>
      </c>
      <c r="H121" s="696" t="s">
        <v>1438</v>
      </c>
      <c r="I121" s="696" t="s">
        <v>2499</v>
      </c>
      <c r="J121" s="696" t="s">
        <v>2500</v>
      </c>
      <c r="K121" s="696" t="s">
        <v>2501</v>
      </c>
      <c r="L121" s="699">
        <v>386.51</v>
      </c>
      <c r="M121" s="699">
        <v>773.02</v>
      </c>
      <c r="N121" s="696">
        <v>2</v>
      </c>
      <c r="O121" s="700">
        <v>0.5</v>
      </c>
      <c r="P121" s="699">
        <v>773.02</v>
      </c>
      <c r="Q121" s="701">
        <v>1</v>
      </c>
      <c r="R121" s="696">
        <v>2</v>
      </c>
      <c r="S121" s="701">
        <v>1</v>
      </c>
      <c r="T121" s="700">
        <v>0.5</v>
      </c>
      <c r="U121" s="702">
        <v>1</v>
      </c>
    </row>
    <row r="122" spans="1:21" ht="14.4" customHeight="1" x14ac:dyDescent="0.3">
      <c r="A122" s="695">
        <v>7</v>
      </c>
      <c r="B122" s="696" t="s">
        <v>1978</v>
      </c>
      <c r="C122" s="696">
        <v>89301072</v>
      </c>
      <c r="D122" s="697" t="s">
        <v>3237</v>
      </c>
      <c r="E122" s="698" t="s">
        <v>2163</v>
      </c>
      <c r="F122" s="696" t="s">
        <v>2133</v>
      </c>
      <c r="G122" s="696" t="s">
        <v>2190</v>
      </c>
      <c r="H122" s="696" t="s">
        <v>547</v>
      </c>
      <c r="I122" s="696" t="s">
        <v>2502</v>
      </c>
      <c r="J122" s="696" t="s">
        <v>2503</v>
      </c>
      <c r="K122" s="696" t="s">
        <v>2504</v>
      </c>
      <c r="L122" s="699">
        <v>258.10000000000002</v>
      </c>
      <c r="M122" s="699">
        <v>774.30000000000007</v>
      </c>
      <c r="N122" s="696">
        <v>3</v>
      </c>
      <c r="O122" s="700">
        <v>0.5</v>
      </c>
      <c r="P122" s="699">
        <v>774.30000000000007</v>
      </c>
      <c r="Q122" s="701">
        <v>1</v>
      </c>
      <c r="R122" s="696">
        <v>3</v>
      </c>
      <c r="S122" s="701">
        <v>1</v>
      </c>
      <c r="T122" s="700">
        <v>0.5</v>
      </c>
      <c r="U122" s="702">
        <v>1</v>
      </c>
    </row>
    <row r="123" spans="1:21" ht="14.4" customHeight="1" x14ac:dyDescent="0.3">
      <c r="A123" s="695">
        <v>7</v>
      </c>
      <c r="B123" s="696" t="s">
        <v>1978</v>
      </c>
      <c r="C123" s="696">
        <v>89301072</v>
      </c>
      <c r="D123" s="697" t="s">
        <v>3237</v>
      </c>
      <c r="E123" s="698" t="s">
        <v>2163</v>
      </c>
      <c r="F123" s="696" t="s">
        <v>2133</v>
      </c>
      <c r="G123" s="696" t="s">
        <v>2190</v>
      </c>
      <c r="H123" s="696" t="s">
        <v>547</v>
      </c>
      <c r="I123" s="696" t="s">
        <v>2505</v>
      </c>
      <c r="J123" s="696" t="s">
        <v>2506</v>
      </c>
      <c r="K123" s="696" t="s">
        <v>2507</v>
      </c>
      <c r="L123" s="699">
        <v>0</v>
      </c>
      <c r="M123" s="699">
        <v>0</v>
      </c>
      <c r="N123" s="696">
        <v>2</v>
      </c>
      <c r="O123" s="700">
        <v>0.5</v>
      </c>
      <c r="P123" s="699">
        <v>0</v>
      </c>
      <c r="Q123" s="701"/>
      <c r="R123" s="696">
        <v>2</v>
      </c>
      <c r="S123" s="701">
        <v>1</v>
      </c>
      <c r="T123" s="700">
        <v>0.5</v>
      </c>
      <c r="U123" s="702">
        <v>1</v>
      </c>
    </row>
    <row r="124" spans="1:21" ht="14.4" customHeight="1" x14ac:dyDescent="0.3">
      <c r="A124" s="695">
        <v>7</v>
      </c>
      <c r="B124" s="696" t="s">
        <v>1978</v>
      </c>
      <c r="C124" s="696">
        <v>89301072</v>
      </c>
      <c r="D124" s="697" t="s">
        <v>3237</v>
      </c>
      <c r="E124" s="698" t="s">
        <v>2163</v>
      </c>
      <c r="F124" s="696" t="s">
        <v>2133</v>
      </c>
      <c r="G124" s="696" t="s">
        <v>2508</v>
      </c>
      <c r="H124" s="696" t="s">
        <v>547</v>
      </c>
      <c r="I124" s="696" t="s">
        <v>2509</v>
      </c>
      <c r="J124" s="696" t="s">
        <v>2510</v>
      </c>
      <c r="K124" s="696" t="s">
        <v>2511</v>
      </c>
      <c r="L124" s="699">
        <v>0</v>
      </c>
      <c r="M124" s="699">
        <v>0</v>
      </c>
      <c r="N124" s="696">
        <v>1</v>
      </c>
      <c r="O124" s="700"/>
      <c r="P124" s="699">
        <v>0</v>
      </c>
      <c r="Q124" s="701"/>
      <c r="R124" s="696">
        <v>1</v>
      </c>
      <c r="S124" s="701">
        <v>1</v>
      </c>
      <c r="T124" s="700"/>
      <c r="U124" s="702"/>
    </row>
    <row r="125" spans="1:21" ht="14.4" customHeight="1" x14ac:dyDescent="0.3">
      <c r="A125" s="695">
        <v>7</v>
      </c>
      <c r="B125" s="696" t="s">
        <v>1978</v>
      </c>
      <c r="C125" s="696">
        <v>89301072</v>
      </c>
      <c r="D125" s="697" t="s">
        <v>3237</v>
      </c>
      <c r="E125" s="698" t="s">
        <v>2164</v>
      </c>
      <c r="F125" s="696" t="s">
        <v>2133</v>
      </c>
      <c r="G125" s="696" t="s">
        <v>2305</v>
      </c>
      <c r="H125" s="696" t="s">
        <v>547</v>
      </c>
      <c r="I125" s="696" t="s">
        <v>2512</v>
      </c>
      <c r="J125" s="696" t="s">
        <v>2307</v>
      </c>
      <c r="K125" s="696" t="s">
        <v>2513</v>
      </c>
      <c r="L125" s="699">
        <v>0</v>
      </c>
      <c r="M125" s="699">
        <v>0</v>
      </c>
      <c r="N125" s="696">
        <v>1</v>
      </c>
      <c r="O125" s="700">
        <v>0.5</v>
      </c>
      <c r="P125" s="699">
        <v>0</v>
      </c>
      <c r="Q125" s="701"/>
      <c r="R125" s="696">
        <v>1</v>
      </c>
      <c r="S125" s="701">
        <v>1</v>
      </c>
      <c r="T125" s="700">
        <v>0.5</v>
      </c>
      <c r="U125" s="702">
        <v>1</v>
      </c>
    </row>
    <row r="126" spans="1:21" ht="14.4" customHeight="1" x14ac:dyDescent="0.3">
      <c r="A126" s="695">
        <v>7</v>
      </c>
      <c r="B126" s="696" t="s">
        <v>1978</v>
      </c>
      <c r="C126" s="696">
        <v>89301072</v>
      </c>
      <c r="D126" s="697" t="s">
        <v>3237</v>
      </c>
      <c r="E126" s="698" t="s">
        <v>2164</v>
      </c>
      <c r="F126" s="696" t="s">
        <v>2133</v>
      </c>
      <c r="G126" s="696" t="s">
        <v>2514</v>
      </c>
      <c r="H126" s="696" t="s">
        <v>547</v>
      </c>
      <c r="I126" s="696" t="s">
        <v>2515</v>
      </c>
      <c r="J126" s="696" t="s">
        <v>2516</v>
      </c>
      <c r="K126" s="696" t="s">
        <v>2517</v>
      </c>
      <c r="L126" s="699">
        <v>0</v>
      </c>
      <c r="M126" s="699">
        <v>0</v>
      </c>
      <c r="N126" s="696">
        <v>1</v>
      </c>
      <c r="O126" s="700">
        <v>0.5</v>
      </c>
      <c r="P126" s="699">
        <v>0</v>
      </c>
      <c r="Q126" s="701"/>
      <c r="R126" s="696">
        <v>1</v>
      </c>
      <c r="S126" s="701">
        <v>1</v>
      </c>
      <c r="T126" s="700">
        <v>0.5</v>
      </c>
      <c r="U126" s="702">
        <v>1</v>
      </c>
    </row>
    <row r="127" spans="1:21" ht="14.4" customHeight="1" x14ac:dyDescent="0.3">
      <c r="A127" s="695">
        <v>7</v>
      </c>
      <c r="B127" s="696" t="s">
        <v>1978</v>
      </c>
      <c r="C127" s="696">
        <v>89301072</v>
      </c>
      <c r="D127" s="697" t="s">
        <v>3237</v>
      </c>
      <c r="E127" s="698" t="s">
        <v>2164</v>
      </c>
      <c r="F127" s="696" t="s">
        <v>2133</v>
      </c>
      <c r="G127" s="696" t="s">
        <v>2518</v>
      </c>
      <c r="H127" s="696" t="s">
        <v>547</v>
      </c>
      <c r="I127" s="696" t="s">
        <v>2519</v>
      </c>
      <c r="J127" s="696" t="s">
        <v>2520</v>
      </c>
      <c r="K127" s="696" t="s">
        <v>2521</v>
      </c>
      <c r="L127" s="699">
        <v>937.93</v>
      </c>
      <c r="M127" s="699">
        <v>2813.79</v>
      </c>
      <c r="N127" s="696">
        <v>3</v>
      </c>
      <c r="O127" s="700">
        <v>1.5</v>
      </c>
      <c r="P127" s="699">
        <v>2813.79</v>
      </c>
      <c r="Q127" s="701">
        <v>1</v>
      </c>
      <c r="R127" s="696">
        <v>3</v>
      </c>
      <c r="S127" s="701">
        <v>1</v>
      </c>
      <c r="T127" s="700">
        <v>1.5</v>
      </c>
      <c r="U127" s="702">
        <v>1</v>
      </c>
    </row>
    <row r="128" spans="1:21" ht="14.4" customHeight="1" x14ac:dyDescent="0.3">
      <c r="A128" s="695">
        <v>7</v>
      </c>
      <c r="B128" s="696" t="s">
        <v>1978</v>
      </c>
      <c r="C128" s="696">
        <v>89301072</v>
      </c>
      <c r="D128" s="697" t="s">
        <v>3237</v>
      </c>
      <c r="E128" s="698" t="s">
        <v>2164</v>
      </c>
      <c r="F128" s="696" t="s">
        <v>2133</v>
      </c>
      <c r="G128" s="696" t="s">
        <v>2518</v>
      </c>
      <c r="H128" s="696" t="s">
        <v>547</v>
      </c>
      <c r="I128" s="696" t="s">
        <v>2522</v>
      </c>
      <c r="J128" s="696" t="s">
        <v>2520</v>
      </c>
      <c r="K128" s="696" t="s">
        <v>2523</v>
      </c>
      <c r="L128" s="699">
        <v>4689.6499999999996</v>
      </c>
      <c r="M128" s="699">
        <v>9379.2999999999993</v>
      </c>
      <c r="N128" s="696">
        <v>2</v>
      </c>
      <c r="O128" s="700">
        <v>0.5</v>
      </c>
      <c r="P128" s="699">
        <v>9379.2999999999993</v>
      </c>
      <c r="Q128" s="701">
        <v>1</v>
      </c>
      <c r="R128" s="696">
        <v>2</v>
      </c>
      <c r="S128" s="701">
        <v>1</v>
      </c>
      <c r="T128" s="700">
        <v>0.5</v>
      </c>
      <c r="U128" s="702">
        <v>1</v>
      </c>
    </row>
    <row r="129" spans="1:21" ht="14.4" customHeight="1" x14ac:dyDescent="0.3">
      <c r="A129" s="695">
        <v>7</v>
      </c>
      <c r="B129" s="696" t="s">
        <v>1978</v>
      </c>
      <c r="C129" s="696">
        <v>89301072</v>
      </c>
      <c r="D129" s="697" t="s">
        <v>3237</v>
      </c>
      <c r="E129" s="698" t="s">
        <v>2164</v>
      </c>
      <c r="F129" s="696" t="s">
        <v>2133</v>
      </c>
      <c r="G129" s="696" t="s">
        <v>2524</v>
      </c>
      <c r="H129" s="696" t="s">
        <v>547</v>
      </c>
      <c r="I129" s="696" t="s">
        <v>2525</v>
      </c>
      <c r="J129" s="696" t="s">
        <v>2526</v>
      </c>
      <c r="K129" s="696" t="s">
        <v>2527</v>
      </c>
      <c r="L129" s="699">
        <v>66.599999999999994</v>
      </c>
      <c r="M129" s="699">
        <v>133.19999999999999</v>
      </c>
      <c r="N129" s="696">
        <v>2</v>
      </c>
      <c r="O129" s="700">
        <v>0.5</v>
      </c>
      <c r="P129" s="699">
        <v>133.19999999999999</v>
      </c>
      <c r="Q129" s="701">
        <v>1</v>
      </c>
      <c r="R129" s="696">
        <v>2</v>
      </c>
      <c r="S129" s="701">
        <v>1</v>
      </c>
      <c r="T129" s="700">
        <v>0.5</v>
      </c>
      <c r="U129" s="702">
        <v>1</v>
      </c>
    </row>
    <row r="130" spans="1:21" ht="14.4" customHeight="1" x14ac:dyDescent="0.3">
      <c r="A130" s="695">
        <v>7</v>
      </c>
      <c r="B130" s="696" t="s">
        <v>1978</v>
      </c>
      <c r="C130" s="696">
        <v>89301072</v>
      </c>
      <c r="D130" s="697" t="s">
        <v>3237</v>
      </c>
      <c r="E130" s="698" t="s">
        <v>2164</v>
      </c>
      <c r="F130" s="696" t="s">
        <v>2133</v>
      </c>
      <c r="G130" s="696" t="s">
        <v>2492</v>
      </c>
      <c r="H130" s="696" t="s">
        <v>547</v>
      </c>
      <c r="I130" s="696" t="s">
        <v>2528</v>
      </c>
      <c r="J130" s="696" t="s">
        <v>2529</v>
      </c>
      <c r="K130" s="696" t="s">
        <v>853</v>
      </c>
      <c r="L130" s="699">
        <v>0</v>
      </c>
      <c r="M130" s="699">
        <v>0</v>
      </c>
      <c r="N130" s="696">
        <v>4</v>
      </c>
      <c r="O130" s="700">
        <v>1.5</v>
      </c>
      <c r="P130" s="699">
        <v>0</v>
      </c>
      <c r="Q130" s="701"/>
      <c r="R130" s="696">
        <v>3</v>
      </c>
      <c r="S130" s="701">
        <v>0.75</v>
      </c>
      <c r="T130" s="700">
        <v>1</v>
      </c>
      <c r="U130" s="702">
        <v>0.66666666666666663</v>
      </c>
    </row>
    <row r="131" spans="1:21" ht="14.4" customHeight="1" x14ac:dyDescent="0.3">
      <c r="A131" s="695">
        <v>7</v>
      </c>
      <c r="B131" s="696" t="s">
        <v>1978</v>
      </c>
      <c r="C131" s="696">
        <v>89301072</v>
      </c>
      <c r="D131" s="697" t="s">
        <v>3237</v>
      </c>
      <c r="E131" s="698" t="s">
        <v>2164</v>
      </c>
      <c r="F131" s="696" t="s">
        <v>2133</v>
      </c>
      <c r="G131" s="696" t="s">
        <v>2530</v>
      </c>
      <c r="H131" s="696" t="s">
        <v>1438</v>
      </c>
      <c r="I131" s="696" t="s">
        <v>1471</v>
      </c>
      <c r="J131" s="696" t="s">
        <v>1472</v>
      </c>
      <c r="K131" s="696" t="s">
        <v>1473</v>
      </c>
      <c r="L131" s="699">
        <v>25.07</v>
      </c>
      <c r="M131" s="699">
        <v>25.07</v>
      </c>
      <c r="N131" s="696">
        <v>1</v>
      </c>
      <c r="O131" s="700">
        <v>0.5</v>
      </c>
      <c r="P131" s="699">
        <v>25.07</v>
      </c>
      <c r="Q131" s="701">
        <v>1</v>
      </c>
      <c r="R131" s="696">
        <v>1</v>
      </c>
      <c r="S131" s="701">
        <v>1</v>
      </c>
      <c r="T131" s="700">
        <v>0.5</v>
      </c>
      <c r="U131" s="702">
        <v>1</v>
      </c>
    </row>
    <row r="132" spans="1:21" ht="14.4" customHeight="1" x14ac:dyDescent="0.3">
      <c r="A132" s="695">
        <v>7</v>
      </c>
      <c r="B132" s="696" t="s">
        <v>1978</v>
      </c>
      <c r="C132" s="696">
        <v>89301072</v>
      </c>
      <c r="D132" s="697" t="s">
        <v>3237</v>
      </c>
      <c r="E132" s="698" t="s">
        <v>2164</v>
      </c>
      <c r="F132" s="696" t="s">
        <v>2133</v>
      </c>
      <c r="G132" s="696" t="s">
        <v>2530</v>
      </c>
      <c r="H132" s="696" t="s">
        <v>547</v>
      </c>
      <c r="I132" s="696" t="s">
        <v>2531</v>
      </c>
      <c r="J132" s="696" t="s">
        <v>1472</v>
      </c>
      <c r="K132" s="696" t="s">
        <v>2532</v>
      </c>
      <c r="L132" s="699">
        <v>0</v>
      </c>
      <c r="M132" s="699">
        <v>0</v>
      </c>
      <c r="N132" s="696">
        <v>1</v>
      </c>
      <c r="O132" s="700">
        <v>0.5</v>
      </c>
      <c r="P132" s="699">
        <v>0</v>
      </c>
      <c r="Q132" s="701"/>
      <c r="R132" s="696">
        <v>1</v>
      </c>
      <c r="S132" s="701">
        <v>1</v>
      </c>
      <c r="T132" s="700">
        <v>0.5</v>
      </c>
      <c r="U132" s="702">
        <v>1</v>
      </c>
    </row>
    <row r="133" spans="1:21" ht="14.4" customHeight="1" x14ac:dyDescent="0.3">
      <c r="A133" s="695">
        <v>7</v>
      </c>
      <c r="B133" s="696" t="s">
        <v>1978</v>
      </c>
      <c r="C133" s="696">
        <v>89301072</v>
      </c>
      <c r="D133" s="697" t="s">
        <v>3237</v>
      </c>
      <c r="E133" s="698" t="s">
        <v>2164</v>
      </c>
      <c r="F133" s="696" t="s">
        <v>2133</v>
      </c>
      <c r="G133" s="696" t="s">
        <v>2533</v>
      </c>
      <c r="H133" s="696" t="s">
        <v>1438</v>
      </c>
      <c r="I133" s="696" t="s">
        <v>2534</v>
      </c>
      <c r="J133" s="696" t="s">
        <v>1479</v>
      </c>
      <c r="K133" s="696" t="s">
        <v>2535</v>
      </c>
      <c r="L133" s="699">
        <v>0</v>
      </c>
      <c r="M133" s="699">
        <v>0</v>
      </c>
      <c r="N133" s="696">
        <v>3</v>
      </c>
      <c r="O133" s="700">
        <v>2</v>
      </c>
      <c r="P133" s="699">
        <v>0</v>
      </c>
      <c r="Q133" s="701"/>
      <c r="R133" s="696">
        <v>3</v>
      </c>
      <c r="S133" s="701">
        <v>1</v>
      </c>
      <c r="T133" s="700">
        <v>2</v>
      </c>
      <c r="U133" s="702">
        <v>1</v>
      </c>
    </row>
    <row r="134" spans="1:21" ht="14.4" customHeight="1" x14ac:dyDescent="0.3">
      <c r="A134" s="695">
        <v>7</v>
      </c>
      <c r="B134" s="696" t="s">
        <v>1978</v>
      </c>
      <c r="C134" s="696">
        <v>89301072</v>
      </c>
      <c r="D134" s="697" t="s">
        <v>3237</v>
      </c>
      <c r="E134" s="698" t="s">
        <v>2164</v>
      </c>
      <c r="F134" s="696" t="s">
        <v>2133</v>
      </c>
      <c r="G134" s="696" t="s">
        <v>2536</v>
      </c>
      <c r="H134" s="696" t="s">
        <v>547</v>
      </c>
      <c r="I134" s="696" t="s">
        <v>2537</v>
      </c>
      <c r="J134" s="696" t="s">
        <v>2538</v>
      </c>
      <c r="K134" s="696" t="s">
        <v>2464</v>
      </c>
      <c r="L134" s="699">
        <v>0</v>
      </c>
      <c r="M134" s="699">
        <v>0</v>
      </c>
      <c r="N134" s="696">
        <v>1</v>
      </c>
      <c r="O134" s="700">
        <v>0.5</v>
      </c>
      <c r="P134" s="699">
        <v>0</v>
      </c>
      <c r="Q134" s="701"/>
      <c r="R134" s="696">
        <v>1</v>
      </c>
      <c r="S134" s="701">
        <v>1</v>
      </c>
      <c r="T134" s="700">
        <v>0.5</v>
      </c>
      <c r="U134" s="702">
        <v>1</v>
      </c>
    </row>
    <row r="135" spans="1:21" ht="14.4" customHeight="1" x14ac:dyDescent="0.3">
      <c r="A135" s="695">
        <v>7</v>
      </c>
      <c r="B135" s="696" t="s">
        <v>1978</v>
      </c>
      <c r="C135" s="696">
        <v>89301072</v>
      </c>
      <c r="D135" s="697" t="s">
        <v>3237</v>
      </c>
      <c r="E135" s="698" t="s">
        <v>2164</v>
      </c>
      <c r="F135" s="696" t="s">
        <v>2133</v>
      </c>
      <c r="G135" s="696" t="s">
        <v>2536</v>
      </c>
      <c r="H135" s="696" t="s">
        <v>547</v>
      </c>
      <c r="I135" s="696" t="s">
        <v>2539</v>
      </c>
      <c r="J135" s="696" t="s">
        <v>2538</v>
      </c>
      <c r="K135" s="696" t="s">
        <v>2406</v>
      </c>
      <c r="L135" s="699">
        <v>0</v>
      </c>
      <c r="M135" s="699">
        <v>0</v>
      </c>
      <c r="N135" s="696">
        <v>1</v>
      </c>
      <c r="O135" s="700">
        <v>0.5</v>
      </c>
      <c r="P135" s="699">
        <v>0</v>
      </c>
      <c r="Q135" s="701"/>
      <c r="R135" s="696">
        <v>1</v>
      </c>
      <c r="S135" s="701">
        <v>1</v>
      </c>
      <c r="T135" s="700">
        <v>0.5</v>
      </c>
      <c r="U135" s="702">
        <v>1</v>
      </c>
    </row>
    <row r="136" spans="1:21" ht="14.4" customHeight="1" x14ac:dyDescent="0.3">
      <c r="A136" s="695">
        <v>7</v>
      </c>
      <c r="B136" s="696" t="s">
        <v>1978</v>
      </c>
      <c r="C136" s="696">
        <v>89301072</v>
      </c>
      <c r="D136" s="697" t="s">
        <v>3237</v>
      </c>
      <c r="E136" s="698" t="s">
        <v>2164</v>
      </c>
      <c r="F136" s="696" t="s">
        <v>2133</v>
      </c>
      <c r="G136" s="696" t="s">
        <v>2536</v>
      </c>
      <c r="H136" s="696" t="s">
        <v>547</v>
      </c>
      <c r="I136" s="696" t="s">
        <v>2540</v>
      </c>
      <c r="J136" s="696" t="s">
        <v>2538</v>
      </c>
      <c r="K136" s="696" t="s">
        <v>2541</v>
      </c>
      <c r="L136" s="699">
        <v>0</v>
      </c>
      <c r="M136" s="699">
        <v>0</v>
      </c>
      <c r="N136" s="696">
        <v>2</v>
      </c>
      <c r="O136" s="700">
        <v>1</v>
      </c>
      <c r="P136" s="699">
        <v>0</v>
      </c>
      <c r="Q136" s="701"/>
      <c r="R136" s="696">
        <v>2</v>
      </c>
      <c r="S136" s="701">
        <v>1</v>
      </c>
      <c r="T136" s="700">
        <v>1</v>
      </c>
      <c r="U136" s="702">
        <v>1</v>
      </c>
    </row>
    <row r="137" spans="1:21" ht="14.4" customHeight="1" x14ac:dyDescent="0.3">
      <c r="A137" s="695">
        <v>7</v>
      </c>
      <c r="B137" s="696" t="s">
        <v>1978</v>
      </c>
      <c r="C137" s="696">
        <v>89301072</v>
      </c>
      <c r="D137" s="697" t="s">
        <v>3237</v>
      </c>
      <c r="E137" s="698" t="s">
        <v>2164</v>
      </c>
      <c r="F137" s="696" t="s">
        <v>2133</v>
      </c>
      <c r="G137" s="696" t="s">
        <v>2536</v>
      </c>
      <c r="H137" s="696" t="s">
        <v>547</v>
      </c>
      <c r="I137" s="696" t="s">
        <v>2542</v>
      </c>
      <c r="J137" s="696" t="s">
        <v>2538</v>
      </c>
      <c r="K137" s="696" t="s">
        <v>2543</v>
      </c>
      <c r="L137" s="699">
        <v>0</v>
      </c>
      <c r="M137" s="699">
        <v>0</v>
      </c>
      <c r="N137" s="696">
        <v>1</v>
      </c>
      <c r="O137" s="700">
        <v>0.5</v>
      </c>
      <c r="P137" s="699">
        <v>0</v>
      </c>
      <c r="Q137" s="701"/>
      <c r="R137" s="696">
        <v>1</v>
      </c>
      <c r="S137" s="701">
        <v>1</v>
      </c>
      <c r="T137" s="700">
        <v>0.5</v>
      </c>
      <c r="U137" s="702">
        <v>1</v>
      </c>
    </row>
    <row r="138" spans="1:21" ht="14.4" customHeight="1" x14ac:dyDescent="0.3">
      <c r="A138" s="695">
        <v>7</v>
      </c>
      <c r="B138" s="696" t="s">
        <v>1978</v>
      </c>
      <c r="C138" s="696">
        <v>89301072</v>
      </c>
      <c r="D138" s="697" t="s">
        <v>3237</v>
      </c>
      <c r="E138" s="698" t="s">
        <v>2164</v>
      </c>
      <c r="F138" s="696" t="s">
        <v>2133</v>
      </c>
      <c r="G138" s="696" t="s">
        <v>2544</v>
      </c>
      <c r="H138" s="696" t="s">
        <v>547</v>
      </c>
      <c r="I138" s="696" t="s">
        <v>2545</v>
      </c>
      <c r="J138" s="696" t="s">
        <v>2546</v>
      </c>
      <c r="K138" s="696" t="s">
        <v>2547</v>
      </c>
      <c r="L138" s="699">
        <v>810.99</v>
      </c>
      <c r="M138" s="699">
        <v>2432.9700000000003</v>
      </c>
      <c r="N138" s="696">
        <v>3</v>
      </c>
      <c r="O138" s="700">
        <v>0.5</v>
      </c>
      <c r="P138" s="699">
        <v>2432.9700000000003</v>
      </c>
      <c r="Q138" s="701">
        <v>1</v>
      </c>
      <c r="R138" s="696">
        <v>3</v>
      </c>
      <c r="S138" s="701">
        <v>1</v>
      </c>
      <c r="T138" s="700">
        <v>0.5</v>
      </c>
      <c r="U138" s="702">
        <v>1</v>
      </c>
    </row>
    <row r="139" spans="1:21" ht="14.4" customHeight="1" x14ac:dyDescent="0.3">
      <c r="A139" s="695">
        <v>7</v>
      </c>
      <c r="B139" s="696" t="s">
        <v>1978</v>
      </c>
      <c r="C139" s="696">
        <v>89301072</v>
      </c>
      <c r="D139" s="697" t="s">
        <v>3237</v>
      </c>
      <c r="E139" s="698" t="s">
        <v>2164</v>
      </c>
      <c r="F139" s="696" t="s">
        <v>2133</v>
      </c>
      <c r="G139" s="696" t="s">
        <v>2186</v>
      </c>
      <c r="H139" s="696" t="s">
        <v>1438</v>
      </c>
      <c r="I139" s="696" t="s">
        <v>2187</v>
      </c>
      <c r="J139" s="696" t="s">
        <v>2188</v>
      </c>
      <c r="K139" s="696" t="s">
        <v>2189</v>
      </c>
      <c r="L139" s="699">
        <v>625.29</v>
      </c>
      <c r="M139" s="699">
        <v>90667.049999999988</v>
      </c>
      <c r="N139" s="696">
        <v>145</v>
      </c>
      <c r="O139" s="700">
        <v>1</v>
      </c>
      <c r="P139" s="699">
        <v>7503.48</v>
      </c>
      <c r="Q139" s="701">
        <v>8.2758620689655185E-2</v>
      </c>
      <c r="R139" s="696">
        <v>12</v>
      </c>
      <c r="S139" s="701">
        <v>8.2758620689655171E-2</v>
      </c>
      <c r="T139" s="700">
        <v>0.5</v>
      </c>
      <c r="U139" s="702">
        <v>0.5</v>
      </c>
    </row>
    <row r="140" spans="1:21" ht="14.4" customHeight="1" x14ac:dyDescent="0.3">
      <c r="A140" s="695">
        <v>7</v>
      </c>
      <c r="B140" s="696" t="s">
        <v>1978</v>
      </c>
      <c r="C140" s="696">
        <v>89301072</v>
      </c>
      <c r="D140" s="697" t="s">
        <v>3237</v>
      </c>
      <c r="E140" s="698" t="s">
        <v>2164</v>
      </c>
      <c r="F140" s="696" t="s">
        <v>2133</v>
      </c>
      <c r="G140" s="696" t="s">
        <v>2548</v>
      </c>
      <c r="H140" s="696" t="s">
        <v>547</v>
      </c>
      <c r="I140" s="696" t="s">
        <v>2549</v>
      </c>
      <c r="J140" s="696" t="s">
        <v>2550</v>
      </c>
      <c r="K140" s="696" t="s">
        <v>2551</v>
      </c>
      <c r="L140" s="699">
        <v>0</v>
      </c>
      <c r="M140" s="699">
        <v>0</v>
      </c>
      <c r="N140" s="696">
        <v>1</v>
      </c>
      <c r="O140" s="700">
        <v>0.5</v>
      </c>
      <c r="P140" s="699">
        <v>0</v>
      </c>
      <c r="Q140" s="701"/>
      <c r="R140" s="696">
        <v>1</v>
      </c>
      <c r="S140" s="701">
        <v>1</v>
      </c>
      <c r="T140" s="700">
        <v>0.5</v>
      </c>
      <c r="U140" s="702">
        <v>1</v>
      </c>
    </row>
    <row r="141" spans="1:21" ht="14.4" customHeight="1" x14ac:dyDescent="0.3">
      <c r="A141" s="695">
        <v>7</v>
      </c>
      <c r="B141" s="696" t="s">
        <v>1978</v>
      </c>
      <c r="C141" s="696">
        <v>89301072</v>
      </c>
      <c r="D141" s="697" t="s">
        <v>3237</v>
      </c>
      <c r="E141" s="698" t="s">
        <v>2164</v>
      </c>
      <c r="F141" s="696" t="s">
        <v>2133</v>
      </c>
      <c r="G141" s="696" t="s">
        <v>2262</v>
      </c>
      <c r="H141" s="696" t="s">
        <v>547</v>
      </c>
      <c r="I141" s="696" t="s">
        <v>727</v>
      </c>
      <c r="J141" s="696" t="s">
        <v>724</v>
      </c>
      <c r="K141" s="696" t="s">
        <v>2266</v>
      </c>
      <c r="L141" s="699">
        <v>314.89999999999998</v>
      </c>
      <c r="M141" s="699">
        <v>944.69999999999993</v>
      </c>
      <c r="N141" s="696">
        <v>3</v>
      </c>
      <c r="O141" s="700">
        <v>0.5</v>
      </c>
      <c r="P141" s="699">
        <v>944.69999999999993</v>
      </c>
      <c r="Q141" s="701">
        <v>1</v>
      </c>
      <c r="R141" s="696">
        <v>3</v>
      </c>
      <c r="S141" s="701">
        <v>1</v>
      </c>
      <c r="T141" s="700">
        <v>0.5</v>
      </c>
      <c r="U141" s="702">
        <v>1</v>
      </c>
    </row>
    <row r="142" spans="1:21" ht="14.4" customHeight="1" x14ac:dyDescent="0.3">
      <c r="A142" s="695">
        <v>7</v>
      </c>
      <c r="B142" s="696" t="s">
        <v>1978</v>
      </c>
      <c r="C142" s="696">
        <v>89301072</v>
      </c>
      <c r="D142" s="697" t="s">
        <v>3237</v>
      </c>
      <c r="E142" s="698" t="s">
        <v>2164</v>
      </c>
      <c r="F142" s="696" t="s">
        <v>2133</v>
      </c>
      <c r="G142" s="696" t="s">
        <v>2552</v>
      </c>
      <c r="H142" s="696" t="s">
        <v>547</v>
      </c>
      <c r="I142" s="696" t="s">
        <v>2553</v>
      </c>
      <c r="J142" s="696" t="s">
        <v>2554</v>
      </c>
      <c r="K142" s="696" t="s">
        <v>2555</v>
      </c>
      <c r="L142" s="699">
        <v>0</v>
      </c>
      <c r="M142" s="699">
        <v>0</v>
      </c>
      <c r="N142" s="696">
        <v>3</v>
      </c>
      <c r="O142" s="700">
        <v>0.5</v>
      </c>
      <c r="P142" s="699">
        <v>0</v>
      </c>
      <c r="Q142" s="701"/>
      <c r="R142" s="696">
        <v>3</v>
      </c>
      <c r="S142" s="701">
        <v>1</v>
      </c>
      <c r="T142" s="700">
        <v>0.5</v>
      </c>
      <c r="U142" s="702">
        <v>1</v>
      </c>
    </row>
    <row r="143" spans="1:21" ht="14.4" customHeight="1" x14ac:dyDescent="0.3">
      <c r="A143" s="695">
        <v>7</v>
      </c>
      <c r="B143" s="696" t="s">
        <v>1978</v>
      </c>
      <c r="C143" s="696">
        <v>89301072</v>
      </c>
      <c r="D143" s="697" t="s">
        <v>3237</v>
      </c>
      <c r="E143" s="698" t="s">
        <v>2164</v>
      </c>
      <c r="F143" s="696" t="s">
        <v>2133</v>
      </c>
      <c r="G143" s="696" t="s">
        <v>2198</v>
      </c>
      <c r="H143" s="696" t="s">
        <v>547</v>
      </c>
      <c r="I143" s="696" t="s">
        <v>742</v>
      </c>
      <c r="J143" s="696" t="s">
        <v>2199</v>
      </c>
      <c r="K143" s="696" t="s">
        <v>2200</v>
      </c>
      <c r="L143" s="699">
        <v>0</v>
      </c>
      <c r="M143" s="699">
        <v>0</v>
      </c>
      <c r="N143" s="696">
        <v>3</v>
      </c>
      <c r="O143" s="700">
        <v>1</v>
      </c>
      <c r="P143" s="699">
        <v>0</v>
      </c>
      <c r="Q143" s="701"/>
      <c r="R143" s="696">
        <v>3</v>
      </c>
      <c r="S143" s="701">
        <v>1</v>
      </c>
      <c r="T143" s="700">
        <v>1</v>
      </c>
      <c r="U143" s="702">
        <v>1</v>
      </c>
    </row>
    <row r="144" spans="1:21" ht="14.4" customHeight="1" x14ac:dyDescent="0.3">
      <c r="A144" s="695">
        <v>7</v>
      </c>
      <c r="B144" s="696" t="s">
        <v>1978</v>
      </c>
      <c r="C144" s="696">
        <v>89301072</v>
      </c>
      <c r="D144" s="697" t="s">
        <v>3237</v>
      </c>
      <c r="E144" s="698" t="s">
        <v>2164</v>
      </c>
      <c r="F144" s="696" t="s">
        <v>2133</v>
      </c>
      <c r="G144" s="696" t="s">
        <v>2556</v>
      </c>
      <c r="H144" s="696" t="s">
        <v>547</v>
      </c>
      <c r="I144" s="696" t="s">
        <v>2557</v>
      </c>
      <c r="J144" s="696" t="s">
        <v>2558</v>
      </c>
      <c r="K144" s="696" t="s">
        <v>2559</v>
      </c>
      <c r="L144" s="699">
        <v>131.96</v>
      </c>
      <c r="M144" s="699">
        <v>1583.52</v>
      </c>
      <c r="N144" s="696">
        <v>12</v>
      </c>
      <c r="O144" s="700">
        <v>1</v>
      </c>
      <c r="P144" s="699">
        <v>1583.52</v>
      </c>
      <c r="Q144" s="701">
        <v>1</v>
      </c>
      <c r="R144" s="696">
        <v>12</v>
      </c>
      <c r="S144" s="701">
        <v>1</v>
      </c>
      <c r="T144" s="700">
        <v>1</v>
      </c>
      <c r="U144" s="702">
        <v>1</v>
      </c>
    </row>
    <row r="145" spans="1:21" ht="14.4" customHeight="1" x14ac:dyDescent="0.3">
      <c r="A145" s="695">
        <v>7</v>
      </c>
      <c r="B145" s="696" t="s">
        <v>1978</v>
      </c>
      <c r="C145" s="696">
        <v>89301072</v>
      </c>
      <c r="D145" s="697" t="s">
        <v>3237</v>
      </c>
      <c r="E145" s="698" t="s">
        <v>2164</v>
      </c>
      <c r="F145" s="696" t="s">
        <v>2133</v>
      </c>
      <c r="G145" s="696" t="s">
        <v>2560</v>
      </c>
      <c r="H145" s="696" t="s">
        <v>547</v>
      </c>
      <c r="I145" s="696" t="s">
        <v>749</v>
      </c>
      <c r="J145" s="696" t="s">
        <v>2561</v>
      </c>
      <c r="K145" s="696" t="s">
        <v>2562</v>
      </c>
      <c r="L145" s="699">
        <v>85.49</v>
      </c>
      <c r="M145" s="699">
        <v>170.98</v>
      </c>
      <c r="N145" s="696">
        <v>2</v>
      </c>
      <c r="O145" s="700">
        <v>0.5</v>
      </c>
      <c r="P145" s="699">
        <v>170.98</v>
      </c>
      <c r="Q145" s="701">
        <v>1</v>
      </c>
      <c r="R145" s="696">
        <v>2</v>
      </c>
      <c r="S145" s="701">
        <v>1</v>
      </c>
      <c r="T145" s="700">
        <v>0.5</v>
      </c>
      <c r="U145" s="702">
        <v>1</v>
      </c>
    </row>
    <row r="146" spans="1:21" ht="14.4" customHeight="1" x14ac:dyDescent="0.3">
      <c r="A146" s="695">
        <v>7</v>
      </c>
      <c r="B146" s="696" t="s">
        <v>1978</v>
      </c>
      <c r="C146" s="696">
        <v>89301072</v>
      </c>
      <c r="D146" s="697" t="s">
        <v>3237</v>
      </c>
      <c r="E146" s="698" t="s">
        <v>2164</v>
      </c>
      <c r="F146" s="696" t="s">
        <v>2133</v>
      </c>
      <c r="G146" s="696" t="s">
        <v>2194</v>
      </c>
      <c r="H146" s="696" t="s">
        <v>547</v>
      </c>
      <c r="I146" s="696" t="s">
        <v>2563</v>
      </c>
      <c r="J146" s="696" t="s">
        <v>2564</v>
      </c>
      <c r="K146" s="696" t="s">
        <v>2303</v>
      </c>
      <c r="L146" s="699">
        <v>0</v>
      </c>
      <c r="M146" s="699">
        <v>0</v>
      </c>
      <c r="N146" s="696">
        <v>1</v>
      </c>
      <c r="O146" s="700">
        <v>0.5</v>
      </c>
      <c r="P146" s="699">
        <v>0</v>
      </c>
      <c r="Q146" s="701"/>
      <c r="R146" s="696">
        <v>1</v>
      </c>
      <c r="S146" s="701">
        <v>1</v>
      </c>
      <c r="T146" s="700">
        <v>0.5</v>
      </c>
      <c r="U146" s="702">
        <v>1</v>
      </c>
    </row>
    <row r="147" spans="1:21" ht="14.4" customHeight="1" x14ac:dyDescent="0.3">
      <c r="A147" s="695">
        <v>7</v>
      </c>
      <c r="B147" s="696" t="s">
        <v>1978</v>
      </c>
      <c r="C147" s="696">
        <v>89301072</v>
      </c>
      <c r="D147" s="697" t="s">
        <v>3237</v>
      </c>
      <c r="E147" s="698" t="s">
        <v>2164</v>
      </c>
      <c r="F147" s="696" t="s">
        <v>2133</v>
      </c>
      <c r="G147" s="696" t="s">
        <v>2194</v>
      </c>
      <c r="H147" s="696" t="s">
        <v>547</v>
      </c>
      <c r="I147" s="696" t="s">
        <v>2565</v>
      </c>
      <c r="J147" s="696" t="s">
        <v>2564</v>
      </c>
      <c r="K147" s="696" t="s">
        <v>2406</v>
      </c>
      <c r="L147" s="699">
        <v>0</v>
      </c>
      <c r="M147" s="699">
        <v>0</v>
      </c>
      <c r="N147" s="696">
        <v>1</v>
      </c>
      <c r="O147" s="700">
        <v>0.5</v>
      </c>
      <c r="P147" s="699">
        <v>0</v>
      </c>
      <c r="Q147" s="701"/>
      <c r="R147" s="696">
        <v>1</v>
      </c>
      <c r="S147" s="701">
        <v>1</v>
      </c>
      <c r="T147" s="700">
        <v>0.5</v>
      </c>
      <c r="U147" s="702">
        <v>1</v>
      </c>
    </row>
    <row r="148" spans="1:21" ht="14.4" customHeight="1" x14ac:dyDescent="0.3">
      <c r="A148" s="695">
        <v>7</v>
      </c>
      <c r="B148" s="696" t="s">
        <v>1978</v>
      </c>
      <c r="C148" s="696">
        <v>89301072</v>
      </c>
      <c r="D148" s="697" t="s">
        <v>3237</v>
      </c>
      <c r="E148" s="698" t="s">
        <v>2165</v>
      </c>
      <c r="F148" s="696" t="s">
        <v>2133</v>
      </c>
      <c r="G148" s="696" t="s">
        <v>2309</v>
      </c>
      <c r="H148" s="696" t="s">
        <v>1438</v>
      </c>
      <c r="I148" s="696" t="s">
        <v>2338</v>
      </c>
      <c r="J148" s="696" t="s">
        <v>2339</v>
      </c>
      <c r="K148" s="696" t="s">
        <v>2340</v>
      </c>
      <c r="L148" s="699">
        <v>333.31</v>
      </c>
      <c r="M148" s="699">
        <v>333.31</v>
      </c>
      <c r="N148" s="696">
        <v>1</v>
      </c>
      <c r="O148" s="700">
        <v>0.5</v>
      </c>
      <c r="P148" s="699">
        <v>333.31</v>
      </c>
      <c r="Q148" s="701">
        <v>1</v>
      </c>
      <c r="R148" s="696">
        <v>1</v>
      </c>
      <c r="S148" s="701">
        <v>1</v>
      </c>
      <c r="T148" s="700">
        <v>0.5</v>
      </c>
      <c r="U148" s="702">
        <v>1</v>
      </c>
    </row>
    <row r="149" spans="1:21" ht="14.4" customHeight="1" x14ac:dyDescent="0.3">
      <c r="A149" s="695">
        <v>7</v>
      </c>
      <c r="B149" s="696" t="s">
        <v>1978</v>
      </c>
      <c r="C149" s="696">
        <v>89301072</v>
      </c>
      <c r="D149" s="697" t="s">
        <v>3237</v>
      </c>
      <c r="E149" s="698" t="s">
        <v>2165</v>
      </c>
      <c r="F149" s="696" t="s">
        <v>2133</v>
      </c>
      <c r="G149" s="696" t="s">
        <v>2208</v>
      </c>
      <c r="H149" s="696" t="s">
        <v>1438</v>
      </c>
      <c r="I149" s="696" t="s">
        <v>2209</v>
      </c>
      <c r="J149" s="696" t="s">
        <v>2210</v>
      </c>
      <c r="K149" s="696" t="s">
        <v>2211</v>
      </c>
      <c r="L149" s="699">
        <v>184.22</v>
      </c>
      <c r="M149" s="699">
        <v>184.22</v>
      </c>
      <c r="N149" s="696">
        <v>1</v>
      </c>
      <c r="O149" s="700">
        <v>1</v>
      </c>
      <c r="P149" s="699">
        <v>184.22</v>
      </c>
      <c r="Q149" s="701">
        <v>1</v>
      </c>
      <c r="R149" s="696">
        <v>1</v>
      </c>
      <c r="S149" s="701">
        <v>1</v>
      </c>
      <c r="T149" s="700">
        <v>1</v>
      </c>
      <c r="U149" s="702">
        <v>1</v>
      </c>
    </row>
    <row r="150" spans="1:21" ht="14.4" customHeight="1" x14ac:dyDescent="0.3">
      <c r="A150" s="695">
        <v>7</v>
      </c>
      <c r="B150" s="696" t="s">
        <v>1978</v>
      </c>
      <c r="C150" s="696">
        <v>89301072</v>
      </c>
      <c r="D150" s="697" t="s">
        <v>3237</v>
      </c>
      <c r="E150" s="698" t="s">
        <v>2165</v>
      </c>
      <c r="F150" s="696" t="s">
        <v>2133</v>
      </c>
      <c r="G150" s="696" t="s">
        <v>2566</v>
      </c>
      <c r="H150" s="696" t="s">
        <v>547</v>
      </c>
      <c r="I150" s="696" t="s">
        <v>2567</v>
      </c>
      <c r="J150" s="696" t="s">
        <v>2568</v>
      </c>
      <c r="K150" s="696" t="s">
        <v>2569</v>
      </c>
      <c r="L150" s="699">
        <v>413.22</v>
      </c>
      <c r="M150" s="699">
        <v>413.22</v>
      </c>
      <c r="N150" s="696">
        <v>1</v>
      </c>
      <c r="O150" s="700">
        <v>1</v>
      </c>
      <c r="P150" s="699">
        <v>413.22</v>
      </c>
      <c r="Q150" s="701">
        <v>1</v>
      </c>
      <c r="R150" s="696">
        <v>1</v>
      </c>
      <c r="S150" s="701">
        <v>1</v>
      </c>
      <c r="T150" s="700">
        <v>1</v>
      </c>
      <c r="U150" s="702">
        <v>1</v>
      </c>
    </row>
    <row r="151" spans="1:21" ht="14.4" customHeight="1" x14ac:dyDescent="0.3">
      <c r="A151" s="695">
        <v>7</v>
      </c>
      <c r="B151" s="696" t="s">
        <v>1978</v>
      </c>
      <c r="C151" s="696">
        <v>89301072</v>
      </c>
      <c r="D151" s="697" t="s">
        <v>3237</v>
      </c>
      <c r="E151" s="698" t="s">
        <v>2165</v>
      </c>
      <c r="F151" s="696" t="s">
        <v>2133</v>
      </c>
      <c r="G151" s="696" t="s">
        <v>2326</v>
      </c>
      <c r="H151" s="696" t="s">
        <v>547</v>
      </c>
      <c r="I151" s="696" t="s">
        <v>2570</v>
      </c>
      <c r="J151" s="696" t="s">
        <v>2571</v>
      </c>
      <c r="K151" s="696" t="s">
        <v>2572</v>
      </c>
      <c r="L151" s="699">
        <v>356.47</v>
      </c>
      <c r="M151" s="699">
        <v>356.47</v>
      </c>
      <c r="N151" s="696">
        <v>1</v>
      </c>
      <c r="O151" s="700">
        <v>1</v>
      </c>
      <c r="P151" s="699">
        <v>356.47</v>
      </c>
      <c r="Q151" s="701">
        <v>1</v>
      </c>
      <c r="R151" s="696">
        <v>1</v>
      </c>
      <c r="S151" s="701">
        <v>1</v>
      </c>
      <c r="T151" s="700">
        <v>1</v>
      </c>
      <c r="U151" s="702">
        <v>1</v>
      </c>
    </row>
    <row r="152" spans="1:21" ht="14.4" customHeight="1" x14ac:dyDescent="0.3">
      <c r="A152" s="695">
        <v>7</v>
      </c>
      <c r="B152" s="696" t="s">
        <v>1978</v>
      </c>
      <c r="C152" s="696">
        <v>89301072</v>
      </c>
      <c r="D152" s="697" t="s">
        <v>3237</v>
      </c>
      <c r="E152" s="698" t="s">
        <v>2165</v>
      </c>
      <c r="F152" s="696" t="s">
        <v>2133</v>
      </c>
      <c r="G152" s="696" t="s">
        <v>2233</v>
      </c>
      <c r="H152" s="696" t="s">
        <v>1438</v>
      </c>
      <c r="I152" s="696" t="s">
        <v>2397</v>
      </c>
      <c r="J152" s="696" t="s">
        <v>2235</v>
      </c>
      <c r="K152" s="696" t="s">
        <v>2398</v>
      </c>
      <c r="L152" s="699">
        <v>96.63</v>
      </c>
      <c r="M152" s="699">
        <v>193.26</v>
      </c>
      <c r="N152" s="696">
        <v>2</v>
      </c>
      <c r="O152" s="700">
        <v>1</v>
      </c>
      <c r="P152" s="699">
        <v>193.26</v>
      </c>
      <c r="Q152" s="701">
        <v>1</v>
      </c>
      <c r="R152" s="696">
        <v>2</v>
      </c>
      <c r="S152" s="701">
        <v>1</v>
      </c>
      <c r="T152" s="700">
        <v>1</v>
      </c>
      <c r="U152" s="702">
        <v>1</v>
      </c>
    </row>
    <row r="153" spans="1:21" ht="14.4" customHeight="1" x14ac:dyDescent="0.3">
      <c r="A153" s="695">
        <v>7</v>
      </c>
      <c r="B153" s="696" t="s">
        <v>1978</v>
      </c>
      <c r="C153" s="696">
        <v>89301072</v>
      </c>
      <c r="D153" s="697" t="s">
        <v>3237</v>
      </c>
      <c r="E153" s="698" t="s">
        <v>2165</v>
      </c>
      <c r="F153" s="696" t="s">
        <v>2133</v>
      </c>
      <c r="G153" s="696" t="s">
        <v>2233</v>
      </c>
      <c r="H153" s="696" t="s">
        <v>547</v>
      </c>
      <c r="I153" s="696" t="s">
        <v>2234</v>
      </c>
      <c r="J153" s="696" t="s">
        <v>2235</v>
      </c>
      <c r="K153" s="696" t="s">
        <v>2236</v>
      </c>
      <c r="L153" s="699">
        <v>96.63</v>
      </c>
      <c r="M153" s="699">
        <v>193.26</v>
      </c>
      <c r="N153" s="696">
        <v>2</v>
      </c>
      <c r="O153" s="700">
        <v>1</v>
      </c>
      <c r="P153" s="699">
        <v>193.26</v>
      </c>
      <c r="Q153" s="701">
        <v>1</v>
      </c>
      <c r="R153" s="696">
        <v>2</v>
      </c>
      <c r="S153" s="701">
        <v>1</v>
      </c>
      <c r="T153" s="700">
        <v>1</v>
      </c>
      <c r="U153" s="702">
        <v>1</v>
      </c>
    </row>
    <row r="154" spans="1:21" ht="14.4" customHeight="1" x14ac:dyDescent="0.3">
      <c r="A154" s="695">
        <v>7</v>
      </c>
      <c r="B154" s="696" t="s">
        <v>1978</v>
      </c>
      <c r="C154" s="696">
        <v>89301072</v>
      </c>
      <c r="D154" s="697" t="s">
        <v>3237</v>
      </c>
      <c r="E154" s="698" t="s">
        <v>2165</v>
      </c>
      <c r="F154" s="696" t="s">
        <v>2133</v>
      </c>
      <c r="G154" s="696" t="s">
        <v>2242</v>
      </c>
      <c r="H154" s="696" t="s">
        <v>547</v>
      </c>
      <c r="I154" s="696" t="s">
        <v>2243</v>
      </c>
      <c r="J154" s="696" t="s">
        <v>2244</v>
      </c>
      <c r="K154" s="696" t="s">
        <v>2245</v>
      </c>
      <c r="L154" s="699">
        <v>0</v>
      </c>
      <c r="M154" s="699">
        <v>0</v>
      </c>
      <c r="N154" s="696">
        <v>2</v>
      </c>
      <c r="O154" s="700">
        <v>1.5</v>
      </c>
      <c r="P154" s="699">
        <v>0</v>
      </c>
      <c r="Q154" s="701"/>
      <c r="R154" s="696">
        <v>2</v>
      </c>
      <c r="S154" s="701">
        <v>1</v>
      </c>
      <c r="T154" s="700">
        <v>1.5</v>
      </c>
      <c r="U154" s="702">
        <v>1</v>
      </c>
    </row>
    <row r="155" spans="1:21" ht="14.4" customHeight="1" x14ac:dyDescent="0.3">
      <c r="A155" s="695">
        <v>7</v>
      </c>
      <c r="B155" s="696" t="s">
        <v>1978</v>
      </c>
      <c r="C155" s="696">
        <v>89301072</v>
      </c>
      <c r="D155" s="697" t="s">
        <v>3237</v>
      </c>
      <c r="E155" s="698" t="s">
        <v>2166</v>
      </c>
      <c r="F155" s="696" t="s">
        <v>2133</v>
      </c>
      <c r="G155" s="696" t="s">
        <v>2573</v>
      </c>
      <c r="H155" s="696" t="s">
        <v>547</v>
      </c>
      <c r="I155" s="696" t="s">
        <v>2574</v>
      </c>
      <c r="J155" s="696" t="s">
        <v>2575</v>
      </c>
      <c r="K155" s="696" t="s">
        <v>2576</v>
      </c>
      <c r="L155" s="699">
        <v>0</v>
      </c>
      <c r="M155" s="699">
        <v>0</v>
      </c>
      <c r="N155" s="696">
        <v>1</v>
      </c>
      <c r="O155" s="700">
        <v>1</v>
      </c>
      <c r="P155" s="699">
        <v>0</v>
      </c>
      <c r="Q155" s="701"/>
      <c r="R155" s="696">
        <v>1</v>
      </c>
      <c r="S155" s="701">
        <v>1</v>
      </c>
      <c r="T155" s="700">
        <v>1</v>
      </c>
      <c r="U155" s="702">
        <v>1</v>
      </c>
    </row>
    <row r="156" spans="1:21" ht="14.4" customHeight="1" x14ac:dyDescent="0.3">
      <c r="A156" s="695">
        <v>7</v>
      </c>
      <c r="B156" s="696" t="s">
        <v>1978</v>
      </c>
      <c r="C156" s="696">
        <v>89301072</v>
      </c>
      <c r="D156" s="697" t="s">
        <v>3237</v>
      </c>
      <c r="E156" s="698" t="s">
        <v>2166</v>
      </c>
      <c r="F156" s="696" t="s">
        <v>2133</v>
      </c>
      <c r="G156" s="696" t="s">
        <v>2577</v>
      </c>
      <c r="H156" s="696" t="s">
        <v>547</v>
      </c>
      <c r="I156" s="696" t="s">
        <v>1644</v>
      </c>
      <c r="J156" s="696" t="s">
        <v>1645</v>
      </c>
      <c r="K156" s="696" t="s">
        <v>2578</v>
      </c>
      <c r="L156" s="699">
        <v>38.65</v>
      </c>
      <c r="M156" s="699">
        <v>38.65</v>
      </c>
      <c r="N156" s="696">
        <v>1</v>
      </c>
      <c r="O156" s="700">
        <v>1</v>
      </c>
      <c r="P156" s="699">
        <v>38.65</v>
      </c>
      <c r="Q156" s="701">
        <v>1</v>
      </c>
      <c r="R156" s="696">
        <v>1</v>
      </c>
      <c r="S156" s="701">
        <v>1</v>
      </c>
      <c r="T156" s="700">
        <v>1</v>
      </c>
      <c r="U156" s="702">
        <v>1</v>
      </c>
    </row>
    <row r="157" spans="1:21" ht="14.4" customHeight="1" x14ac:dyDescent="0.3">
      <c r="A157" s="695">
        <v>7</v>
      </c>
      <c r="B157" s="696" t="s">
        <v>1978</v>
      </c>
      <c r="C157" s="696">
        <v>89301072</v>
      </c>
      <c r="D157" s="697" t="s">
        <v>3237</v>
      </c>
      <c r="E157" s="698" t="s">
        <v>2166</v>
      </c>
      <c r="F157" s="696" t="s">
        <v>2133</v>
      </c>
      <c r="G157" s="696" t="s">
        <v>2579</v>
      </c>
      <c r="H157" s="696" t="s">
        <v>547</v>
      </c>
      <c r="I157" s="696" t="s">
        <v>2580</v>
      </c>
      <c r="J157" s="696" t="s">
        <v>2581</v>
      </c>
      <c r="K157" s="696" t="s">
        <v>2582</v>
      </c>
      <c r="L157" s="699">
        <v>0</v>
      </c>
      <c r="M157" s="699">
        <v>0</v>
      </c>
      <c r="N157" s="696">
        <v>1</v>
      </c>
      <c r="O157" s="700">
        <v>1</v>
      </c>
      <c r="P157" s="699">
        <v>0</v>
      </c>
      <c r="Q157" s="701"/>
      <c r="R157" s="696">
        <v>1</v>
      </c>
      <c r="S157" s="701">
        <v>1</v>
      </c>
      <c r="T157" s="700">
        <v>1</v>
      </c>
      <c r="U157" s="702">
        <v>1</v>
      </c>
    </row>
    <row r="158" spans="1:21" ht="14.4" customHeight="1" x14ac:dyDescent="0.3">
      <c r="A158" s="695">
        <v>7</v>
      </c>
      <c r="B158" s="696" t="s">
        <v>1978</v>
      </c>
      <c r="C158" s="696">
        <v>89301072</v>
      </c>
      <c r="D158" s="697" t="s">
        <v>3237</v>
      </c>
      <c r="E158" s="698" t="s">
        <v>2168</v>
      </c>
      <c r="F158" s="696" t="s">
        <v>2133</v>
      </c>
      <c r="G158" s="696" t="s">
        <v>2583</v>
      </c>
      <c r="H158" s="696" t="s">
        <v>1438</v>
      </c>
      <c r="I158" s="696" t="s">
        <v>2584</v>
      </c>
      <c r="J158" s="696" t="s">
        <v>615</v>
      </c>
      <c r="K158" s="696" t="s">
        <v>2585</v>
      </c>
      <c r="L158" s="699">
        <v>65.069999999999993</v>
      </c>
      <c r="M158" s="699">
        <v>65.069999999999993</v>
      </c>
      <c r="N158" s="696">
        <v>1</v>
      </c>
      <c r="O158" s="700">
        <v>1</v>
      </c>
      <c r="P158" s="699">
        <v>65.069999999999993</v>
      </c>
      <c r="Q158" s="701">
        <v>1</v>
      </c>
      <c r="R158" s="696">
        <v>1</v>
      </c>
      <c r="S158" s="701">
        <v>1</v>
      </c>
      <c r="T158" s="700">
        <v>1</v>
      </c>
      <c r="U158" s="702">
        <v>1</v>
      </c>
    </row>
    <row r="159" spans="1:21" ht="14.4" customHeight="1" x14ac:dyDescent="0.3">
      <c r="A159" s="695">
        <v>7</v>
      </c>
      <c r="B159" s="696" t="s">
        <v>1978</v>
      </c>
      <c r="C159" s="696">
        <v>89301072</v>
      </c>
      <c r="D159" s="697" t="s">
        <v>3237</v>
      </c>
      <c r="E159" s="698" t="s">
        <v>2169</v>
      </c>
      <c r="F159" s="696" t="s">
        <v>2133</v>
      </c>
      <c r="G159" s="696" t="s">
        <v>2182</v>
      </c>
      <c r="H159" s="696" t="s">
        <v>547</v>
      </c>
      <c r="I159" s="696" t="s">
        <v>2586</v>
      </c>
      <c r="J159" s="696" t="s">
        <v>2587</v>
      </c>
      <c r="K159" s="696" t="s">
        <v>2588</v>
      </c>
      <c r="L159" s="699">
        <v>222.25</v>
      </c>
      <c r="M159" s="699">
        <v>444.5</v>
      </c>
      <c r="N159" s="696">
        <v>2</v>
      </c>
      <c r="O159" s="700">
        <v>1</v>
      </c>
      <c r="P159" s="699"/>
      <c r="Q159" s="701">
        <v>0</v>
      </c>
      <c r="R159" s="696"/>
      <c r="S159" s="701">
        <v>0</v>
      </c>
      <c r="T159" s="700"/>
      <c r="U159" s="702">
        <v>0</v>
      </c>
    </row>
    <row r="160" spans="1:21" ht="14.4" customHeight="1" x14ac:dyDescent="0.3">
      <c r="A160" s="695">
        <v>7</v>
      </c>
      <c r="B160" s="696" t="s">
        <v>1978</v>
      </c>
      <c r="C160" s="696">
        <v>89301072</v>
      </c>
      <c r="D160" s="697" t="s">
        <v>3237</v>
      </c>
      <c r="E160" s="698" t="s">
        <v>2169</v>
      </c>
      <c r="F160" s="696" t="s">
        <v>2133</v>
      </c>
      <c r="G160" s="696" t="s">
        <v>2182</v>
      </c>
      <c r="H160" s="696" t="s">
        <v>1438</v>
      </c>
      <c r="I160" s="696" t="s">
        <v>2589</v>
      </c>
      <c r="J160" s="696" t="s">
        <v>2184</v>
      </c>
      <c r="K160" s="696" t="s">
        <v>2588</v>
      </c>
      <c r="L160" s="699">
        <v>222.25</v>
      </c>
      <c r="M160" s="699">
        <v>889</v>
      </c>
      <c r="N160" s="696">
        <v>4</v>
      </c>
      <c r="O160" s="700">
        <v>1</v>
      </c>
      <c r="P160" s="699">
        <v>889</v>
      </c>
      <c r="Q160" s="701">
        <v>1</v>
      </c>
      <c r="R160" s="696">
        <v>4</v>
      </c>
      <c r="S160" s="701">
        <v>1</v>
      </c>
      <c r="T160" s="700">
        <v>1</v>
      </c>
      <c r="U160" s="702">
        <v>1</v>
      </c>
    </row>
    <row r="161" spans="1:21" ht="14.4" customHeight="1" x14ac:dyDescent="0.3">
      <c r="A161" s="695">
        <v>7</v>
      </c>
      <c r="B161" s="696" t="s">
        <v>1978</v>
      </c>
      <c r="C161" s="696">
        <v>89301074</v>
      </c>
      <c r="D161" s="697" t="s">
        <v>3238</v>
      </c>
      <c r="E161" s="698" t="s">
        <v>2145</v>
      </c>
      <c r="F161" s="696" t="s">
        <v>2133</v>
      </c>
      <c r="G161" s="696" t="s">
        <v>2208</v>
      </c>
      <c r="H161" s="696" t="s">
        <v>1438</v>
      </c>
      <c r="I161" s="696" t="s">
        <v>2209</v>
      </c>
      <c r="J161" s="696" t="s">
        <v>2210</v>
      </c>
      <c r="K161" s="696" t="s">
        <v>2211</v>
      </c>
      <c r="L161" s="699">
        <v>184.22</v>
      </c>
      <c r="M161" s="699">
        <v>368.44</v>
      </c>
      <c r="N161" s="696">
        <v>2</v>
      </c>
      <c r="O161" s="700">
        <v>1</v>
      </c>
      <c r="P161" s="699"/>
      <c r="Q161" s="701">
        <v>0</v>
      </c>
      <c r="R161" s="696"/>
      <c r="S161" s="701">
        <v>0</v>
      </c>
      <c r="T161" s="700"/>
      <c r="U161" s="702">
        <v>0</v>
      </c>
    </row>
    <row r="162" spans="1:21" ht="14.4" customHeight="1" x14ac:dyDescent="0.3">
      <c r="A162" s="695">
        <v>7</v>
      </c>
      <c r="B162" s="696" t="s">
        <v>1978</v>
      </c>
      <c r="C162" s="696">
        <v>89301074</v>
      </c>
      <c r="D162" s="697" t="s">
        <v>3238</v>
      </c>
      <c r="E162" s="698" t="s">
        <v>2145</v>
      </c>
      <c r="F162" s="696" t="s">
        <v>2133</v>
      </c>
      <c r="G162" s="696" t="s">
        <v>2341</v>
      </c>
      <c r="H162" s="696" t="s">
        <v>547</v>
      </c>
      <c r="I162" s="696" t="s">
        <v>2590</v>
      </c>
      <c r="J162" s="696" t="s">
        <v>2591</v>
      </c>
      <c r="K162" s="696" t="s">
        <v>2592</v>
      </c>
      <c r="L162" s="699">
        <v>55.1</v>
      </c>
      <c r="M162" s="699">
        <v>55.1</v>
      </c>
      <c r="N162" s="696">
        <v>1</v>
      </c>
      <c r="O162" s="700">
        <v>1</v>
      </c>
      <c r="P162" s="699"/>
      <c r="Q162" s="701">
        <v>0</v>
      </c>
      <c r="R162" s="696"/>
      <c r="S162" s="701">
        <v>0</v>
      </c>
      <c r="T162" s="700"/>
      <c r="U162" s="702">
        <v>0</v>
      </c>
    </row>
    <row r="163" spans="1:21" ht="14.4" customHeight="1" x14ac:dyDescent="0.3">
      <c r="A163" s="695">
        <v>7</v>
      </c>
      <c r="B163" s="696" t="s">
        <v>1978</v>
      </c>
      <c r="C163" s="696">
        <v>89301074</v>
      </c>
      <c r="D163" s="697" t="s">
        <v>3238</v>
      </c>
      <c r="E163" s="698" t="s">
        <v>2145</v>
      </c>
      <c r="F163" s="696" t="s">
        <v>2133</v>
      </c>
      <c r="G163" s="696" t="s">
        <v>2593</v>
      </c>
      <c r="H163" s="696" t="s">
        <v>547</v>
      </c>
      <c r="I163" s="696" t="s">
        <v>2594</v>
      </c>
      <c r="J163" s="696" t="s">
        <v>2595</v>
      </c>
      <c r="K163" s="696" t="s">
        <v>2596</v>
      </c>
      <c r="L163" s="699">
        <v>201.75</v>
      </c>
      <c r="M163" s="699">
        <v>403.5</v>
      </c>
      <c r="N163" s="696">
        <v>2</v>
      </c>
      <c r="O163" s="700">
        <v>1</v>
      </c>
      <c r="P163" s="699">
        <v>403.5</v>
      </c>
      <c r="Q163" s="701">
        <v>1</v>
      </c>
      <c r="R163" s="696">
        <v>2</v>
      </c>
      <c r="S163" s="701">
        <v>1</v>
      </c>
      <c r="T163" s="700">
        <v>1</v>
      </c>
      <c r="U163" s="702">
        <v>1</v>
      </c>
    </row>
    <row r="164" spans="1:21" ht="14.4" customHeight="1" x14ac:dyDescent="0.3">
      <c r="A164" s="695">
        <v>7</v>
      </c>
      <c r="B164" s="696" t="s">
        <v>1978</v>
      </c>
      <c r="C164" s="696">
        <v>89301074</v>
      </c>
      <c r="D164" s="697" t="s">
        <v>3238</v>
      </c>
      <c r="E164" s="698" t="s">
        <v>2145</v>
      </c>
      <c r="F164" s="696" t="s">
        <v>2133</v>
      </c>
      <c r="G164" s="696" t="s">
        <v>2597</v>
      </c>
      <c r="H164" s="696" t="s">
        <v>547</v>
      </c>
      <c r="I164" s="696" t="s">
        <v>2598</v>
      </c>
      <c r="J164" s="696" t="s">
        <v>2599</v>
      </c>
      <c r="K164" s="696" t="s">
        <v>2600</v>
      </c>
      <c r="L164" s="699">
        <v>0</v>
      </c>
      <c r="M164" s="699">
        <v>0</v>
      </c>
      <c r="N164" s="696">
        <v>2</v>
      </c>
      <c r="O164" s="700">
        <v>1</v>
      </c>
      <c r="P164" s="699">
        <v>0</v>
      </c>
      <c r="Q164" s="701"/>
      <c r="R164" s="696">
        <v>2</v>
      </c>
      <c r="S164" s="701">
        <v>1</v>
      </c>
      <c r="T164" s="700">
        <v>1</v>
      </c>
      <c r="U164" s="702">
        <v>1</v>
      </c>
    </row>
    <row r="165" spans="1:21" ht="14.4" customHeight="1" x14ac:dyDescent="0.3">
      <c r="A165" s="695">
        <v>7</v>
      </c>
      <c r="B165" s="696" t="s">
        <v>1978</v>
      </c>
      <c r="C165" s="696">
        <v>89301074</v>
      </c>
      <c r="D165" s="697" t="s">
        <v>3238</v>
      </c>
      <c r="E165" s="698" t="s">
        <v>2145</v>
      </c>
      <c r="F165" s="696" t="s">
        <v>2133</v>
      </c>
      <c r="G165" s="696" t="s">
        <v>2583</v>
      </c>
      <c r="H165" s="696" t="s">
        <v>547</v>
      </c>
      <c r="I165" s="696" t="s">
        <v>611</v>
      </c>
      <c r="J165" s="696" t="s">
        <v>612</v>
      </c>
      <c r="K165" s="696" t="s">
        <v>613</v>
      </c>
      <c r="L165" s="699">
        <v>50.57</v>
      </c>
      <c r="M165" s="699">
        <v>50.57</v>
      </c>
      <c r="N165" s="696">
        <v>1</v>
      </c>
      <c r="O165" s="700">
        <v>1</v>
      </c>
      <c r="P165" s="699">
        <v>50.57</v>
      </c>
      <c r="Q165" s="701">
        <v>1</v>
      </c>
      <c r="R165" s="696">
        <v>1</v>
      </c>
      <c r="S165" s="701">
        <v>1</v>
      </c>
      <c r="T165" s="700">
        <v>1</v>
      </c>
      <c r="U165" s="702">
        <v>1</v>
      </c>
    </row>
    <row r="166" spans="1:21" ht="14.4" customHeight="1" x14ac:dyDescent="0.3">
      <c r="A166" s="695">
        <v>7</v>
      </c>
      <c r="B166" s="696" t="s">
        <v>1978</v>
      </c>
      <c r="C166" s="696">
        <v>89301074</v>
      </c>
      <c r="D166" s="697" t="s">
        <v>3238</v>
      </c>
      <c r="E166" s="698" t="s">
        <v>2145</v>
      </c>
      <c r="F166" s="696" t="s">
        <v>2133</v>
      </c>
      <c r="G166" s="696" t="s">
        <v>2601</v>
      </c>
      <c r="H166" s="696" t="s">
        <v>547</v>
      </c>
      <c r="I166" s="696" t="s">
        <v>2602</v>
      </c>
      <c r="J166" s="696" t="s">
        <v>2603</v>
      </c>
      <c r="K166" s="696" t="s">
        <v>2600</v>
      </c>
      <c r="L166" s="699">
        <v>0</v>
      </c>
      <c r="M166" s="699">
        <v>0</v>
      </c>
      <c r="N166" s="696">
        <v>1</v>
      </c>
      <c r="O166" s="700">
        <v>1</v>
      </c>
      <c r="P166" s="699"/>
      <c r="Q166" s="701"/>
      <c r="R166" s="696"/>
      <c r="S166" s="701">
        <v>0</v>
      </c>
      <c r="T166" s="700"/>
      <c r="U166" s="702">
        <v>0</v>
      </c>
    </row>
    <row r="167" spans="1:21" ht="14.4" customHeight="1" x14ac:dyDescent="0.3">
      <c r="A167" s="695">
        <v>7</v>
      </c>
      <c r="B167" s="696" t="s">
        <v>1978</v>
      </c>
      <c r="C167" s="696">
        <v>89301074</v>
      </c>
      <c r="D167" s="697" t="s">
        <v>3238</v>
      </c>
      <c r="E167" s="698" t="s">
        <v>2145</v>
      </c>
      <c r="F167" s="696" t="s">
        <v>2133</v>
      </c>
      <c r="G167" s="696" t="s">
        <v>2601</v>
      </c>
      <c r="H167" s="696" t="s">
        <v>547</v>
      </c>
      <c r="I167" s="696" t="s">
        <v>2604</v>
      </c>
      <c r="J167" s="696" t="s">
        <v>2603</v>
      </c>
      <c r="K167" s="696" t="s">
        <v>2600</v>
      </c>
      <c r="L167" s="699">
        <v>0</v>
      </c>
      <c r="M167" s="699">
        <v>0</v>
      </c>
      <c r="N167" s="696">
        <v>1</v>
      </c>
      <c r="O167" s="700">
        <v>1</v>
      </c>
      <c r="P167" s="699"/>
      <c r="Q167" s="701"/>
      <c r="R167" s="696"/>
      <c r="S167" s="701">
        <v>0</v>
      </c>
      <c r="T167" s="700"/>
      <c r="U167" s="702">
        <v>0</v>
      </c>
    </row>
    <row r="168" spans="1:21" ht="14.4" customHeight="1" x14ac:dyDescent="0.3">
      <c r="A168" s="695">
        <v>7</v>
      </c>
      <c r="B168" s="696" t="s">
        <v>1978</v>
      </c>
      <c r="C168" s="696">
        <v>89301074</v>
      </c>
      <c r="D168" s="697" t="s">
        <v>3238</v>
      </c>
      <c r="E168" s="698" t="s">
        <v>2147</v>
      </c>
      <c r="F168" s="696" t="s">
        <v>2133</v>
      </c>
      <c r="G168" s="696" t="s">
        <v>2605</v>
      </c>
      <c r="H168" s="696" t="s">
        <v>547</v>
      </c>
      <c r="I168" s="696" t="s">
        <v>2606</v>
      </c>
      <c r="J168" s="696" t="s">
        <v>2607</v>
      </c>
      <c r="K168" s="696" t="s">
        <v>2608</v>
      </c>
      <c r="L168" s="699">
        <v>188.41</v>
      </c>
      <c r="M168" s="699">
        <v>188.41</v>
      </c>
      <c r="N168" s="696">
        <v>1</v>
      </c>
      <c r="O168" s="700">
        <v>1</v>
      </c>
      <c r="P168" s="699">
        <v>188.41</v>
      </c>
      <c r="Q168" s="701">
        <v>1</v>
      </c>
      <c r="R168" s="696">
        <v>1</v>
      </c>
      <c r="S168" s="701">
        <v>1</v>
      </c>
      <c r="T168" s="700">
        <v>1</v>
      </c>
      <c r="U168" s="702">
        <v>1</v>
      </c>
    </row>
    <row r="169" spans="1:21" ht="14.4" customHeight="1" x14ac:dyDescent="0.3">
      <c r="A169" s="695">
        <v>7</v>
      </c>
      <c r="B169" s="696" t="s">
        <v>1978</v>
      </c>
      <c r="C169" s="696">
        <v>89301074</v>
      </c>
      <c r="D169" s="697" t="s">
        <v>3238</v>
      </c>
      <c r="E169" s="698" t="s">
        <v>2148</v>
      </c>
      <c r="F169" s="696" t="s">
        <v>2133</v>
      </c>
      <c r="G169" s="696" t="s">
        <v>2609</v>
      </c>
      <c r="H169" s="696" t="s">
        <v>547</v>
      </c>
      <c r="I169" s="696" t="s">
        <v>2610</v>
      </c>
      <c r="J169" s="696" t="s">
        <v>2611</v>
      </c>
      <c r="K169" s="696" t="s">
        <v>2612</v>
      </c>
      <c r="L169" s="699">
        <v>35.409999999999997</v>
      </c>
      <c r="M169" s="699">
        <v>70.819999999999993</v>
      </c>
      <c r="N169" s="696">
        <v>2</v>
      </c>
      <c r="O169" s="700">
        <v>1</v>
      </c>
      <c r="P169" s="699">
        <v>70.819999999999993</v>
      </c>
      <c r="Q169" s="701">
        <v>1</v>
      </c>
      <c r="R169" s="696">
        <v>2</v>
      </c>
      <c r="S169" s="701">
        <v>1</v>
      </c>
      <c r="T169" s="700">
        <v>1</v>
      </c>
      <c r="U169" s="702">
        <v>1</v>
      </c>
    </row>
    <row r="170" spans="1:21" ht="14.4" customHeight="1" x14ac:dyDescent="0.3">
      <c r="A170" s="695">
        <v>7</v>
      </c>
      <c r="B170" s="696" t="s">
        <v>1978</v>
      </c>
      <c r="C170" s="696">
        <v>89301074</v>
      </c>
      <c r="D170" s="697" t="s">
        <v>3238</v>
      </c>
      <c r="E170" s="698" t="s">
        <v>2148</v>
      </c>
      <c r="F170" s="696" t="s">
        <v>2133</v>
      </c>
      <c r="G170" s="696" t="s">
        <v>2609</v>
      </c>
      <c r="H170" s="696" t="s">
        <v>547</v>
      </c>
      <c r="I170" s="696" t="s">
        <v>2613</v>
      </c>
      <c r="J170" s="696" t="s">
        <v>2611</v>
      </c>
      <c r="K170" s="696" t="s">
        <v>2614</v>
      </c>
      <c r="L170" s="699">
        <v>106.23</v>
      </c>
      <c r="M170" s="699">
        <v>106.23</v>
      </c>
      <c r="N170" s="696">
        <v>1</v>
      </c>
      <c r="O170" s="700">
        <v>1</v>
      </c>
      <c r="P170" s="699">
        <v>106.23</v>
      </c>
      <c r="Q170" s="701">
        <v>1</v>
      </c>
      <c r="R170" s="696">
        <v>1</v>
      </c>
      <c r="S170" s="701">
        <v>1</v>
      </c>
      <c r="T170" s="700">
        <v>1</v>
      </c>
      <c r="U170" s="702">
        <v>1</v>
      </c>
    </row>
    <row r="171" spans="1:21" ht="14.4" customHeight="1" x14ac:dyDescent="0.3">
      <c r="A171" s="695">
        <v>7</v>
      </c>
      <c r="B171" s="696" t="s">
        <v>1978</v>
      </c>
      <c r="C171" s="696">
        <v>89301074</v>
      </c>
      <c r="D171" s="697" t="s">
        <v>3238</v>
      </c>
      <c r="E171" s="698" t="s">
        <v>2148</v>
      </c>
      <c r="F171" s="696" t="s">
        <v>2133</v>
      </c>
      <c r="G171" s="696" t="s">
        <v>2609</v>
      </c>
      <c r="H171" s="696" t="s">
        <v>547</v>
      </c>
      <c r="I171" s="696" t="s">
        <v>2615</v>
      </c>
      <c r="J171" s="696" t="s">
        <v>2611</v>
      </c>
      <c r="K171" s="696" t="s">
        <v>2614</v>
      </c>
      <c r="L171" s="699">
        <v>106.23</v>
      </c>
      <c r="M171" s="699">
        <v>106.23</v>
      </c>
      <c r="N171" s="696">
        <v>1</v>
      </c>
      <c r="O171" s="700">
        <v>0.5</v>
      </c>
      <c r="P171" s="699"/>
      <c r="Q171" s="701">
        <v>0</v>
      </c>
      <c r="R171" s="696"/>
      <c r="S171" s="701">
        <v>0</v>
      </c>
      <c r="T171" s="700"/>
      <c r="U171" s="702">
        <v>0</v>
      </c>
    </row>
    <row r="172" spans="1:21" ht="14.4" customHeight="1" x14ac:dyDescent="0.3">
      <c r="A172" s="695">
        <v>7</v>
      </c>
      <c r="B172" s="696" t="s">
        <v>1978</v>
      </c>
      <c r="C172" s="696">
        <v>89301074</v>
      </c>
      <c r="D172" s="697" t="s">
        <v>3238</v>
      </c>
      <c r="E172" s="698" t="s">
        <v>2148</v>
      </c>
      <c r="F172" s="696" t="s">
        <v>2133</v>
      </c>
      <c r="G172" s="696" t="s">
        <v>2426</v>
      </c>
      <c r="H172" s="696" t="s">
        <v>547</v>
      </c>
      <c r="I172" s="696" t="s">
        <v>2427</v>
      </c>
      <c r="J172" s="696" t="s">
        <v>2428</v>
      </c>
      <c r="K172" s="696" t="s">
        <v>2429</v>
      </c>
      <c r="L172" s="699">
        <v>53.77</v>
      </c>
      <c r="M172" s="699">
        <v>645.24</v>
      </c>
      <c r="N172" s="696">
        <v>12</v>
      </c>
      <c r="O172" s="700">
        <v>2.5</v>
      </c>
      <c r="P172" s="699"/>
      <c r="Q172" s="701">
        <v>0</v>
      </c>
      <c r="R172" s="696"/>
      <c r="S172" s="701">
        <v>0</v>
      </c>
      <c r="T172" s="700"/>
      <c r="U172" s="702">
        <v>0</v>
      </c>
    </row>
    <row r="173" spans="1:21" ht="14.4" customHeight="1" x14ac:dyDescent="0.3">
      <c r="A173" s="695">
        <v>7</v>
      </c>
      <c r="B173" s="696" t="s">
        <v>1978</v>
      </c>
      <c r="C173" s="696">
        <v>89301074</v>
      </c>
      <c r="D173" s="697" t="s">
        <v>3238</v>
      </c>
      <c r="E173" s="698" t="s">
        <v>2148</v>
      </c>
      <c r="F173" s="696" t="s">
        <v>2133</v>
      </c>
      <c r="G173" s="696" t="s">
        <v>2616</v>
      </c>
      <c r="H173" s="696" t="s">
        <v>547</v>
      </c>
      <c r="I173" s="696" t="s">
        <v>2617</v>
      </c>
      <c r="J173" s="696" t="s">
        <v>2618</v>
      </c>
      <c r="K173" s="696" t="s">
        <v>2619</v>
      </c>
      <c r="L173" s="699">
        <v>97.42</v>
      </c>
      <c r="M173" s="699">
        <v>292.26</v>
      </c>
      <c r="N173" s="696">
        <v>3</v>
      </c>
      <c r="O173" s="700">
        <v>1.5</v>
      </c>
      <c r="P173" s="699"/>
      <c r="Q173" s="701">
        <v>0</v>
      </c>
      <c r="R173" s="696"/>
      <c r="S173" s="701">
        <v>0</v>
      </c>
      <c r="T173" s="700"/>
      <c r="U173" s="702">
        <v>0</v>
      </c>
    </row>
    <row r="174" spans="1:21" ht="14.4" customHeight="1" x14ac:dyDescent="0.3">
      <c r="A174" s="695">
        <v>7</v>
      </c>
      <c r="B174" s="696" t="s">
        <v>1978</v>
      </c>
      <c r="C174" s="696">
        <v>89301074</v>
      </c>
      <c r="D174" s="697" t="s">
        <v>3238</v>
      </c>
      <c r="E174" s="698" t="s">
        <v>2148</v>
      </c>
      <c r="F174" s="696" t="s">
        <v>2133</v>
      </c>
      <c r="G174" s="696" t="s">
        <v>2620</v>
      </c>
      <c r="H174" s="696" t="s">
        <v>547</v>
      </c>
      <c r="I174" s="696" t="s">
        <v>2621</v>
      </c>
      <c r="J174" s="696" t="s">
        <v>2622</v>
      </c>
      <c r="K174" s="696" t="s">
        <v>2623</v>
      </c>
      <c r="L174" s="699">
        <v>0</v>
      </c>
      <c r="M174" s="699">
        <v>0</v>
      </c>
      <c r="N174" s="696">
        <v>1</v>
      </c>
      <c r="O174" s="700">
        <v>0.5</v>
      </c>
      <c r="P174" s="699">
        <v>0</v>
      </c>
      <c r="Q174" s="701"/>
      <c r="R174" s="696">
        <v>1</v>
      </c>
      <c r="S174" s="701">
        <v>1</v>
      </c>
      <c r="T174" s="700">
        <v>0.5</v>
      </c>
      <c r="U174" s="702">
        <v>1</v>
      </c>
    </row>
    <row r="175" spans="1:21" ht="14.4" customHeight="1" x14ac:dyDescent="0.3">
      <c r="A175" s="695">
        <v>7</v>
      </c>
      <c r="B175" s="696" t="s">
        <v>1978</v>
      </c>
      <c r="C175" s="696">
        <v>89301074</v>
      </c>
      <c r="D175" s="697" t="s">
        <v>3238</v>
      </c>
      <c r="E175" s="698" t="s">
        <v>2148</v>
      </c>
      <c r="F175" s="696" t="s">
        <v>2133</v>
      </c>
      <c r="G175" s="696" t="s">
        <v>2624</v>
      </c>
      <c r="H175" s="696" t="s">
        <v>1438</v>
      </c>
      <c r="I175" s="696" t="s">
        <v>2625</v>
      </c>
      <c r="J175" s="696" t="s">
        <v>2626</v>
      </c>
      <c r="K175" s="696" t="s">
        <v>2627</v>
      </c>
      <c r="L175" s="699">
        <v>1027.5999999999999</v>
      </c>
      <c r="M175" s="699">
        <v>4110.3999999999996</v>
      </c>
      <c r="N175" s="696">
        <v>4</v>
      </c>
      <c r="O175" s="700">
        <v>1</v>
      </c>
      <c r="P175" s="699">
        <v>4110.3999999999996</v>
      </c>
      <c r="Q175" s="701">
        <v>1</v>
      </c>
      <c r="R175" s="696">
        <v>4</v>
      </c>
      <c r="S175" s="701">
        <v>1</v>
      </c>
      <c r="T175" s="700">
        <v>1</v>
      </c>
      <c r="U175" s="702">
        <v>1</v>
      </c>
    </row>
    <row r="176" spans="1:21" ht="14.4" customHeight="1" x14ac:dyDescent="0.3">
      <c r="A176" s="695">
        <v>7</v>
      </c>
      <c r="B176" s="696" t="s">
        <v>1978</v>
      </c>
      <c r="C176" s="696">
        <v>89301074</v>
      </c>
      <c r="D176" s="697" t="s">
        <v>3238</v>
      </c>
      <c r="E176" s="698" t="s">
        <v>2148</v>
      </c>
      <c r="F176" s="696" t="s">
        <v>2133</v>
      </c>
      <c r="G176" s="696" t="s">
        <v>2624</v>
      </c>
      <c r="H176" s="696" t="s">
        <v>1438</v>
      </c>
      <c r="I176" s="696" t="s">
        <v>2625</v>
      </c>
      <c r="J176" s="696" t="s">
        <v>2626</v>
      </c>
      <c r="K176" s="696" t="s">
        <v>2627</v>
      </c>
      <c r="L176" s="699">
        <v>801.23</v>
      </c>
      <c r="M176" s="699">
        <v>3204.92</v>
      </c>
      <c r="N176" s="696">
        <v>4</v>
      </c>
      <c r="O176" s="700">
        <v>1</v>
      </c>
      <c r="P176" s="699">
        <v>3204.92</v>
      </c>
      <c r="Q176" s="701">
        <v>1</v>
      </c>
      <c r="R176" s="696">
        <v>4</v>
      </c>
      <c r="S176" s="701">
        <v>1</v>
      </c>
      <c r="T176" s="700">
        <v>1</v>
      </c>
      <c r="U176" s="702">
        <v>1</v>
      </c>
    </row>
    <row r="177" spans="1:21" ht="14.4" customHeight="1" x14ac:dyDescent="0.3">
      <c r="A177" s="695">
        <v>7</v>
      </c>
      <c r="B177" s="696" t="s">
        <v>1978</v>
      </c>
      <c r="C177" s="696">
        <v>89301074</v>
      </c>
      <c r="D177" s="697" t="s">
        <v>3238</v>
      </c>
      <c r="E177" s="698" t="s">
        <v>2148</v>
      </c>
      <c r="F177" s="696" t="s">
        <v>2133</v>
      </c>
      <c r="G177" s="696" t="s">
        <v>2250</v>
      </c>
      <c r="H177" s="696" t="s">
        <v>1438</v>
      </c>
      <c r="I177" s="696" t="s">
        <v>2628</v>
      </c>
      <c r="J177" s="696" t="s">
        <v>2482</v>
      </c>
      <c r="K177" s="696" t="s">
        <v>2629</v>
      </c>
      <c r="L177" s="699">
        <v>216.16</v>
      </c>
      <c r="M177" s="699">
        <v>1945.4399999999998</v>
      </c>
      <c r="N177" s="696">
        <v>9</v>
      </c>
      <c r="O177" s="700">
        <v>2.5</v>
      </c>
      <c r="P177" s="699"/>
      <c r="Q177" s="701">
        <v>0</v>
      </c>
      <c r="R177" s="696"/>
      <c r="S177" s="701">
        <v>0</v>
      </c>
      <c r="T177" s="700"/>
      <c r="U177" s="702">
        <v>0</v>
      </c>
    </row>
    <row r="178" spans="1:21" ht="14.4" customHeight="1" x14ac:dyDescent="0.3">
      <c r="A178" s="695">
        <v>7</v>
      </c>
      <c r="B178" s="696" t="s">
        <v>1978</v>
      </c>
      <c r="C178" s="696">
        <v>89301074</v>
      </c>
      <c r="D178" s="697" t="s">
        <v>3238</v>
      </c>
      <c r="E178" s="698" t="s">
        <v>2148</v>
      </c>
      <c r="F178" s="696" t="s">
        <v>2133</v>
      </c>
      <c r="G178" s="696" t="s">
        <v>2364</v>
      </c>
      <c r="H178" s="696" t="s">
        <v>547</v>
      </c>
      <c r="I178" s="696" t="s">
        <v>2630</v>
      </c>
      <c r="J178" s="696" t="s">
        <v>2631</v>
      </c>
      <c r="K178" s="696" t="s">
        <v>2632</v>
      </c>
      <c r="L178" s="699">
        <v>0</v>
      </c>
      <c r="M178" s="699">
        <v>0</v>
      </c>
      <c r="N178" s="696">
        <v>7</v>
      </c>
      <c r="O178" s="700">
        <v>2.5</v>
      </c>
      <c r="P178" s="699">
        <v>0</v>
      </c>
      <c r="Q178" s="701"/>
      <c r="R178" s="696">
        <v>1</v>
      </c>
      <c r="S178" s="701">
        <v>0.14285714285714285</v>
      </c>
      <c r="T178" s="700">
        <v>1</v>
      </c>
      <c r="U178" s="702">
        <v>0.4</v>
      </c>
    </row>
    <row r="179" spans="1:21" ht="14.4" customHeight="1" x14ac:dyDescent="0.3">
      <c r="A179" s="695">
        <v>7</v>
      </c>
      <c r="B179" s="696" t="s">
        <v>1978</v>
      </c>
      <c r="C179" s="696">
        <v>89301074</v>
      </c>
      <c r="D179" s="697" t="s">
        <v>3238</v>
      </c>
      <c r="E179" s="698" t="s">
        <v>2148</v>
      </c>
      <c r="F179" s="696" t="s">
        <v>2133</v>
      </c>
      <c r="G179" s="696" t="s">
        <v>2364</v>
      </c>
      <c r="H179" s="696" t="s">
        <v>547</v>
      </c>
      <c r="I179" s="696" t="s">
        <v>2365</v>
      </c>
      <c r="J179" s="696" t="s">
        <v>2366</v>
      </c>
      <c r="K179" s="696" t="s">
        <v>2367</v>
      </c>
      <c r="L179" s="699">
        <v>0</v>
      </c>
      <c r="M179" s="699">
        <v>0</v>
      </c>
      <c r="N179" s="696">
        <v>2</v>
      </c>
      <c r="O179" s="700">
        <v>1</v>
      </c>
      <c r="P179" s="699"/>
      <c r="Q179" s="701"/>
      <c r="R179" s="696"/>
      <c r="S179" s="701">
        <v>0</v>
      </c>
      <c r="T179" s="700"/>
      <c r="U179" s="702">
        <v>0</v>
      </c>
    </row>
    <row r="180" spans="1:21" ht="14.4" customHeight="1" x14ac:dyDescent="0.3">
      <c r="A180" s="695">
        <v>7</v>
      </c>
      <c r="B180" s="696" t="s">
        <v>1978</v>
      </c>
      <c r="C180" s="696">
        <v>89301074</v>
      </c>
      <c r="D180" s="697" t="s">
        <v>3238</v>
      </c>
      <c r="E180" s="698" t="s">
        <v>2148</v>
      </c>
      <c r="F180" s="696" t="s">
        <v>2133</v>
      </c>
      <c r="G180" s="696" t="s">
        <v>2633</v>
      </c>
      <c r="H180" s="696" t="s">
        <v>547</v>
      </c>
      <c r="I180" s="696" t="s">
        <v>2634</v>
      </c>
      <c r="J180" s="696" t="s">
        <v>2635</v>
      </c>
      <c r="K180" s="696" t="s">
        <v>2636</v>
      </c>
      <c r="L180" s="699">
        <v>25.8</v>
      </c>
      <c r="M180" s="699">
        <v>129</v>
      </c>
      <c r="N180" s="696">
        <v>5</v>
      </c>
      <c r="O180" s="700">
        <v>1</v>
      </c>
      <c r="P180" s="699">
        <v>51.6</v>
      </c>
      <c r="Q180" s="701">
        <v>0.4</v>
      </c>
      <c r="R180" s="696">
        <v>2</v>
      </c>
      <c r="S180" s="701">
        <v>0.4</v>
      </c>
      <c r="T180" s="700">
        <v>0.5</v>
      </c>
      <c r="U180" s="702">
        <v>0.5</v>
      </c>
    </row>
    <row r="181" spans="1:21" ht="14.4" customHeight="1" x14ac:dyDescent="0.3">
      <c r="A181" s="695">
        <v>7</v>
      </c>
      <c r="B181" s="696" t="s">
        <v>1978</v>
      </c>
      <c r="C181" s="696">
        <v>89301074</v>
      </c>
      <c r="D181" s="697" t="s">
        <v>3238</v>
      </c>
      <c r="E181" s="698" t="s">
        <v>2148</v>
      </c>
      <c r="F181" s="696" t="s">
        <v>2133</v>
      </c>
      <c r="G181" s="696" t="s">
        <v>2633</v>
      </c>
      <c r="H181" s="696" t="s">
        <v>547</v>
      </c>
      <c r="I181" s="696" t="s">
        <v>2637</v>
      </c>
      <c r="J181" s="696" t="s">
        <v>2638</v>
      </c>
      <c r="K181" s="696" t="s">
        <v>2639</v>
      </c>
      <c r="L181" s="699">
        <v>77.42</v>
      </c>
      <c r="M181" s="699">
        <v>387.1</v>
      </c>
      <c r="N181" s="696">
        <v>5</v>
      </c>
      <c r="O181" s="700">
        <v>2</v>
      </c>
      <c r="P181" s="699">
        <v>154.84</v>
      </c>
      <c r="Q181" s="701">
        <v>0.39999999999999997</v>
      </c>
      <c r="R181" s="696">
        <v>2</v>
      </c>
      <c r="S181" s="701">
        <v>0.4</v>
      </c>
      <c r="T181" s="700">
        <v>1.5</v>
      </c>
      <c r="U181" s="702">
        <v>0.75</v>
      </c>
    </row>
    <row r="182" spans="1:21" ht="14.4" customHeight="1" x14ac:dyDescent="0.3">
      <c r="A182" s="695">
        <v>7</v>
      </c>
      <c r="B182" s="696" t="s">
        <v>1978</v>
      </c>
      <c r="C182" s="696">
        <v>89301074</v>
      </c>
      <c r="D182" s="697" t="s">
        <v>3238</v>
      </c>
      <c r="E182" s="698" t="s">
        <v>2148</v>
      </c>
      <c r="F182" s="696" t="s">
        <v>2133</v>
      </c>
      <c r="G182" s="696" t="s">
        <v>2640</v>
      </c>
      <c r="H182" s="696" t="s">
        <v>547</v>
      </c>
      <c r="I182" s="696" t="s">
        <v>798</v>
      </c>
      <c r="J182" s="696" t="s">
        <v>2641</v>
      </c>
      <c r="K182" s="696" t="s">
        <v>2642</v>
      </c>
      <c r="L182" s="699">
        <v>51.88</v>
      </c>
      <c r="M182" s="699">
        <v>51.88</v>
      </c>
      <c r="N182" s="696">
        <v>1</v>
      </c>
      <c r="O182" s="700"/>
      <c r="P182" s="699"/>
      <c r="Q182" s="701">
        <v>0</v>
      </c>
      <c r="R182" s="696"/>
      <c r="S182" s="701">
        <v>0</v>
      </c>
      <c r="T182" s="700"/>
      <c r="U182" s="702"/>
    </row>
    <row r="183" spans="1:21" ht="14.4" customHeight="1" x14ac:dyDescent="0.3">
      <c r="A183" s="695">
        <v>7</v>
      </c>
      <c r="B183" s="696" t="s">
        <v>1978</v>
      </c>
      <c r="C183" s="696">
        <v>89301074</v>
      </c>
      <c r="D183" s="697" t="s">
        <v>3238</v>
      </c>
      <c r="E183" s="698" t="s">
        <v>2148</v>
      </c>
      <c r="F183" s="696" t="s">
        <v>2133</v>
      </c>
      <c r="G183" s="696" t="s">
        <v>2643</v>
      </c>
      <c r="H183" s="696" t="s">
        <v>547</v>
      </c>
      <c r="I183" s="696" t="s">
        <v>2644</v>
      </c>
      <c r="J183" s="696" t="s">
        <v>2645</v>
      </c>
      <c r="K183" s="696" t="s">
        <v>2646</v>
      </c>
      <c r="L183" s="699">
        <v>91.58</v>
      </c>
      <c r="M183" s="699">
        <v>91.58</v>
      </c>
      <c r="N183" s="696">
        <v>1</v>
      </c>
      <c r="O183" s="700">
        <v>1</v>
      </c>
      <c r="P183" s="699"/>
      <c r="Q183" s="701">
        <v>0</v>
      </c>
      <c r="R183" s="696"/>
      <c r="S183" s="701">
        <v>0</v>
      </c>
      <c r="T183" s="700"/>
      <c r="U183" s="702">
        <v>0</v>
      </c>
    </row>
    <row r="184" spans="1:21" ht="14.4" customHeight="1" x14ac:dyDescent="0.3">
      <c r="A184" s="695">
        <v>7</v>
      </c>
      <c r="B184" s="696" t="s">
        <v>1978</v>
      </c>
      <c r="C184" s="696">
        <v>89301074</v>
      </c>
      <c r="D184" s="697" t="s">
        <v>3238</v>
      </c>
      <c r="E184" s="698" t="s">
        <v>2148</v>
      </c>
      <c r="F184" s="696" t="s">
        <v>2133</v>
      </c>
      <c r="G184" s="696" t="s">
        <v>2434</v>
      </c>
      <c r="H184" s="696" t="s">
        <v>547</v>
      </c>
      <c r="I184" s="696" t="s">
        <v>2647</v>
      </c>
      <c r="J184" s="696" t="s">
        <v>2648</v>
      </c>
      <c r="K184" s="696" t="s">
        <v>2649</v>
      </c>
      <c r="L184" s="699">
        <v>629.07000000000005</v>
      </c>
      <c r="M184" s="699">
        <v>1887.21</v>
      </c>
      <c r="N184" s="696">
        <v>3</v>
      </c>
      <c r="O184" s="700">
        <v>1</v>
      </c>
      <c r="P184" s="699"/>
      <c r="Q184" s="701">
        <v>0</v>
      </c>
      <c r="R184" s="696"/>
      <c r="S184" s="701">
        <v>0</v>
      </c>
      <c r="T184" s="700"/>
      <c r="U184" s="702">
        <v>0</v>
      </c>
    </row>
    <row r="185" spans="1:21" ht="14.4" customHeight="1" x14ac:dyDescent="0.3">
      <c r="A185" s="695">
        <v>7</v>
      </c>
      <c r="B185" s="696" t="s">
        <v>1978</v>
      </c>
      <c r="C185" s="696">
        <v>89301074</v>
      </c>
      <c r="D185" s="697" t="s">
        <v>3238</v>
      </c>
      <c r="E185" s="698" t="s">
        <v>2148</v>
      </c>
      <c r="F185" s="696" t="s">
        <v>2133</v>
      </c>
      <c r="G185" s="696" t="s">
        <v>2434</v>
      </c>
      <c r="H185" s="696" t="s">
        <v>547</v>
      </c>
      <c r="I185" s="696" t="s">
        <v>2647</v>
      </c>
      <c r="J185" s="696" t="s">
        <v>2648</v>
      </c>
      <c r="K185" s="696" t="s">
        <v>2649</v>
      </c>
      <c r="L185" s="699">
        <v>247.24</v>
      </c>
      <c r="M185" s="699">
        <v>247.24</v>
      </c>
      <c r="N185" s="696">
        <v>1</v>
      </c>
      <c r="O185" s="700"/>
      <c r="P185" s="699">
        <v>247.24</v>
      </c>
      <c r="Q185" s="701">
        <v>1</v>
      </c>
      <c r="R185" s="696">
        <v>1</v>
      </c>
      <c r="S185" s="701">
        <v>1</v>
      </c>
      <c r="T185" s="700"/>
      <c r="U185" s="702"/>
    </row>
    <row r="186" spans="1:21" ht="14.4" customHeight="1" x14ac:dyDescent="0.3">
      <c r="A186" s="695">
        <v>7</v>
      </c>
      <c r="B186" s="696" t="s">
        <v>1978</v>
      </c>
      <c r="C186" s="696">
        <v>89301074</v>
      </c>
      <c r="D186" s="697" t="s">
        <v>3238</v>
      </c>
      <c r="E186" s="698" t="s">
        <v>2148</v>
      </c>
      <c r="F186" s="696" t="s">
        <v>2133</v>
      </c>
      <c r="G186" s="696" t="s">
        <v>2434</v>
      </c>
      <c r="H186" s="696" t="s">
        <v>547</v>
      </c>
      <c r="I186" s="696" t="s">
        <v>2650</v>
      </c>
      <c r="J186" s="696" t="s">
        <v>2651</v>
      </c>
      <c r="K186" s="696" t="s">
        <v>2652</v>
      </c>
      <c r="L186" s="699">
        <v>5889.6</v>
      </c>
      <c r="M186" s="699">
        <v>5889.6</v>
      </c>
      <c r="N186" s="696">
        <v>1</v>
      </c>
      <c r="O186" s="700">
        <v>1</v>
      </c>
      <c r="P186" s="699">
        <v>5889.6</v>
      </c>
      <c r="Q186" s="701">
        <v>1</v>
      </c>
      <c r="R186" s="696">
        <v>1</v>
      </c>
      <c r="S186" s="701">
        <v>1</v>
      </c>
      <c r="T186" s="700">
        <v>1</v>
      </c>
      <c r="U186" s="702">
        <v>1</v>
      </c>
    </row>
    <row r="187" spans="1:21" ht="14.4" customHeight="1" x14ac:dyDescent="0.3">
      <c r="A187" s="695">
        <v>7</v>
      </c>
      <c r="B187" s="696" t="s">
        <v>1978</v>
      </c>
      <c r="C187" s="696">
        <v>89301074</v>
      </c>
      <c r="D187" s="697" t="s">
        <v>3238</v>
      </c>
      <c r="E187" s="698" t="s">
        <v>2148</v>
      </c>
      <c r="F187" s="696" t="s">
        <v>2133</v>
      </c>
      <c r="G187" s="696" t="s">
        <v>2434</v>
      </c>
      <c r="H187" s="696" t="s">
        <v>547</v>
      </c>
      <c r="I187" s="696" t="s">
        <v>2653</v>
      </c>
      <c r="J187" s="696" t="s">
        <v>2654</v>
      </c>
      <c r="K187" s="696" t="s">
        <v>2655</v>
      </c>
      <c r="L187" s="699">
        <v>1629.03</v>
      </c>
      <c r="M187" s="699">
        <v>9774.18</v>
      </c>
      <c r="N187" s="696">
        <v>6</v>
      </c>
      <c r="O187" s="700"/>
      <c r="P187" s="699"/>
      <c r="Q187" s="701">
        <v>0</v>
      </c>
      <c r="R187" s="696"/>
      <c r="S187" s="701">
        <v>0</v>
      </c>
      <c r="T187" s="700"/>
      <c r="U187" s="702"/>
    </row>
    <row r="188" spans="1:21" ht="14.4" customHeight="1" x14ac:dyDescent="0.3">
      <c r="A188" s="695">
        <v>7</v>
      </c>
      <c r="B188" s="696" t="s">
        <v>1978</v>
      </c>
      <c r="C188" s="696">
        <v>89301074</v>
      </c>
      <c r="D188" s="697" t="s">
        <v>3238</v>
      </c>
      <c r="E188" s="698" t="s">
        <v>2148</v>
      </c>
      <c r="F188" s="696" t="s">
        <v>2133</v>
      </c>
      <c r="G188" s="696" t="s">
        <v>2434</v>
      </c>
      <c r="H188" s="696" t="s">
        <v>547</v>
      </c>
      <c r="I188" s="696" t="s">
        <v>2656</v>
      </c>
      <c r="J188" s="696" t="s">
        <v>2657</v>
      </c>
      <c r="K188" s="696" t="s">
        <v>2658</v>
      </c>
      <c r="L188" s="699">
        <v>2787.72</v>
      </c>
      <c r="M188" s="699">
        <v>11150.88</v>
      </c>
      <c r="N188" s="696">
        <v>4</v>
      </c>
      <c r="O188" s="700"/>
      <c r="P188" s="699"/>
      <c r="Q188" s="701">
        <v>0</v>
      </c>
      <c r="R188" s="696"/>
      <c r="S188" s="701">
        <v>0</v>
      </c>
      <c r="T188" s="700"/>
      <c r="U188" s="702"/>
    </row>
    <row r="189" spans="1:21" ht="14.4" customHeight="1" x14ac:dyDescent="0.3">
      <c r="A189" s="695">
        <v>7</v>
      </c>
      <c r="B189" s="696" t="s">
        <v>1978</v>
      </c>
      <c r="C189" s="696">
        <v>89301074</v>
      </c>
      <c r="D189" s="697" t="s">
        <v>3238</v>
      </c>
      <c r="E189" s="698" t="s">
        <v>2148</v>
      </c>
      <c r="F189" s="696" t="s">
        <v>2133</v>
      </c>
      <c r="G189" s="696" t="s">
        <v>2434</v>
      </c>
      <c r="H189" s="696" t="s">
        <v>547</v>
      </c>
      <c r="I189" s="696" t="s">
        <v>2659</v>
      </c>
      <c r="J189" s="696" t="s">
        <v>2660</v>
      </c>
      <c r="K189" s="696" t="s">
        <v>2661</v>
      </c>
      <c r="L189" s="699">
        <v>2787.72</v>
      </c>
      <c r="M189" s="699">
        <v>16726.32</v>
      </c>
      <c r="N189" s="696">
        <v>6</v>
      </c>
      <c r="O189" s="700"/>
      <c r="P189" s="699"/>
      <c r="Q189" s="701">
        <v>0</v>
      </c>
      <c r="R189" s="696"/>
      <c r="S189" s="701">
        <v>0</v>
      </c>
      <c r="T189" s="700"/>
      <c r="U189" s="702"/>
    </row>
    <row r="190" spans="1:21" ht="14.4" customHeight="1" x14ac:dyDescent="0.3">
      <c r="A190" s="695">
        <v>7</v>
      </c>
      <c r="B190" s="696" t="s">
        <v>1978</v>
      </c>
      <c r="C190" s="696">
        <v>89301074</v>
      </c>
      <c r="D190" s="697" t="s">
        <v>3238</v>
      </c>
      <c r="E190" s="698" t="s">
        <v>2148</v>
      </c>
      <c r="F190" s="696" t="s">
        <v>2133</v>
      </c>
      <c r="G190" s="696" t="s">
        <v>2434</v>
      </c>
      <c r="H190" s="696" t="s">
        <v>547</v>
      </c>
      <c r="I190" s="696" t="s">
        <v>2662</v>
      </c>
      <c r="J190" s="696" t="s">
        <v>2663</v>
      </c>
      <c r="K190" s="696" t="s">
        <v>2664</v>
      </c>
      <c r="L190" s="699">
        <v>2332.38</v>
      </c>
      <c r="M190" s="699">
        <v>53644.740000000005</v>
      </c>
      <c r="N190" s="696">
        <v>23</v>
      </c>
      <c r="O190" s="700">
        <v>3</v>
      </c>
      <c r="P190" s="699">
        <v>25656.180000000004</v>
      </c>
      <c r="Q190" s="701">
        <v>0.47826086956521741</v>
      </c>
      <c r="R190" s="696">
        <v>11</v>
      </c>
      <c r="S190" s="701">
        <v>0.47826086956521741</v>
      </c>
      <c r="T190" s="700">
        <v>2</v>
      </c>
      <c r="U190" s="702">
        <v>0.66666666666666663</v>
      </c>
    </row>
    <row r="191" spans="1:21" ht="14.4" customHeight="1" x14ac:dyDescent="0.3">
      <c r="A191" s="695">
        <v>7</v>
      </c>
      <c r="B191" s="696" t="s">
        <v>1978</v>
      </c>
      <c r="C191" s="696">
        <v>89301074</v>
      </c>
      <c r="D191" s="697" t="s">
        <v>3238</v>
      </c>
      <c r="E191" s="698" t="s">
        <v>2148</v>
      </c>
      <c r="F191" s="696" t="s">
        <v>2133</v>
      </c>
      <c r="G191" s="696" t="s">
        <v>2434</v>
      </c>
      <c r="H191" s="696" t="s">
        <v>547</v>
      </c>
      <c r="I191" s="696" t="s">
        <v>2665</v>
      </c>
      <c r="J191" s="696" t="s">
        <v>2666</v>
      </c>
      <c r="K191" s="696" t="s">
        <v>2667</v>
      </c>
      <c r="L191" s="699">
        <v>1629.03</v>
      </c>
      <c r="M191" s="699">
        <v>22806.42</v>
      </c>
      <c r="N191" s="696">
        <v>14</v>
      </c>
      <c r="O191" s="700">
        <v>1</v>
      </c>
      <c r="P191" s="699">
        <v>13032.24</v>
      </c>
      <c r="Q191" s="701">
        <v>0.57142857142857151</v>
      </c>
      <c r="R191" s="696">
        <v>8</v>
      </c>
      <c r="S191" s="701">
        <v>0.5714285714285714</v>
      </c>
      <c r="T191" s="700">
        <v>1</v>
      </c>
      <c r="U191" s="702">
        <v>1</v>
      </c>
    </row>
    <row r="192" spans="1:21" ht="14.4" customHeight="1" x14ac:dyDescent="0.3">
      <c r="A192" s="695">
        <v>7</v>
      </c>
      <c r="B192" s="696" t="s">
        <v>1978</v>
      </c>
      <c r="C192" s="696">
        <v>89301074</v>
      </c>
      <c r="D192" s="697" t="s">
        <v>3238</v>
      </c>
      <c r="E192" s="698" t="s">
        <v>2148</v>
      </c>
      <c r="F192" s="696" t="s">
        <v>2133</v>
      </c>
      <c r="G192" s="696" t="s">
        <v>2434</v>
      </c>
      <c r="H192" s="696" t="s">
        <v>547</v>
      </c>
      <c r="I192" s="696" t="s">
        <v>2668</v>
      </c>
      <c r="J192" s="696" t="s">
        <v>2669</v>
      </c>
      <c r="K192" s="696" t="s">
        <v>2670</v>
      </c>
      <c r="L192" s="699">
        <v>515.07000000000005</v>
      </c>
      <c r="M192" s="699">
        <v>2060.2800000000002</v>
      </c>
      <c r="N192" s="696">
        <v>4</v>
      </c>
      <c r="O192" s="700"/>
      <c r="P192" s="699"/>
      <c r="Q192" s="701">
        <v>0</v>
      </c>
      <c r="R192" s="696"/>
      <c r="S192" s="701">
        <v>0</v>
      </c>
      <c r="T192" s="700"/>
      <c r="U192" s="702"/>
    </row>
    <row r="193" spans="1:21" ht="14.4" customHeight="1" x14ac:dyDescent="0.3">
      <c r="A193" s="695">
        <v>7</v>
      </c>
      <c r="B193" s="696" t="s">
        <v>1978</v>
      </c>
      <c r="C193" s="696">
        <v>89301074</v>
      </c>
      <c r="D193" s="697" t="s">
        <v>3238</v>
      </c>
      <c r="E193" s="698" t="s">
        <v>2148</v>
      </c>
      <c r="F193" s="696" t="s">
        <v>2133</v>
      </c>
      <c r="G193" s="696" t="s">
        <v>2434</v>
      </c>
      <c r="H193" s="696" t="s">
        <v>547</v>
      </c>
      <c r="I193" s="696" t="s">
        <v>2671</v>
      </c>
      <c r="J193" s="696" t="s">
        <v>2672</v>
      </c>
      <c r="K193" s="696" t="s">
        <v>2673</v>
      </c>
      <c r="L193" s="699">
        <v>1416.79</v>
      </c>
      <c r="M193" s="699">
        <v>14167.9</v>
      </c>
      <c r="N193" s="696">
        <v>10</v>
      </c>
      <c r="O193" s="700">
        <v>2</v>
      </c>
      <c r="P193" s="699">
        <v>14167.9</v>
      </c>
      <c r="Q193" s="701">
        <v>1</v>
      </c>
      <c r="R193" s="696">
        <v>10</v>
      </c>
      <c r="S193" s="701">
        <v>1</v>
      </c>
      <c r="T193" s="700">
        <v>2</v>
      </c>
      <c r="U193" s="702">
        <v>1</v>
      </c>
    </row>
    <row r="194" spans="1:21" ht="14.4" customHeight="1" x14ac:dyDescent="0.3">
      <c r="A194" s="695">
        <v>7</v>
      </c>
      <c r="B194" s="696" t="s">
        <v>1978</v>
      </c>
      <c r="C194" s="696">
        <v>89301074</v>
      </c>
      <c r="D194" s="697" t="s">
        <v>3238</v>
      </c>
      <c r="E194" s="698" t="s">
        <v>2148</v>
      </c>
      <c r="F194" s="696" t="s">
        <v>2133</v>
      </c>
      <c r="G194" s="696" t="s">
        <v>2434</v>
      </c>
      <c r="H194" s="696" t="s">
        <v>547</v>
      </c>
      <c r="I194" s="696" t="s">
        <v>2671</v>
      </c>
      <c r="J194" s="696" t="s">
        <v>2672</v>
      </c>
      <c r="K194" s="696" t="s">
        <v>2673</v>
      </c>
      <c r="L194" s="699">
        <v>1030.1500000000001</v>
      </c>
      <c r="M194" s="699">
        <v>4120.6000000000004</v>
      </c>
      <c r="N194" s="696">
        <v>4</v>
      </c>
      <c r="O194" s="700">
        <v>1</v>
      </c>
      <c r="P194" s="699">
        <v>4120.6000000000004</v>
      </c>
      <c r="Q194" s="701">
        <v>1</v>
      </c>
      <c r="R194" s="696">
        <v>4</v>
      </c>
      <c r="S194" s="701">
        <v>1</v>
      </c>
      <c r="T194" s="700">
        <v>1</v>
      </c>
      <c r="U194" s="702">
        <v>1</v>
      </c>
    </row>
    <row r="195" spans="1:21" ht="14.4" customHeight="1" x14ac:dyDescent="0.3">
      <c r="A195" s="695">
        <v>7</v>
      </c>
      <c r="B195" s="696" t="s">
        <v>1978</v>
      </c>
      <c r="C195" s="696">
        <v>89301074</v>
      </c>
      <c r="D195" s="697" t="s">
        <v>3238</v>
      </c>
      <c r="E195" s="698" t="s">
        <v>2148</v>
      </c>
      <c r="F195" s="696" t="s">
        <v>2133</v>
      </c>
      <c r="G195" s="696" t="s">
        <v>2434</v>
      </c>
      <c r="H195" s="696" t="s">
        <v>547</v>
      </c>
      <c r="I195" s="696" t="s">
        <v>2674</v>
      </c>
      <c r="J195" s="696" t="s">
        <v>2675</v>
      </c>
      <c r="K195" s="696" t="s">
        <v>2676</v>
      </c>
      <c r="L195" s="699">
        <v>247.24</v>
      </c>
      <c r="M195" s="699">
        <v>988.96</v>
      </c>
      <c r="N195" s="696">
        <v>4</v>
      </c>
      <c r="O195" s="700"/>
      <c r="P195" s="699"/>
      <c r="Q195" s="701">
        <v>0</v>
      </c>
      <c r="R195" s="696"/>
      <c r="S195" s="701">
        <v>0</v>
      </c>
      <c r="T195" s="700"/>
      <c r="U195" s="702"/>
    </row>
    <row r="196" spans="1:21" ht="14.4" customHeight="1" x14ac:dyDescent="0.3">
      <c r="A196" s="695">
        <v>7</v>
      </c>
      <c r="B196" s="696" t="s">
        <v>1978</v>
      </c>
      <c r="C196" s="696">
        <v>89301074</v>
      </c>
      <c r="D196" s="697" t="s">
        <v>3238</v>
      </c>
      <c r="E196" s="698" t="s">
        <v>2148</v>
      </c>
      <c r="F196" s="696" t="s">
        <v>2133</v>
      </c>
      <c r="G196" s="696" t="s">
        <v>2434</v>
      </c>
      <c r="H196" s="696" t="s">
        <v>547</v>
      </c>
      <c r="I196" s="696" t="s">
        <v>2677</v>
      </c>
      <c r="J196" s="696" t="s">
        <v>2678</v>
      </c>
      <c r="K196" s="696" t="s">
        <v>2679</v>
      </c>
      <c r="L196" s="699">
        <v>257.54000000000002</v>
      </c>
      <c r="M196" s="699">
        <v>257.54000000000002</v>
      </c>
      <c r="N196" s="696">
        <v>1</v>
      </c>
      <c r="O196" s="700"/>
      <c r="P196" s="699"/>
      <c r="Q196" s="701">
        <v>0</v>
      </c>
      <c r="R196" s="696"/>
      <c r="S196" s="701">
        <v>0</v>
      </c>
      <c r="T196" s="700"/>
      <c r="U196" s="702"/>
    </row>
    <row r="197" spans="1:21" ht="14.4" customHeight="1" x14ac:dyDescent="0.3">
      <c r="A197" s="695">
        <v>7</v>
      </c>
      <c r="B197" s="696" t="s">
        <v>1978</v>
      </c>
      <c r="C197" s="696">
        <v>89301074</v>
      </c>
      <c r="D197" s="697" t="s">
        <v>3238</v>
      </c>
      <c r="E197" s="698" t="s">
        <v>2148</v>
      </c>
      <c r="F197" s="696" t="s">
        <v>2133</v>
      </c>
      <c r="G197" s="696" t="s">
        <v>2680</v>
      </c>
      <c r="H197" s="696" t="s">
        <v>1438</v>
      </c>
      <c r="I197" s="696" t="s">
        <v>2681</v>
      </c>
      <c r="J197" s="696" t="s">
        <v>2682</v>
      </c>
      <c r="K197" s="696" t="s">
        <v>2683</v>
      </c>
      <c r="L197" s="699">
        <v>591.66999999999996</v>
      </c>
      <c r="M197" s="699">
        <v>1183.3399999999999</v>
      </c>
      <c r="N197" s="696">
        <v>2</v>
      </c>
      <c r="O197" s="700">
        <v>0.5</v>
      </c>
      <c r="P197" s="699"/>
      <c r="Q197" s="701">
        <v>0</v>
      </c>
      <c r="R197" s="696"/>
      <c r="S197" s="701">
        <v>0</v>
      </c>
      <c r="T197" s="700"/>
      <c r="U197" s="702">
        <v>0</v>
      </c>
    </row>
    <row r="198" spans="1:21" ht="14.4" customHeight="1" x14ac:dyDescent="0.3">
      <c r="A198" s="695">
        <v>7</v>
      </c>
      <c r="B198" s="696" t="s">
        <v>1978</v>
      </c>
      <c r="C198" s="696">
        <v>89301074</v>
      </c>
      <c r="D198" s="697" t="s">
        <v>3238</v>
      </c>
      <c r="E198" s="698" t="s">
        <v>2148</v>
      </c>
      <c r="F198" s="696" t="s">
        <v>2133</v>
      </c>
      <c r="G198" s="696" t="s">
        <v>2680</v>
      </c>
      <c r="H198" s="696" t="s">
        <v>1438</v>
      </c>
      <c r="I198" s="696" t="s">
        <v>2684</v>
      </c>
      <c r="J198" s="696" t="s">
        <v>2685</v>
      </c>
      <c r="K198" s="696" t="s">
        <v>2686</v>
      </c>
      <c r="L198" s="699">
        <v>443.52</v>
      </c>
      <c r="M198" s="699">
        <v>7539.8399999999992</v>
      </c>
      <c r="N198" s="696">
        <v>17</v>
      </c>
      <c r="O198" s="700">
        <v>4.5</v>
      </c>
      <c r="P198" s="699">
        <v>2661.12</v>
      </c>
      <c r="Q198" s="701">
        <v>0.35294117647058826</v>
      </c>
      <c r="R198" s="696">
        <v>6</v>
      </c>
      <c r="S198" s="701">
        <v>0.35294117647058826</v>
      </c>
      <c r="T198" s="700">
        <v>2</v>
      </c>
      <c r="U198" s="702">
        <v>0.44444444444444442</v>
      </c>
    </row>
    <row r="199" spans="1:21" ht="14.4" customHeight="1" x14ac:dyDescent="0.3">
      <c r="A199" s="695">
        <v>7</v>
      </c>
      <c r="B199" s="696" t="s">
        <v>1978</v>
      </c>
      <c r="C199" s="696">
        <v>89301074</v>
      </c>
      <c r="D199" s="697" t="s">
        <v>3238</v>
      </c>
      <c r="E199" s="698" t="s">
        <v>2148</v>
      </c>
      <c r="F199" s="696" t="s">
        <v>2133</v>
      </c>
      <c r="G199" s="696" t="s">
        <v>2680</v>
      </c>
      <c r="H199" s="696" t="s">
        <v>1438</v>
      </c>
      <c r="I199" s="696" t="s">
        <v>2687</v>
      </c>
      <c r="J199" s="696" t="s">
        <v>2685</v>
      </c>
      <c r="K199" s="696" t="s">
        <v>2688</v>
      </c>
      <c r="L199" s="699">
        <v>887.05</v>
      </c>
      <c r="M199" s="699">
        <v>2661.1499999999996</v>
      </c>
      <c r="N199" s="696">
        <v>3</v>
      </c>
      <c r="O199" s="700">
        <v>1</v>
      </c>
      <c r="P199" s="699">
        <v>887.05</v>
      </c>
      <c r="Q199" s="701">
        <v>0.33333333333333337</v>
      </c>
      <c r="R199" s="696">
        <v>1</v>
      </c>
      <c r="S199" s="701">
        <v>0.33333333333333331</v>
      </c>
      <c r="T199" s="700">
        <v>0.5</v>
      </c>
      <c r="U199" s="702">
        <v>0.5</v>
      </c>
    </row>
    <row r="200" spans="1:21" ht="14.4" customHeight="1" x14ac:dyDescent="0.3">
      <c r="A200" s="695">
        <v>7</v>
      </c>
      <c r="B200" s="696" t="s">
        <v>1978</v>
      </c>
      <c r="C200" s="696">
        <v>89301074</v>
      </c>
      <c r="D200" s="697" t="s">
        <v>3238</v>
      </c>
      <c r="E200" s="698" t="s">
        <v>2148</v>
      </c>
      <c r="F200" s="696" t="s">
        <v>2133</v>
      </c>
      <c r="G200" s="696" t="s">
        <v>2680</v>
      </c>
      <c r="H200" s="696" t="s">
        <v>1438</v>
      </c>
      <c r="I200" s="696" t="s">
        <v>2689</v>
      </c>
      <c r="J200" s="696" t="s">
        <v>2690</v>
      </c>
      <c r="K200" s="696" t="s">
        <v>2691</v>
      </c>
      <c r="L200" s="699">
        <v>499.8</v>
      </c>
      <c r="M200" s="699">
        <v>1499.4</v>
      </c>
      <c r="N200" s="696">
        <v>3</v>
      </c>
      <c r="O200" s="700">
        <v>0.5</v>
      </c>
      <c r="P200" s="699"/>
      <c r="Q200" s="701">
        <v>0</v>
      </c>
      <c r="R200" s="696"/>
      <c r="S200" s="701">
        <v>0</v>
      </c>
      <c r="T200" s="700"/>
      <c r="U200" s="702">
        <v>0</v>
      </c>
    </row>
    <row r="201" spans="1:21" ht="14.4" customHeight="1" x14ac:dyDescent="0.3">
      <c r="A201" s="695">
        <v>7</v>
      </c>
      <c r="B201" s="696" t="s">
        <v>1978</v>
      </c>
      <c r="C201" s="696">
        <v>89301074</v>
      </c>
      <c r="D201" s="697" t="s">
        <v>3238</v>
      </c>
      <c r="E201" s="698" t="s">
        <v>2148</v>
      </c>
      <c r="F201" s="696" t="s">
        <v>2133</v>
      </c>
      <c r="G201" s="696" t="s">
        <v>2692</v>
      </c>
      <c r="H201" s="696" t="s">
        <v>547</v>
      </c>
      <c r="I201" s="696" t="s">
        <v>2693</v>
      </c>
      <c r="J201" s="696" t="s">
        <v>2694</v>
      </c>
      <c r="K201" s="696" t="s">
        <v>2695</v>
      </c>
      <c r="L201" s="699">
        <v>876.77</v>
      </c>
      <c r="M201" s="699">
        <v>3507.08</v>
      </c>
      <c r="N201" s="696">
        <v>4</v>
      </c>
      <c r="O201" s="700"/>
      <c r="P201" s="699"/>
      <c r="Q201" s="701">
        <v>0</v>
      </c>
      <c r="R201" s="696"/>
      <c r="S201" s="701">
        <v>0</v>
      </c>
      <c r="T201" s="700"/>
      <c r="U201" s="702"/>
    </row>
    <row r="202" spans="1:21" ht="14.4" customHeight="1" x14ac:dyDescent="0.3">
      <c r="A202" s="695">
        <v>7</v>
      </c>
      <c r="B202" s="696" t="s">
        <v>1978</v>
      </c>
      <c r="C202" s="696">
        <v>89301074</v>
      </c>
      <c r="D202" s="697" t="s">
        <v>3238</v>
      </c>
      <c r="E202" s="698" t="s">
        <v>2148</v>
      </c>
      <c r="F202" s="696" t="s">
        <v>2133</v>
      </c>
      <c r="G202" s="696" t="s">
        <v>2696</v>
      </c>
      <c r="H202" s="696" t="s">
        <v>547</v>
      </c>
      <c r="I202" s="696" t="s">
        <v>2697</v>
      </c>
      <c r="J202" s="696" t="s">
        <v>2698</v>
      </c>
      <c r="K202" s="696" t="s">
        <v>2699</v>
      </c>
      <c r="L202" s="699">
        <v>144.01</v>
      </c>
      <c r="M202" s="699">
        <v>720.05</v>
      </c>
      <c r="N202" s="696">
        <v>5</v>
      </c>
      <c r="O202" s="700">
        <v>1</v>
      </c>
      <c r="P202" s="699"/>
      <c r="Q202" s="701">
        <v>0</v>
      </c>
      <c r="R202" s="696"/>
      <c r="S202" s="701">
        <v>0</v>
      </c>
      <c r="T202" s="700"/>
      <c r="U202" s="702">
        <v>0</v>
      </c>
    </row>
    <row r="203" spans="1:21" ht="14.4" customHeight="1" x14ac:dyDescent="0.3">
      <c r="A203" s="695">
        <v>7</v>
      </c>
      <c r="B203" s="696" t="s">
        <v>1978</v>
      </c>
      <c r="C203" s="696">
        <v>89301074</v>
      </c>
      <c r="D203" s="697" t="s">
        <v>3238</v>
      </c>
      <c r="E203" s="698" t="s">
        <v>2148</v>
      </c>
      <c r="F203" s="696" t="s">
        <v>2133</v>
      </c>
      <c r="G203" s="696" t="s">
        <v>2700</v>
      </c>
      <c r="H203" s="696" t="s">
        <v>547</v>
      </c>
      <c r="I203" s="696" t="s">
        <v>2701</v>
      </c>
      <c r="J203" s="696" t="s">
        <v>2702</v>
      </c>
      <c r="K203" s="696" t="s">
        <v>2703</v>
      </c>
      <c r="L203" s="699">
        <v>59.43</v>
      </c>
      <c r="M203" s="699">
        <v>178.29</v>
      </c>
      <c r="N203" s="696">
        <v>3</v>
      </c>
      <c r="O203" s="700">
        <v>0.5</v>
      </c>
      <c r="P203" s="699"/>
      <c r="Q203" s="701">
        <v>0</v>
      </c>
      <c r="R203" s="696"/>
      <c r="S203" s="701">
        <v>0</v>
      </c>
      <c r="T203" s="700"/>
      <c r="U203" s="702">
        <v>0</v>
      </c>
    </row>
    <row r="204" spans="1:21" ht="14.4" customHeight="1" x14ac:dyDescent="0.3">
      <c r="A204" s="695">
        <v>7</v>
      </c>
      <c r="B204" s="696" t="s">
        <v>1978</v>
      </c>
      <c r="C204" s="696">
        <v>89301074</v>
      </c>
      <c r="D204" s="697" t="s">
        <v>3238</v>
      </c>
      <c r="E204" s="698" t="s">
        <v>2148</v>
      </c>
      <c r="F204" s="696" t="s">
        <v>2133</v>
      </c>
      <c r="G204" s="696" t="s">
        <v>2389</v>
      </c>
      <c r="H204" s="696" t="s">
        <v>1438</v>
      </c>
      <c r="I204" s="696" t="s">
        <v>2704</v>
      </c>
      <c r="J204" s="696" t="s">
        <v>2391</v>
      </c>
      <c r="K204" s="696" t="s">
        <v>2705</v>
      </c>
      <c r="L204" s="699">
        <v>195.92</v>
      </c>
      <c r="M204" s="699">
        <v>195.92</v>
      </c>
      <c r="N204" s="696">
        <v>1</v>
      </c>
      <c r="O204" s="700">
        <v>1</v>
      </c>
      <c r="P204" s="699"/>
      <c r="Q204" s="701">
        <v>0</v>
      </c>
      <c r="R204" s="696"/>
      <c r="S204" s="701">
        <v>0</v>
      </c>
      <c r="T204" s="700"/>
      <c r="U204" s="702">
        <v>0</v>
      </c>
    </row>
    <row r="205" spans="1:21" ht="14.4" customHeight="1" x14ac:dyDescent="0.3">
      <c r="A205" s="695">
        <v>7</v>
      </c>
      <c r="B205" s="696" t="s">
        <v>1978</v>
      </c>
      <c r="C205" s="696">
        <v>89301074</v>
      </c>
      <c r="D205" s="697" t="s">
        <v>3238</v>
      </c>
      <c r="E205" s="698" t="s">
        <v>2148</v>
      </c>
      <c r="F205" s="696" t="s">
        <v>2133</v>
      </c>
      <c r="G205" s="696" t="s">
        <v>2706</v>
      </c>
      <c r="H205" s="696" t="s">
        <v>1438</v>
      </c>
      <c r="I205" s="696" t="s">
        <v>2707</v>
      </c>
      <c r="J205" s="696" t="s">
        <v>2708</v>
      </c>
      <c r="K205" s="696" t="s">
        <v>2709</v>
      </c>
      <c r="L205" s="699">
        <v>137.74</v>
      </c>
      <c r="M205" s="699">
        <v>137.74</v>
      </c>
      <c r="N205" s="696">
        <v>1</v>
      </c>
      <c r="O205" s="700">
        <v>0.5</v>
      </c>
      <c r="P205" s="699"/>
      <c r="Q205" s="701">
        <v>0</v>
      </c>
      <c r="R205" s="696"/>
      <c r="S205" s="701">
        <v>0</v>
      </c>
      <c r="T205" s="700"/>
      <c r="U205" s="702">
        <v>0</v>
      </c>
    </row>
    <row r="206" spans="1:21" ht="14.4" customHeight="1" x14ac:dyDescent="0.3">
      <c r="A206" s="695">
        <v>7</v>
      </c>
      <c r="B206" s="696" t="s">
        <v>1978</v>
      </c>
      <c r="C206" s="696">
        <v>89301074</v>
      </c>
      <c r="D206" s="697" t="s">
        <v>3238</v>
      </c>
      <c r="E206" s="698" t="s">
        <v>2148</v>
      </c>
      <c r="F206" s="696" t="s">
        <v>2133</v>
      </c>
      <c r="G206" s="696" t="s">
        <v>2710</v>
      </c>
      <c r="H206" s="696" t="s">
        <v>547</v>
      </c>
      <c r="I206" s="696" t="s">
        <v>2711</v>
      </c>
      <c r="J206" s="696" t="s">
        <v>2712</v>
      </c>
      <c r="K206" s="696" t="s">
        <v>2713</v>
      </c>
      <c r="L206" s="699">
        <v>64.13</v>
      </c>
      <c r="M206" s="699">
        <v>128.26</v>
      </c>
      <c r="N206" s="696">
        <v>2</v>
      </c>
      <c r="O206" s="700">
        <v>0.5</v>
      </c>
      <c r="P206" s="699">
        <v>128.26</v>
      </c>
      <c r="Q206" s="701">
        <v>1</v>
      </c>
      <c r="R206" s="696">
        <v>2</v>
      </c>
      <c r="S206" s="701">
        <v>1</v>
      </c>
      <c r="T206" s="700">
        <v>0.5</v>
      </c>
      <c r="U206" s="702">
        <v>1</v>
      </c>
    </row>
    <row r="207" spans="1:21" ht="14.4" customHeight="1" x14ac:dyDescent="0.3">
      <c r="A207" s="695">
        <v>7</v>
      </c>
      <c r="B207" s="696" t="s">
        <v>1978</v>
      </c>
      <c r="C207" s="696">
        <v>89301074</v>
      </c>
      <c r="D207" s="697" t="s">
        <v>3238</v>
      </c>
      <c r="E207" s="698" t="s">
        <v>2148</v>
      </c>
      <c r="F207" s="696" t="s">
        <v>2133</v>
      </c>
      <c r="G207" s="696" t="s">
        <v>2710</v>
      </c>
      <c r="H207" s="696" t="s">
        <v>547</v>
      </c>
      <c r="I207" s="696" t="s">
        <v>2714</v>
      </c>
      <c r="J207" s="696" t="s">
        <v>2715</v>
      </c>
      <c r="K207" s="696" t="s">
        <v>2713</v>
      </c>
      <c r="L207" s="699">
        <v>64.13</v>
      </c>
      <c r="M207" s="699">
        <v>64.13</v>
      </c>
      <c r="N207" s="696">
        <v>1</v>
      </c>
      <c r="O207" s="700">
        <v>0.5</v>
      </c>
      <c r="P207" s="699">
        <v>64.13</v>
      </c>
      <c r="Q207" s="701">
        <v>1</v>
      </c>
      <c r="R207" s="696">
        <v>1</v>
      </c>
      <c r="S207" s="701">
        <v>1</v>
      </c>
      <c r="T207" s="700">
        <v>0.5</v>
      </c>
      <c r="U207" s="702">
        <v>1</v>
      </c>
    </row>
    <row r="208" spans="1:21" ht="14.4" customHeight="1" x14ac:dyDescent="0.3">
      <c r="A208" s="695">
        <v>7</v>
      </c>
      <c r="B208" s="696" t="s">
        <v>1978</v>
      </c>
      <c r="C208" s="696">
        <v>89301074</v>
      </c>
      <c r="D208" s="697" t="s">
        <v>3238</v>
      </c>
      <c r="E208" s="698" t="s">
        <v>2148</v>
      </c>
      <c r="F208" s="696" t="s">
        <v>2133</v>
      </c>
      <c r="G208" s="696" t="s">
        <v>2498</v>
      </c>
      <c r="H208" s="696" t="s">
        <v>1438</v>
      </c>
      <c r="I208" s="696" t="s">
        <v>2716</v>
      </c>
      <c r="J208" s="696" t="s">
        <v>2500</v>
      </c>
      <c r="K208" s="696" t="s">
        <v>2717</v>
      </c>
      <c r="L208" s="699">
        <v>193.26</v>
      </c>
      <c r="M208" s="699">
        <v>1159.56</v>
      </c>
      <c r="N208" s="696">
        <v>6</v>
      </c>
      <c r="O208" s="700">
        <v>2.5</v>
      </c>
      <c r="P208" s="699">
        <v>386.52</v>
      </c>
      <c r="Q208" s="701">
        <v>0.33333333333333331</v>
      </c>
      <c r="R208" s="696">
        <v>2</v>
      </c>
      <c r="S208" s="701">
        <v>0.33333333333333331</v>
      </c>
      <c r="T208" s="700">
        <v>0.5</v>
      </c>
      <c r="U208" s="702">
        <v>0.2</v>
      </c>
    </row>
    <row r="209" spans="1:21" ht="14.4" customHeight="1" x14ac:dyDescent="0.3">
      <c r="A209" s="695">
        <v>7</v>
      </c>
      <c r="B209" s="696" t="s">
        <v>1978</v>
      </c>
      <c r="C209" s="696">
        <v>89301074</v>
      </c>
      <c r="D209" s="697" t="s">
        <v>3238</v>
      </c>
      <c r="E209" s="698" t="s">
        <v>2148</v>
      </c>
      <c r="F209" s="696" t="s">
        <v>2133</v>
      </c>
      <c r="G209" s="696" t="s">
        <v>2718</v>
      </c>
      <c r="H209" s="696" t="s">
        <v>547</v>
      </c>
      <c r="I209" s="696" t="s">
        <v>2719</v>
      </c>
      <c r="J209" s="696" t="s">
        <v>2720</v>
      </c>
      <c r="K209" s="696" t="s">
        <v>2721</v>
      </c>
      <c r="L209" s="699">
        <v>152.54</v>
      </c>
      <c r="M209" s="699">
        <v>152.54</v>
      </c>
      <c r="N209" s="696">
        <v>1</v>
      </c>
      <c r="O209" s="700">
        <v>0.5</v>
      </c>
      <c r="P209" s="699"/>
      <c r="Q209" s="701">
        <v>0</v>
      </c>
      <c r="R209" s="696"/>
      <c r="S209" s="701">
        <v>0</v>
      </c>
      <c r="T209" s="700"/>
      <c r="U209" s="702">
        <v>0</v>
      </c>
    </row>
    <row r="210" spans="1:21" ht="14.4" customHeight="1" x14ac:dyDescent="0.3">
      <c r="A210" s="695">
        <v>7</v>
      </c>
      <c r="B210" s="696" t="s">
        <v>1978</v>
      </c>
      <c r="C210" s="696">
        <v>89301074</v>
      </c>
      <c r="D210" s="697" t="s">
        <v>3238</v>
      </c>
      <c r="E210" s="698" t="s">
        <v>2148</v>
      </c>
      <c r="F210" s="696" t="s">
        <v>2133</v>
      </c>
      <c r="G210" s="696" t="s">
        <v>2722</v>
      </c>
      <c r="H210" s="696" t="s">
        <v>547</v>
      </c>
      <c r="I210" s="696" t="s">
        <v>2723</v>
      </c>
      <c r="J210" s="696" t="s">
        <v>1905</v>
      </c>
      <c r="K210" s="696" t="s">
        <v>2619</v>
      </c>
      <c r="L210" s="699">
        <v>70.02</v>
      </c>
      <c r="M210" s="699">
        <v>210.06</v>
      </c>
      <c r="N210" s="696">
        <v>3</v>
      </c>
      <c r="O210" s="700">
        <v>0.5</v>
      </c>
      <c r="P210" s="699"/>
      <c r="Q210" s="701">
        <v>0</v>
      </c>
      <c r="R210" s="696"/>
      <c r="S210" s="701">
        <v>0</v>
      </c>
      <c r="T210" s="700"/>
      <c r="U210" s="702">
        <v>0</v>
      </c>
    </row>
    <row r="211" spans="1:21" ht="14.4" customHeight="1" x14ac:dyDescent="0.3">
      <c r="A211" s="695">
        <v>7</v>
      </c>
      <c r="B211" s="696" t="s">
        <v>1978</v>
      </c>
      <c r="C211" s="696">
        <v>89301074</v>
      </c>
      <c r="D211" s="697" t="s">
        <v>3238</v>
      </c>
      <c r="E211" s="698" t="s">
        <v>2148</v>
      </c>
      <c r="F211" s="696" t="s">
        <v>2133</v>
      </c>
      <c r="G211" s="696" t="s">
        <v>2438</v>
      </c>
      <c r="H211" s="696" t="s">
        <v>547</v>
      </c>
      <c r="I211" s="696" t="s">
        <v>2724</v>
      </c>
      <c r="J211" s="696" t="s">
        <v>2725</v>
      </c>
      <c r="K211" s="696" t="s">
        <v>2406</v>
      </c>
      <c r="L211" s="699">
        <v>57.48</v>
      </c>
      <c r="M211" s="699">
        <v>57.48</v>
      </c>
      <c r="N211" s="696">
        <v>1</v>
      </c>
      <c r="O211" s="700">
        <v>1</v>
      </c>
      <c r="P211" s="699"/>
      <c r="Q211" s="701">
        <v>0</v>
      </c>
      <c r="R211" s="696"/>
      <c r="S211" s="701">
        <v>0</v>
      </c>
      <c r="T211" s="700"/>
      <c r="U211" s="702">
        <v>0</v>
      </c>
    </row>
    <row r="212" spans="1:21" ht="14.4" customHeight="1" x14ac:dyDescent="0.3">
      <c r="A212" s="695">
        <v>7</v>
      </c>
      <c r="B212" s="696" t="s">
        <v>1978</v>
      </c>
      <c r="C212" s="696">
        <v>89301074</v>
      </c>
      <c r="D212" s="697" t="s">
        <v>3238</v>
      </c>
      <c r="E212" s="698" t="s">
        <v>2148</v>
      </c>
      <c r="F212" s="696" t="s">
        <v>2133</v>
      </c>
      <c r="G212" s="696" t="s">
        <v>2438</v>
      </c>
      <c r="H212" s="696" t="s">
        <v>547</v>
      </c>
      <c r="I212" s="696" t="s">
        <v>2726</v>
      </c>
      <c r="J212" s="696" t="s">
        <v>2727</v>
      </c>
      <c r="K212" s="696" t="s">
        <v>834</v>
      </c>
      <c r="L212" s="699">
        <v>105.85</v>
      </c>
      <c r="M212" s="699">
        <v>211.7</v>
      </c>
      <c r="N212" s="696">
        <v>2</v>
      </c>
      <c r="O212" s="700">
        <v>1</v>
      </c>
      <c r="P212" s="699">
        <v>105.85</v>
      </c>
      <c r="Q212" s="701">
        <v>0.5</v>
      </c>
      <c r="R212" s="696">
        <v>1</v>
      </c>
      <c r="S212" s="701">
        <v>0.5</v>
      </c>
      <c r="T212" s="700"/>
      <c r="U212" s="702">
        <v>0</v>
      </c>
    </row>
    <row r="213" spans="1:21" ht="14.4" customHeight="1" x14ac:dyDescent="0.3">
      <c r="A213" s="695">
        <v>7</v>
      </c>
      <c r="B213" s="696" t="s">
        <v>1978</v>
      </c>
      <c r="C213" s="696">
        <v>89301074</v>
      </c>
      <c r="D213" s="697" t="s">
        <v>3238</v>
      </c>
      <c r="E213" s="698" t="s">
        <v>2148</v>
      </c>
      <c r="F213" s="696" t="s">
        <v>2133</v>
      </c>
      <c r="G213" s="696" t="s">
        <v>2438</v>
      </c>
      <c r="H213" s="696" t="s">
        <v>547</v>
      </c>
      <c r="I213" s="696" t="s">
        <v>2445</v>
      </c>
      <c r="J213" s="696" t="s">
        <v>2446</v>
      </c>
      <c r="K213" s="696" t="s">
        <v>2447</v>
      </c>
      <c r="L213" s="699">
        <v>244.58</v>
      </c>
      <c r="M213" s="699">
        <v>978.32</v>
      </c>
      <c r="N213" s="696">
        <v>4</v>
      </c>
      <c r="O213" s="700"/>
      <c r="P213" s="699"/>
      <c r="Q213" s="701">
        <v>0</v>
      </c>
      <c r="R213" s="696"/>
      <c r="S213" s="701">
        <v>0</v>
      </c>
      <c r="T213" s="700"/>
      <c r="U213" s="702"/>
    </row>
    <row r="214" spans="1:21" ht="14.4" customHeight="1" x14ac:dyDescent="0.3">
      <c r="A214" s="695">
        <v>7</v>
      </c>
      <c r="B214" s="696" t="s">
        <v>1978</v>
      </c>
      <c r="C214" s="696">
        <v>89301074</v>
      </c>
      <c r="D214" s="697" t="s">
        <v>3238</v>
      </c>
      <c r="E214" s="698" t="s">
        <v>2148</v>
      </c>
      <c r="F214" s="696" t="s">
        <v>2133</v>
      </c>
      <c r="G214" s="696" t="s">
        <v>2728</v>
      </c>
      <c r="H214" s="696" t="s">
        <v>547</v>
      </c>
      <c r="I214" s="696" t="s">
        <v>2729</v>
      </c>
      <c r="J214" s="696" t="s">
        <v>2730</v>
      </c>
      <c r="K214" s="696" t="s">
        <v>2731</v>
      </c>
      <c r="L214" s="699">
        <v>0</v>
      </c>
      <c r="M214" s="699">
        <v>0</v>
      </c>
      <c r="N214" s="696">
        <v>2</v>
      </c>
      <c r="O214" s="700">
        <v>0.5</v>
      </c>
      <c r="P214" s="699"/>
      <c r="Q214" s="701"/>
      <c r="R214" s="696"/>
      <c r="S214" s="701">
        <v>0</v>
      </c>
      <c r="T214" s="700"/>
      <c r="U214" s="702">
        <v>0</v>
      </c>
    </row>
    <row r="215" spans="1:21" ht="14.4" customHeight="1" x14ac:dyDescent="0.3">
      <c r="A215" s="695">
        <v>7</v>
      </c>
      <c r="B215" s="696" t="s">
        <v>1978</v>
      </c>
      <c r="C215" s="696">
        <v>89301074</v>
      </c>
      <c r="D215" s="697" t="s">
        <v>3238</v>
      </c>
      <c r="E215" s="698" t="s">
        <v>2148</v>
      </c>
      <c r="F215" s="696" t="s">
        <v>2133</v>
      </c>
      <c r="G215" s="696" t="s">
        <v>2728</v>
      </c>
      <c r="H215" s="696" t="s">
        <v>547</v>
      </c>
      <c r="I215" s="696" t="s">
        <v>2732</v>
      </c>
      <c r="J215" s="696" t="s">
        <v>2730</v>
      </c>
      <c r="K215" s="696" t="s">
        <v>2733</v>
      </c>
      <c r="L215" s="699">
        <v>94.72</v>
      </c>
      <c r="M215" s="699">
        <v>189.44</v>
      </c>
      <c r="N215" s="696">
        <v>2</v>
      </c>
      <c r="O215" s="700">
        <v>0.5</v>
      </c>
      <c r="P215" s="699"/>
      <c r="Q215" s="701">
        <v>0</v>
      </c>
      <c r="R215" s="696"/>
      <c r="S215" s="701">
        <v>0</v>
      </c>
      <c r="T215" s="700"/>
      <c r="U215" s="702">
        <v>0</v>
      </c>
    </row>
    <row r="216" spans="1:21" ht="14.4" customHeight="1" x14ac:dyDescent="0.3">
      <c r="A216" s="695">
        <v>7</v>
      </c>
      <c r="B216" s="696" t="s">
        <v>1978</v>
      </c>
      <c r="C216" s="696">
        <v>89301074</v>
      </c>
      <c r="D216" s="697" t="s">
        <v>3238</v>
      </c>
      <c r="E216" s="698" t="s">
        <v>2148</v>
      </c>
      <c r="F216" s="696" t="s">
        <v>2133</v>
      </c>
      <c r="G216" s="696" t="s">
        <v>2233</v>
      </c>
      <c r="H216" s="696" t="s">
        <v>1438</v>
      </c>
      <c r="I216" s="696" t="s">
        <v>2397</v>
      </c>
      <c r="J216" s="696" t="s">
        <v>2235</v>
      </c>
      <c r="K216" s="696" t="s">
        <v>2398</v>
      </c>
      <c r="L216" s="699">
        <v>96.63</v>
      </c>
      <c r="M216" s="699">
        <v>1256.1899999999998</v>
      </c>
      <c r="N216" s="696">
        <v>13</v>
      </c>
      <c r="O216" s="700">
        <v>3.5</v>
      </c>
      <c r="P216" s="699"/>
      <c r="Q216" s="701">
        <v>0</v>
      </c>
      <c r="R216" s="696"/>
      <c r="S216" s="701">
        <v>0</v>
      </c>
      <c r="T216" s="700"/>
      <c r="U216" s="702">
        <v>0</v>
      </c>
    </row>
    <row r="217" spans="1:21" ht="14.4" customHeight="1" x14ac:dyDescent="0.3">
      <c r="A217" s="695">
        <v>7</v>
      </c>
      <c r="B217" s="696" t="s">
        <v>1978</v>
      </c>
      <c r="C217" s="696">
        <v>89301074</v>
      </c>
      <c r="D217" s="697" t="s">
        <v>3238</v>
      </c>
      <c r="E217" s="698" t="s">
        <v>2148</v>
      </c>
      <c r="F217" s="696" t="s">
        <v>2133</v>
      </c>
      <c r="G217" s="696" t="s">
        <v>2734</v>
      </c>
      <c r="H217" s="696" t="s">
        <v>547</v>
      </c>
      <c r="I217" s="696" t="s">
        <v>2735</v>
      </c>
      <c r="J217" s="696" t="s">
        <v>2736</v>
      </c>
      <c r="K217" s="696" t="s">
        <v>2737</v>
      </c>
      <c r="L217" s="699">
        <v>1753.54</v>
      </c>
      <c r="M217" s="699">
        <v>5260.62</v>
      </c>
      <c r="N217" s="696">
        <v>3</v>
      </c>
      <c r="O217" s="700">
        <v>1</v>
      </c>
      <c r="P217" s="699">
        <v>5260.62</v>
      </c>
      <c r="Q217" s="701">
        <v>1</v>
      </c>
      <c r="R217" s="696">
        <v>3</v>
      </c>
      <c r="S217" s="701">
        <v>1</v>
      </c>
      <c r="T217" s="700">
        <v>1</v>
      </c>
      <c r="U217" s="702">
        <v>1</v>
      </c>
    </row>
    <row r="218" spans="1:21" ht="14.4" customHeight="1" x14ac:dyDescent="0.3">
      <c r="A218" s="695">
        <v>7</v>
      </c>
      <c r="B218" s="696" t="s">
        <v>1978</v>
      </c>
      <c r="C218" s="696">
        <v>89301074</v>
      </c>
      <c r="D218" s="697" t="s">
        <v>3238</v>
      </c>
      <c r="E218" s="698" t="s">
        <v>2148</v>
      </c>
      <c r="F218" s="696" t="s">
        <v>2133</v>
      </c>
      <c r="G218" s="696" t="s">
        <v>2734</v>
      </c>
      <c r="H218" s="696" t="s">
        <v>547</v>
      </c>
      <c r="I218" s="696" t="s">
        <v>2738</v>
      </c>
      <c r="J218" s="696" t="s">
        <v>2736</v>
      </c>
      <c r="K218" s="696" t="s">
        <v>2739</v>
      </c>
      <c r="L218" s="699">
        <v>3507.07</v>
      </c>
      <c r="M218" s="699">
        <v>10521.210000000001</v>
      </c>
      <c r="N218" s="696">
        <v>3</v>
      </c>
      <c r="O218" s="700"/>
      <c r="P218" s="699"/>
      <c r="Q218" s="701">
        <v>0</v>
      </c>
      <c r="R218" s="696"/>
      <c r="S218" s="701">
        <v>0</v>
      </c>
      <c r="T218" s="700"/>
      <c r="U218" s="702"/>
    </row>
    <row r="219" spans="1:21" ht="14.4" customHeight="1" x14ac:dyDescent="0.3">
      <c r="A219" s="695">
        <v>7</v>
      </c>
      <c r="B219" s="696" t="s">
        <v>1978</v>
      </c>
      <c r="C219" s="696">
        <v>89301074</v>
      </c>
      <c r="D219" s="697" t="s">
        <v>3238</v>
      </c>
      <c r="E219" s="698" t="s">
        <v>2148</v>
      </c>
      <c r="F219" s="696" t="s">
        <v>2133</v>
      </c>
      <c r="G219" s="696" t="s">
        <v>2734</v>
      </c>
      <c r="H219" s="696" t="s">
        <v>547</v>
      </c>
      <c r="I219" s="696" t="s">
        <v>2740</v>
      </c>
      <c r="J219" s="696" t="s">
        <v>2741</v>
      </c>
      <c r="K219" s="696" t="s">
        <v>2742</v>
      </c>
      <c r="L219" s="699">
        <v>474.91</v>
      </c>
      <c r="M219" s="699">
        <v>6648.74</v>
      </c>
      <c r="N219" s="696">
        <v>14</v>
      </c>
      <c r="O219" s="700"/>
      <c r="P219" s="699">
        <v>3799.28</v>
      </c>
      <c r="Q219" s="701">
        <v>0.57142857142857151</v>
      </c>
      <c r="R219" s="696">
        <v>8</v>
      </c>
      <c r="S219" s="701">
        <v>0.5714285714285714</v>
      </c>
      <c r="T219" s="700"/>
      <c r="U219" s="702"/>
    </row>
    <row r="220" spans="1:21" ht="14.4" customHeight="1" x14ac:dyDescent="0.3">
      <c r="A220" s="695">
        <v>7</v>
      </c>
      <c r="B220" s="696" t="s">
        <v>1978</v>
      </c>
      <c r="C220" s="696">
        <v>89301074</v>
      </c>
      <c r="D220" s="697" t="s">
        <v>3238</v>
      </c>
      <c r="E220" s="698" t="s">
        <v>2148</v>
      </c>
      <c r="F220" s="696" t="s">
        <v>2133</v>
      </c>
      <c r="G220" s="696" t="s">
        <v>2734</v>
      </c>
      <c r="H220" s="696" t="s">
        <v>547</v>
      </c>
      <c r="I220" s="696" t="s">
        <v>2743</v>
      </c>
      <c r="J220" s="696" t="s">
        <v>2744</v>
      </c>
      <c r="K220" s="696" t="s">
        <v>2745</v>
      </c>
      <c r="L220" s="699">
        <v>876.77</v>
      </c>
      <c r="M220" s="699">
        <v>17535.400000000001</v>
      </c>
      <c r="N220" s="696">
        <v>20</v>
      </c>
      <c r="O220" s="700"/>
      <c r="P220" s="699">
        <v>12274.78</v>
      </c>
      <c r="Q220" s="701">
        <v>0.7</v>
      </c>
      <c r="R220" s="696">
        <v>14</v>
      </c>
      <c r="S220" s="701">
        <v>0.7</v>
      </c>
      <c r="T220" s="700"/>
      <c r="U220" s="702"/>
    </row>
    <row r="221" spans="1:21" ht="14.4" customHeight="1" x14ac:dyDescent="0.3">
      <c r="A221" s="695">
        <v>7</v>
      </c>
      <c r="B221" s="696" t="s">
        <v>1978</v>
      </c>
      <c r="C221" s="696">
        <v>89301074</v>
      </c>
      <c r="D221" s="697" t="s">
        <v>3238</v>
      </c>
      <c r="E221" s="698" t="s">
        <v>2148</v>
      </c>
      <c r="F221" s="696" t="s">
        <v>2133</v>
      </c>
      <c r="G221" s="696" t="s">
        <v>2734</v>
      </c>
      <c r="H221" s="696" t="s">
        <v>547</v>
      </c>
      <c r="I221" s="696" t="s">
        <v>2746</v>
      </c>
      <c r="J221" s="696" t="s">
        <v>2747</v>
      </c>
      <c r="K221" s="696" t="s">
        <v>2737</v>
      </c>
      <c r="L221" s="699">
        <v>0</v>
      </c>
      <c r="M221" s="699">
        <v>0</v>
      </c>
      <c r="N221" s="696">
        <v>4</v>
      </c>
      <c r="O221" s="700"/>
      <c r="P221" s="699"/>
      <c r="Q221" s="701"/>
      <c r="R221" s="696"/>
      <c r="S221" s="701">
        <v>0</v>
      </c>
      <c r="T221" s="700"/>
      <c r="U221" s="702"/>
    </row>
    <row r="222" spans="1:21" ht="14.4" customHeight="1" x14ac:dyDescent="0.3">
      <c r="A222" s="695">
        <v>7</v>
      </c>
      <c r="B222" s="696" t="s">
        <v>1978</v>
      </c>
      <c r="C222" s="696">
        <v>89301074</v>
      </c>
      <c r="D222" s="697" t="s">
        <v>3238</v>
      </c>
      <c r="E222" s="698" t="s">
        <v>2148</v>
      </c>
      <c r="F222" s="696" t="s">
        <v>2133</v>
      </c>
      <c r="G222" s="696" t="s">
        <v>2748</v>
      </c>
      <c r="H222" s="696" t="s">
        <v>547</v>
      </c>
      <c r="I222" s="696" t="s">
        <v>2749</v>
      </c>
      <c r="J222" s="696" t="s">
        <v>2750</v>
      </c>
      <c r="K222" s="696" t="s">
        <v>2751</v>
      </c>
      <c r="L222" s="699">
        <v>1163.02</v>
      </c>
      <c r="M222" s="699">
        <v>3489.06</v>
      </c>
      <c r="N222" s="696">
        <v>3</v>
      </c>
      <c r="O222" s="700">
        <v>1</v>
      </c>
      <c r="P222" s="699">
        <v>1163.02</v>
      </c>
      <c r="Q222" s="701">
        <v>0.33333333333333331</v>
      </c>
      <c r="R222" s="696">
        <v>1</v>
      </c>
      <c r="S222" s="701">
        <v>0.33333333333333331</v>
      </c>
      <c r="T222" s="700"/>
      <c r="U222" s="702">
        <v>0</v>
      </c>
    </row>
    <row r="223" spans="1:21" ht="14.4" customHeight="1" x14ac:dyDescent="0.3">
      <c r="A223" s="695">
        <v>7</v>
      </c>
      <c r="B223" s="696" t="s">
        <v>1978</v>
      </c>
      <c r="C223" s="696">
        <v>89301074</v>
      </c>
      <c r="D223" s="697" t="s">
        <v>3238</v>
      </c>
      <c r="E223" s="698" t="s">
        <v>2148</v>
      </c>
      <c r="F223" s="696" t="s">
        <v>2133</v>
      </c>
      <c r="G223" s="696" t="s">
        <v>2748</v>
      </c>
      <c r="H223" s="696" t="s">
        <v>547</v>
      </c>
      <c r="I223" s="696" t="s">
        <v>2752</v>
      </c>
      <c r="J223" s="696" t="s">
        <v>2753</v>
      </c>
      <c r="K223" s="696" t="s">
        <v>2754</v>
      </c>
      <c r="L223" s="699">
        <v>2243.6799999999998</v>
      </c>
      <c r="M223" s="699">
        <v>20193.12</v>
      </c>
      <c r="N223" s="696">
        <v>9</v>
      </c>
      <c r="O223" s="700">
        <v>1</v>
      </c>
      <c r="P223" s="699">
        <v>2243.6799999999998</v>
      </c>
      <c r="Q223" s="701">
        <v>0.1111111111111111</v>
      </c>
      <c r="R223" s="696">
        <v>1</v>
      </c>
      <c r="S223" s="701">
        <v>0.1111111111111111</v>
      </c>
      <c r="T223" s="700"/>
      <c r="U223" s="702">
        <v>0</v>
      </c>
    </row>
    <row r="224" spans="1:21" ht="14.4" customHeight="1" x14ac:dyDescent="0.3">
      <c r="A224" s="695">
        <v>7</v>
      </c>
      <c r="B224" s="696" t="s">
        <v>1978</v>
      </c>
      <c r="C224" s="696">
        <v>89301074</v>
      </c>
      <c r="D224" s="697" t="s">
        <v>3238</v>
      </c>
      <c r="E224" s="698" t="s">
        <v>2148</v>
      </c>
      <c r="F224" s="696" t="s">
        <v>2133</v>
      </c>
      <c r="G224" s="696" t="s">
        <v>2748</v>
      </c>
      <c r="H224" s="696" t="s">
        <v>547</v>
      </c>
      <c r="I224" s="696" t="s">
        <v>2755</v>
      </c>
      <c r="J224" s="696" t="s">
        <v>2756</v>
      </c>
      <c r="K224" s="696" t="s">
        <v>2757</v>
      </c>
      <c r="L224" s="699">
        <v>3858.27</v>
      </c>
      <c r="M224" s="699">
        <v>69448.859999999986</v>
      </c>
      <c r="N224" s="696">
        <v>18</v>
      </c>
      <c r="O224" s="700">
        <v>1</v>
      </c>
      <c r="P224" s="699">
        <v>19291.349999999999</v>
      </c>
      <c r="Q224" s="701">
        <v>0.27777777777777779</v>
      </c>
      <c r="R224" s="696">
        <v>5</v>
      </c>
      <c r="S224" s="701">
        <v>0.27777777777777779</v>
      </c>
      <c r="T224" s="700">
        <v>1</v>
      </c>
      <c r="U224" s="702">
        <v>1</v>
      </c>
    </row>
    <row r="225" spans="1:21" ht="14.4" customHeight="1" x14ac:dyDescent="0.3">
      <c r="A225" s="695">
        <v>7</v>
      </c>
      <c r="B225" s="696" t="s">
        <v>1978</v>
      </c>
      <c r="C225" s="696">
        <v>89301074</v>
      </c>
      <c r="D225" s="697" t="s">
        <v>3238</v>
      </c>
      <c r="E225" s="698" t="s">
        <v>2148</v>
      </c>
      <c r="F225" s="696" t="s">
        <v>2133</v>
      </c>
      <c r="G225" s="696" t="s">
        <v>2748</v>
      </c>
      <c r="H225" s="696" t="s">
        <v>547</v>
      </c>
      <c r="I225" s="696" t="s">
        <v>2758</v>
      </c>
      <c r="J225" s="696" t="s">
        <v>2753</v>
      </c>
      <c r="K225" s="696" t="s">
        <v>2759</v>
      </c>
      <c r="L225" s="699">
        <v>0</v>
      </c>
      <c r="M225" s="699">
        <v>0</v>
      </c>
      <c r="N225" s="696">
        <v>2</v>
      </c>
      <c r="O225" s="700">
        <v>1</v>
      </c>
      <c r="P225" s="699"/>
      <c r="Q225" s="701"/>
      <c r="R225" s="696"/>
      <c r="S225" s="701">
        <v>0</v>
      </c>
      <c r="T225" s="700"/>
      <c r="U225" s="702">
        <v>0</v>
      </c>
    </row>
    <row r="226" spans="1:21" ht="14.4" customHeight="1" x14ac:dyDescent="0.3">
      <c r="A226" s="695">
        <v>7</v>
      </c>
      <c r="B226" s="696" t="s">
        <v>1978</v>
      </c>
      <c r="C226" s="696">
        <v>89301074</v>
      </c>
      <c r="D226" s="697" t="s">
        <v>3238</v>
      </c>
      <c r="E226" s="698" t="s">
        <v>2148</v>
      </c>
      <c r="F226" s="696" t="s">
        <v>2133</v>
      </c>
      <c r="G226" s="696" t="s">
        <v>2748</v>
      </c>
      <c r="H226" s="696" t="s">
        <v>547</v>
      </c>
      <c r="I226" s="696" t="s">
        <v>2760</v>
      </c>
      <c r="J226" s="696" t="s">
        <v>2756</v>
      </c>
      <c r="K226" s="696" t="s">
        <v>2761</v>
      </c>
      <c r="L226" s="699">
        <v>0</v>
      </c>
      <c r="M226" s="699">
        <v>0</v>
      </c>
      <c r="N226" s="696">
        <v>6</v>
      </c>
      <c r="O226" s="700"/>
      <c r="P226" s="699">
        <v>0</v>
      </c>
      <c r="Q226" s="701"/>
      <c r="R226" s="696">
        <v>6</v>
      </c>
      <c r="S226" s="701">
        <v>1</v>
      </c>
      <c r="T226" s="700"/>
      <c r="U226" s="702"/>
    </row>
    <row r="227" spans="1:21" ht="14.4" customHeight="1" x14ac:dyDescent="0.3">
      <c r="A227" s="695">
        <v>7</v>
      </c>
      <c r="B227" s="696" t="s">
        <v>1978</v>
      </c>
      <c r="C227" s="696">
        <v>89301074</v>
      </c>
      <c r="D227" s="697" t="s">
        <v>3238</v>
      </c>
      <c r="E227" s="698" t="s">
        <v>2148</v>
      </c>
      <c r="F227" s="696" t="s">
        <v>2133</v>
      </c>
      <c r="G227" s="696" t="s">
        <v>2762</v>
      </c>
      <c r="H227" s="696" t="s">
        <v>547</v>
      </c>
      <c r="I227" s="696" t="s">
        <v>2763</v>
      </c>
      <c r="J227" s="696" t="s">
        <v>2764</v>
      </c>
      <c r="K227" s="696" t="s">
        <v>2765</v>
      </c>
      <c r="L227" s="699">
        <v>0</v>
      </c>
      <c r="M227" s="699">
        <v>0</v>
      </c>
      <c r="N227" s="696">
        <v>1</v>
      </c>
      <c r="O227" s="700">
        <v>0.5</v>
      </c>
      <c r="P227" s="699"/>
      <c r="Q227" s="701"/>
      <c r="R227" s="696"/>
      <c r="S227" s="701">
        <v>0</v>
      </c>
      <c r="T227" s="700"/>
      <c r="U227" s="702">
        <v>0</v>
      </c>
    </row>
    <row r="228" spans="1:21" ht="14.4" customHeight="1" x14ac:dyDescent="0.3">
      <c r="A228" s="695">
        <v>7</v>
      </c>
      <c r="B228" s="696" t="s">
        <v>1978</v>
      </c>
      <c r="C228" s="696">
        <v>89301074</v>
      </c>
      <c r="D228" s="697" t="s">
        <v>3238</v>
      </c>
      <c r="E228" s="698" t="s">
        <v>2148</v>
      </c>
      <c r="F228" s="696" t="s">
        <v>2133</v>
      </c>
      <c r="G228" s="696" t="s">
        <v>2271</v>
      </c>
      <c r="H228" s="696" t="s">
        <v>547</v>
      </c>
      <c r="I228" s="696" t="s">
        <v>2766</v>
      </c>
      <c r="J228" s="696" t="s">
        <v>2767</v>
      </c>
      <c r="K228" s="696" t="s">
        <v>2768</v>
      </c>
      <c r="L228" s="699">
        <v>22.88</v>
      </c>
      <c r="M228" s="699">
        <v>45.76</v>
      </c>
      <c r="N228" s="696">
        <v>2</v>
      </c>
      <c r="O228" s="700">
        <v>0.5</v>
      </c>
      <c r="P228" s="699">
        <v>45.76</v>
      </c>
      <c r="Q228" s="701">
        <v>1</v>
      </c>
      <c r="R228" s="696">
        <v>2</v>
      </c>
      <c r="S228" s="701">
        <v>1</v>
      </c>
      <c r="T228" s="700">
        <v>0.5</v>
      </c>
      <c r="U228" s="702">
        <v>1</v>
      </c>
    </row>
    <row r="229" spans="1:21" ht="14.4" customHeight="1" x14ac:dyDescent="0.3">
      <c r="A229" s="695">
        <v>7</v>
      </c>
      <c r="B229" s="696" t="s">
        <v>1978</v>
      </c>
      <c r="C229" s="696">
        <v>89301074</v>
      </c>
      <c r="D229" s="697" t="s">
        <v>3238</v>
      </c>
      <c r="E229" s="698" t="s">
        <v>2148</v>
      </c>
      <c r="F229" s="696" t="s">
        <v>2133</v>
      </c>
      <c r="G229" s="696" t="s">
        <v>2769</v>
      </c>
      <c r="H229" s="696" t="s">
        <v>1438</v>
      </c>
      <c r="I229" s="696" t="s">
        <v>2770</v>
      </c>
      <c r="J229" s="696" t="s">
        <v>2771</v>
      </c>
      <c r="K229" s="696" t="s">
        <v>2772</v>
      </c>
      <c r="L229" s="699">
        <v>1344.66</v>
      </c>
      <c r="M229" s="699">
        <v>8067.9600000000009</v>
      </c>
      <c r="N229" s="696">
        <v>6</v>
      </c>
      <c r="O229" s="700">
        <v>1</v>
      </c>
      <c r="P229" s="699"/>
      <c r="Q229" s="701">
        <v>0</v>
      </c>
      <c r="R229" s="696"/>
      <c r="S229" s="701">
        <v>0</v>
      </c>
      <c r="T229" s="700"/>
      <c r="U229" s="702">
        <v>0</v>
      </c>
    </row>
    <row r="230" spans="1:21" ht="14.4" customHeight="1" x14ac:dyDescent="0.3">
      <c r="A230" s="695">
        <v>7</v>
      </c>
      <c r="B230" s="696" t="s">
        <v>1978</v>
      </c>
      <c r="C230" s="696">
        <v>89301074</v>
      </c>
      <c r="D230" s="697" t="s">
        <v>3238</v>
      </c>
      <c r="E230" s="698" t="s">
        <v>2148</v>
      </c>
      <c r="F230" s="696" t="s">
        <v>2133</v>
      </c>
      <c r="G230" s="696" t="s">
        <v>2769</v>
      </c>
      <c r="H230" s="696" t="s">
        <v>1438</v>
      </c>
      <c r="I230" s="696" t="s">
        <v>2773</v>
      </c>
      <c r="J230" s="696" t="s">
        <v>2774</v>
      </c>
      <c r="K230" s="696" t="s">
        <v>2775</v>
      </c>
      <c r="L230" s="699">
        <v>1793.46</v>
      </c>
      <c r="M230" s="699">
        <v>8967.2999999999993</v>
      </c>
      <c r="N230" s="696">
        <v>5</v>
      </c>
      <c r="O230" s="700">
        <v>1.5</v>
      </c>
      <c r="P230" s="699">
        <v>1793.46</v>
      </c>
      <c r="Q230" s="701">
        <v>0.2</v>
      </c>
      <c r="R230" s="696">
        <v>1</v>
      </c>
      <c r="S230" s="701">
        <v>0.2</v>
      </c>
      <c r="T230" s="700">
        <v>0.5</v>
      </c>
      <c r="U230" s="702">
        <v>0.33333333333333331</v>
      </c>
    </row>
    <row r="231" spans="1:21" ht="14.4" customHeight="1" x14ac:dyDescent="0.3">
      <c r="A231" s="695">
        <v>7</v>
      </c>
      <c r="B231" s="696" t="s">
        <v>1978</v>
      </c>
      <c r="C231" s="696">
        <v>89301074</v>
      </c>
      <c r="D231" s="697" t="s">
        <v>3238</v>
      </c>
      <c r="E231" s="698" t="s">
        <v>2148</v>
      </c>
      <c r="F231" s="696" t="s">
        <v>2133</v>
      </c>
      <c r="G231" s="696" t="s">
        <v>2278</v>
      </c>
      <c r="H231" s="696" t="s">
        <v>1438</v>
      </c>
      <c r="I231" s="696" t="s">
        <v>2776</v>
      </c>
      <c r="J231" s="696" t="s">
        <v>2777</v>
      </c>
      <c r="K231" s="696" t="s">
        <v>2778</v>
      </c>
      <c r="L231" s="699">
        <v>104.19</v>
      </c>
      <c r="M231" s="699">
        <v>208.38</v>
      </c>
      <c r="N231" s="696">
        <v>2</v>
      </c>
      <c r="O231" s="700">
        <v>0.5</v>
      </c>
      <c r="P231" s="699"/>
      <c r="Q231" s="701">
        <v>0</v>
      </c>
      <c r="R231" s="696"/>
      <c r="S231" s="701">
        <v>0</v>
      </c>
      <c r="T231" s="700"/>
      <c r="U231" s="702">
        <v>0</v>
      </c>
    </row>
    <row r="232" spans="1:21" ht="14.4" customHeight="1" x14ac:dyDescent="0.3">
      <c r="A232" s="695">
        <v>7</v>
      </c>
      <c r="B232" s="696" t="s">
        <v>1978</v>
      </c>
      <c r="C232" s="696">
        <v>89301074</v>
      </c>
      <c r="D232" s="697" t="s">
        <v>3238</v>
      </c>
      <c r="E232" s="698" t="s">
        <v>2148</v>
      </c>
      <c r="F232" s="696" t="s">
        <v>2133</v>
      </c>
      <c r="G232" s="696" t="s">
        <v>2451</v>
      </c>
      <c r="H232" s="696" t="s">
        <v>547</v>
      </c>
      <c r="I232" s="696" t="s">
        <v>2779</v>
      </c>
      <c r="J232" s="696" t="s">
        <v>2780</v>
      </c>
      <c r="K232" s="696" t="s">
        <v>2781</v>
      </c>
      <c r="L232" s="699">
        <v>0</v>
      </c>
      <c r="M232" s="699">
        <v>0</v>
      </c>
      <c r="N232" s="696">
        <v>8</v>
      </c>
      <c r="O232" s="700">
        <v>2</v>
      </c>
      <c r="P232" s="699">
        <v>0</v>
      </c>
      <c r="Q232" s="701"/>
      <c r="R232" s="696">
        <v>6</v>
      </c>
      <c r="S232" s="701">
        <v>0.75</v>
      </c>
      <c r="T232" s="700">
        <v>2</v>
      </c>
      <c r="U232" s="702">
        <v>1</v>
      </c>
    </row>
    <row r="233" spans="1:21" ht="14.4" customHeight="1" x14ac:dyDescent="0.3">
      <c r="A233" s="695">
        <v>7</v>
      </c>
      <c r="B233" s="696" t="s">
        <v>1978</v>
      </c>
      <c r="C233" s="696">
        <v>89301074</v>
      </c>
      <c r="D233" s="697" t="s">
        <v>3238</v>
      </c>
      <c r="E233" s="698" t="s">
        <v>2148</v>
      </c>
      <c r="F233" s="696" t="s">
        <v>2133</v>
      </c>
      <c r="G233" s="696" t="s">
        <v>2451</v>
      </c>
      <c r="H233" s="696" t="s">
        <v>547</v>
      </c>
      <c r="I233" s="696" t="s">
        <v>2782</v>
      </c>
      <c r="J233" s="696" t="s">
        <v>2783</v>
      </c>
      <c r="K233" s="696" t="s">
        <v>2784</v>
      </c>
      <c r="L233" s="699">
        <v>0</v>
      </c>
      <c r="M233" s="699">
        <v>0</v>
      </c>
      <c r="N233" s="696">
        <v>4</v>
      </c>
      <c r="O233" s="700">
        <v>1</v>
      </c>
      <c r="P233" s="699"/>
      <c r="Q233" s="701"/>
      <c r="R233" s="696"/>
      <c r="S233" s="701">
        <v>0</v>
      </c>
      <c r="T233" s="700"/>
      <c r="U233" s="702">
        <v>0</v>
      </c>
    </row>
    <row r="234" spans="1:21" ht="14.4" customHeight="1" x14ac:dyDescent="0.3">
      <c r="A234" s="695">
        <v>7</v>
      </c>
      <c r="B234" s="696" t="s">
        <v>1978</v>
      </c>
      <c r="C234" s="696">
        <v>89301074</v>
      </c>
      <c r="D234" s="697" t="s">
        <v>3238</v>
      </c>
      <c r="E234" s="698" t="s">
        <v>2148</v>
      </c>
      <c r="F234" s="696" t="s">
        <v>2133</v>
      </c>
      <c r="G234" s="696" t="s">
        <v>2451</v>
      </c>
      <c r="H234" s="696" t="s">
        <v>547</v>
      </c>
      <c r="I234" s="696" t="s">
        <v>2785</v>
      </c>
      <c r="J234" s="696" t="s">
        <v>2786</v>
      </c>
      <c r="K234" s="696" t="s">
        <v>2787</v>
      </c>
      <c r="L234" s="699">
        <v>0</v>
      </c>
      <c r="M234" s="699">
        <v>0</v>
      </c>
      <c r="N234" s="696">
        <v>4</v>
      </c>
      <c r="O234" s="700">
        <v>1</v>
      </c>
      <c r="P234" s="699">
        <v>0</v>
      </c>
      <c r="Q234" s="701"/>
      <c r="R234" s="696">
        <v>4</v>
      </c>
      <c r="S234" s="701">
        <v>1</v>
      </c>
      <c r="T234" s="700">
        <v>1</v>
      </c>
      <c r="U234" s="702">
        <v>1</v>
      </c>
    </row>
    <row r="235" spans="1:21" ht="14.4" customHeight="1" x14ac:dyDescent="0.3">
      <c r="A235" s="695">
        <v>7</v>
      </c>
      <c r="B235" s="696" t="s">
        <v>1978</v>
      </c>
      <c r="C235" s="696">
        <v>89301074</v>
      </c>
      <c r="D235" s="697" t="s">
        <v>3238</v>
      </c>
      <c r="E235" s="698" t="s">
        <v>2148</v>
      </c>
      <c r="F235" s="696" t="s">
        <v>2133</v>
      </c>
      <c r="G235" s="696" t="s">
        <v>2788</v>
      </c>
      <c r="H235" s="696" t="s">
        <v>547</v>
      </c>
      <c r="I235" s="696" t="s">
        <v>730</v>
      </c>
      <c r="J235" s="696" t="s">
        <v>731</v>
      </c>
      <c r="K235" s="696" t="s">
        <v>2789</v>
      </c>
      <c r="L235" s="699">
        <v>110.66</v>
      </c>
      <c r="M235" s="699">
        <v>553.29999999999995</v>
      </c>
      <c r="N235" s="696">
        <v>5</v>
      </c>
      <c r="O235" s="700">
        <v>1</v>
      </c>
      <c r="P235" s="699"/>
      <c r="Q235" s="701">
        <v>0</v>
      </c>
      <c r="R235" s="696"/>
      <c r="S235" s="701">
        <v>0</v>
      </c>
      <c r="T235" s="700"/>
      <c r="U235" s="702">
        <v>0</v>
      </c>
    </row>
    <row r="236" spans="1:21" ht="14.4" customHeight="1" x14ac:dyDescent="0.3">
      <c r="A236" s="695">
        <v>7</v>
      </c>
      <c r="B236" s="696" t="s">
        <v>1978</v>
      </c>
      <c r="C236" s="696">
        <v>89301074</v>
      </c>
      <c r="D236" s="697" t="s">
        <v>3238</v>
      </c>
      <c r="E236" s="698" t="s">
        <v>2148</v>
      </c>
      <c r="F236" s="696" t="s">
        <v>2133</v>
      </c>
      <c r="G236" s="696" t="s">
        <v>2201</v>
      </c>
      <c r="H236" s="696" t="s">
        <v>547</v>
      </c>
      <c r="I236" s="696" t="s">
        <v>2790</v>
      </c>
      <c r="J236" s="696" t="s">
        <v>2791</v>
      </c>
      <c r="K236" s="696" t="s">
        <v>2450</v>
      </c>
      <c r="L236" s="699">
        <v>0</v>
      </c>
      <c r="M236" s="699">
        <v>0</v>
      </c>
      <c r="N236" s="696">
        <v>3</v>
      </c>
      <c r="O236" s="700">
        <v>1</v>
      </c>
      <c r="P236" s="699"/>
      <c r="Q236" s="701"/>
      <c r="R236" s="696"/>
      <c r="S236" s="701">
        <v>0</v>
      </c>
      <c r="T236" s="700"/>
      <c r="U236" s="702">
        <v>0</v>
      </c>
    </row>
    <row r="237" spans="1:21" ht="14.4" customHeight="1" x14ac:dyDescent="0.3">
      <c r="A237" s="695">
        <v>7</v>
      </c>
      <c r="B237" s="696" t="s">
        <v>1978</v>
      </c>
      <c r="C237" s="696">
        <v>89301074</v>
      </c>
      <c r="D237" s="697" t="s">
        <v>3238</v>
      </c>
      <c r="E237" s="698" t="s">
        <v>2148</v>
      </c>
      <c r="F237" s="696" t="s">
        <v>2133</v>
      </c>
      <c r="G237" s="696" t="s">
        <v>2201</v>
      </c>
      <c r="H237" s="696" t="s">
        <v>1438</v>
      </c>
      <c r="I237" s="696" t="s">
        <v>2792</v>
      </c>
      <c r="J237" s="696" t="s">
        <v>2793</v>
      </c>
      <c r="K237" s="696" t="s">
        <v>2794</v>
      </c>
      <c r="L237" s="699">
        <v>32.74</v>
      </c>
      <c r="M237" s="699">
        <v>130.96</v>
      </c>
      <c r="N237" s="696">
        <v>4</v>
      </c>
      <c r="O237" s="700">
        <v>1</v>
      </c>
      <c r="P237" s="699"/>
      <c r="Q237" s="701">
        <v>0</v>
      </c>
      <c r="R237" s="696"/>
      <c r="S237" s="701">
        <v>0</v>
      </c>
      <c r="T237" s="700"/>
      <c r="U237" s="702">
        <v>0</v>
      </c>
    </row>
    <row r="238" spans="1:21" ht="14.4" customHeight="1" x14ac:dyDescent="0.3">
      <c r="A238" s="695">
        <v>7</v>
      </c>
      <c r="B238" s="696" t="s">
        <v>1978</v>
      </c>
      <c r="C238" s="696">
        <v>89301074</v>
      </c>
      <c r="D238" s="697" t="s">
        <v>3238</v>
      </c>
      <c r="E238" s="698" t="s">
        <v>2148</v>
      </c>
      <c r="F238" s="696" t="s">
        <v>2133</v>
      </c>
      <c r="G238" s="696" t="s">
        <v>2201</v>
      </c>
      <c r="H238" s="696" t="s">
        <v>1438</v>
      </c>
      <c r="I238" s="696" t="s">
        <v>2795</v>
      </c>
      <c r="J238" s="696" t="s">
        <v>2796</v>
      </c>
      <c r="K238" s="696" t="s">
        <v>2287</v>
      </c>
      <c r="L238" s="699">
        <v>147.36000000000001</v>
      </c>
      <c r="M238" s="699">
        <v>4862.880000000001</v>
      </c>
      <c r="N238" s="696">
        <v>33</v>
      </c>
      <c r="O238" s="700">
        <v>5</v>
      </c>
      <c r="P238" s="699"/>
      <c r="Q238" s="701">
        <v>0</v>
      </c>
      <c r="R238" s="696"/>
      <c r="S238" s="701">
        <v>0</v>
      </c>
      <c r="T238" s="700"/>
      <c r="U238" s="702">
        <v>0</v>
      </c>
    </row>
    <row r="239" spans="1:21" ht="14.4" customHeight="1" x14ac:dyDescent="0.3">
      <c r="A239" s="695">
        <v>7</v>
      </c>
      <c r="B239" s="696" t="s">
        <v>1978</v>
      </c>
      <c r="C239" s="696">
        <v>89301074</v>
      </c>
      <c r="D239" s="697" t="s">
        <v>3238</v>
      </c>
      <c r="E239" s="698" t="s">
        <v>2148</v>
      </c>
      <c r="F239" s="696" t="s">
        <v>2133</v>
      </c>
      <c r="G239" s="696" t="s">
        <v>2201</v>
      </c>
      <c r="H239" s="696" t="s">
        <v>1438</v>
      </c>
      <c r="I239" s="696" t="s">
        <v>2457</v>
      </c>
      <c r="J239" s="696" t="s">
        <v>2458</v>
      </c>
      <c r="K239" s="696" t="s">
        <v>2441</v>
      </c>
      <c r="L239" s="699">
        <v>196.46</v>
      </c>
      <c r="M239" s="699">
        <v>1375.22</v>
      </c>
      <c r="N239" s="696">
        <v>7</v>
      </c>
      <c r="O239" s="700">
        <v>1</v>
      </c>
      <c r="P239" s="699"/>
      <c r="Q239" s="701">
        <v>0</v>
      </c>
      <c r="R239" s="696"/>
      <c r="S239" s="701">
        <v>0</v>
      </c>
      <c r="T239" s="700"/>
      <c r="U239" s="702">
        <v>0</v>
      </c>
    </row>
    <row r="240" spans="1:21" ht="14.4" customHeight="1" x14ac:dyDescent="0.3">
      <c r="A240" s="695">
        <v>7</v>
      </c>
      <c r="B240" s="696" t="s">
        <v>1978</v>
      </c>
      <c r="C240" s="696">
        <v>89301074</v>
      </c>
      <c r="D240" s="697" t="s">
        <v>3238</v>
      </c>
      <c r="E240" s="698" t="s">
        <v>2148</v>
      </c>
      <c r="F240" s="696" t="s">
        <v>2133</v>
      </c>
      <c r="G240" s="696" t="s">
        <v>2201</v>
      </c>
      <c r="H240" s="696" t="s">
        <v>1438</v>
      </c>
      <c r="I240" s="696" t="s">
        <v>2797</v>
      </c>
      <c r="J240" s="696" t="s">
        <v>2203</v>
      </c>
      <c r="K240" s="696" t="s">
        <v>2450</v>
      </c>
      <c r="L240" s="699">
        <v>98.23</v>
      </c>
      <c r="M240" s="699">
        <v>589.38</v>
      </c>
      <c r="N240" s="696">
        <v>6</v>
      </c>
      <c r="O240" s="700">
        <v>1</v>
      </c>
      <c r="P240" s="699">
        <v>589.38</v>
      </c>
      <c r="Q240" s="701">
        <v>1</v>
      </c>
      <c r="R240" s="696">
        <v>6</v>
      </c>
      <c r="S240" s="701">
        <v>1</v>
      </c>
      <c r="T240" s="700">
        <v>1</v>
      </c>
      <c r="U240" s="702">
        <v>1</v>
      </c>
    </row>
    <row r="241" spans="1:21" ht="14.4" customHeight="1" x14ac:dyDescent="0.3">
      <c r="A241" s="695">
        <v>7</v>
      </c>
      <c r="B241" s="696" t="s">
        <v>1978</v>
      </c>
      <c r="C241" s="696">
        <v>89301074</v>
      </c>
      <c r="D241" s="697" t="s">
        <v>3238</v>
      </c>
      <c r="E241" s="698" t="s">
        <v>2148</v>
      </c>
      <c r="F241" s="696" t="s">
        <v>2133</v>
      </c>
      <c r="G241" s="696" t="s">
        <v>2201</v>
      </c>
      <c r="H241" s="696" t="s">
        <v>1438</v>
      </c>
      <c r="I241" s="696" t="s">
        <v>2202</v>
      </c>
      <c r="J241" s="696" t="s">
        <v>2203</v>
      </c>
      <c r="K241" s="696" t="s">
        <v>2204</v>
      </c>
      <c r="L241" s="699">
        <v>163.72999999999999</v>
      </c>
      <c r="M241" s="699">
        <v>163.72999999999999</v>
      </c>
      <c r="N241" s="696">
        <v>1</v>
      </c>
      <c r="O241" s="700">
        <v>1</v>
      </c>
      <c r="P241" s="699"/>
      <c r="Q241" s="701">
        <v>0</v>
      </c>
      <c r="R241" s="696"/>
      <c r="S241" s="701">
        <v>0</v>
      </c>
      <c r="T241" s="700"/>
      <c r="U241" s="702">
        <v>0</v>
      </c>
    </row>
    <row r="242" spans="1:21" ht="14.4" customHeight="1" x14ac:dyDescent="0.3">
      <c r="A242" s="695">
        <v>7</v>
      </c>
      <c r="B242" s="696" t="s">
        <v>1978</v>
      </c>
      <c r="C242" s="696">
        <v>89301074</v>
      </c>
      <c r="D242" s="697" t="s">
        <v>3238</v>
      </c>
      <c r="E242" s="698" t="s">
        <v>2148</v>
      </c>
      <c r="F242" s="696" t="s">
        <v>2133</v>
      </c>
      <c r="G242" s="696" t="s">
        <v>2201</v>
      </c>
      <c r="H242" s="696" t="s">
        <v>1438</v>
      </c>
      <c r="I242" s="696" t="s">
        <v>2798</v>
      </c>
      <c r="J242" s="696" t="s">
        <v>2793</v>
      </c>
      <c r="K242" s="696" t="s">
        <v>2799</v>
      </c>
      <c r="L242" s="699">
        <v>314.33999999999997</v>
      </c>
      <c r="M242" s="699">
        <v>314.33999999999997</v>
      </c>
      <c r="N242" s="696">
        <v>1</v>
      </c>
      <c r="O242" s="700"/>
      <c r="P242" s="699">
        <v>314.33999999999997</v>
      </c>
      <c r="Q242" s="701">
        <v>1</v>
      </c>
      <c r="R242" s="696">
        <v>1</v>
      </c>
      <c r="S242" s="701">
        <v>1</v>
      </c>
      <c r="T242" s="700"/>
      <c r="U242" s="702"/>
    </row>
    <row r="243" spans="1:21" ht="14.4" customHeight="1" x14ac:dyDescent="0.3">
      <c r="A243" s="695">
        <v>7</v>
      </c>
      <c r="B243" s="696" t="s">
        <v>1978</v>
      </c>
      <c r="C243" s="696">
        <v>89301074</v>
      </c>
      <c r="D243" s="697" t="s">
        <v>3238</v>
      </c>
      <c r="E243" s="698" t="s">
        <v>2148</v>
      </c>
      <c r="F243" s="696" t="s">
        <v>2133</v>
      </c>
      <c r="G243" s="696" t="s">
        <v>2288</v>
      </c>
      <c r="H243" s="696" t="s">
        <v>547</v>
      </c>
      <c r="I243" s="696" t="s">
        <v>2459</v>
      </c>
      <c r="J243" s="696" t="s">
        <v>2460</v>
      </c>
      <c r="K243" s="696" t="s">
        <v>2461</v>
      </c>
      <c r="L243" s="699">
        <v>0</v>
      </c>
      <c r="M243" s="699">
        <v>0</v>
      </c>
      <c r="N243" s="696">
        <v>3</v>
      </c>
      <c r="O243" s="700">
        <v>0.5</v>
      </c>
      <c r="P243" s="699"/>
      <c r="Q243" s="701"/>
      <c r="R243" s="696"/>
      <c r="S243" s="701">
        <v>0</v>
      </c>
      <c r="T243" s="700"/>
      <c r="U243" s="702">
        <v>0</v>
      </c>
    </row>
    <row r="244" spans="1:21" ht="14.4" customHeight="1" x14ac:dyDescent="0.3">
      <c r="A244" s="695">
        <v>7</v>
      </c>
      <c r="B244" s="696" t="s">
        <v>1978</v>
      </c>
      <c r="C244" s="696">
        <v>89301074</v>
      </c>
      <c r="D244" s="697" t="s">
        <v>3238</v>
      </c>
      <c r="E244" s="698" t="s">
        <v>2148</v>
      </c>
      <c r="F244" s="696" t="s">
        <v>2133</v>
      </c>
      <c r="G244" s="696" t="s">
        <v>2288</v>
      </c>
      <c r="H244" s="696" t="s">
        <v>547</v>
      </c>
      <c r="I244" s="696" t="s">
        <v>2289</v>
      </c>
      <c r="J244" s="696" t="s">
        <v>2290</v>
      </c>
      <c r="K244" s="696" t="s">
        <v>838</v>
      </c>
      <c r="L244" s="699">
        <v>154.33000000000001</v>
      </c>
      <c r="M244" s="699">
        <v>1080.3100000000002</v>
      </c>
      <c r="N244" s="696">
        <v>7</v>
      </c>
      <c r="O244" s="700">
        <v>1.5</v>
      </c>
      <c r="P244" s="699">
        <v>308.66000000000003</v>
      </c>
      <c r="Q244" s="701">
        <v>0.2857142857142857</v>
      </c>
      <c r="R244" s="696">
        <v>2</v>
      </c>
      <c r="S244" s="701">
        <v>0.2857142857142857</v>
      </c>
      <c r="T244" s="700">
        <v>0.5</v>
      </c>
      <c r="U244" s="702">
        <v>0.33333333333333331</v>
      </c>
    </row>
    <row r="245" spans="1:21" ht="14.4" customHeight="1" x14ac:dyDescent="0.3">
      <c r="A245" s="695">
        <v>7</v>
      </c>
      <c r="B245" s="696" t="s">
        <v>1978</v>
      </c>
      <c r="C245" s="696">
        <v>89301074</v>
      </c>
      <c r="D245" s="697" t="s">
        <v>3238</v>
      </c>
      <c r="E245" s="698" t="s">
        <v>2148</v>
      </c>
      <c r="F245" s="696" t="s">
        <v>2133</v>
      </c>
      <c r="G245" s="696" t="s">
        <v>2288</v>
      </c>
      <c r="H245" s="696" t="s">
        <v>547</v>
      </c>
      <c r="I245" s="696" t="s">
        <v>2800</v>
      </c>
      <c r="J245" s="696" t="s">
        <v>2801</v>
      </c>
      <c r="K245" s="696" t="s">
        <v>838</v>
      </c>
      <c r="L245" s="699">
        <v>60.97</v>
      </c>
      <c r="M245" s="699">
        <v>182.91</v>
      </c>
      <c r="N245" s="696">
        <v>3</v>
      </c>
      <c r="O245" s="700">
        <v>1.5</v>
      </c>
      <c r="P245" s="699">
        <v>182.91</v>
      </c>
      <c r="Q245" s="701">
        <v>1</v>
      </c>
      <c r="R245" s="696">
        <v>3</v>
      </c>
      <c r="S245" s="701">
        <v>1</v>
      </c>
      <c r="T245" s="700">
        <v>1.5</v>
      </c>
      <c r="U245" s="702">
        <v>1</v>
      </c>
    </row>
    <row r="246" spans="1:21" ht="14.4" customHeight="1" x14ac:dyDescent="0.3">
      <c r="A246" s="695">
        <v>7</v>
      </c>
      <c r="B246" s="696" t="s">
        <v>1978</v>
      </c>
      <c r="C246" s="696">
        <v>89301074</v>
      </c>
      <c r="D246" s="697" t="s">
        <v>3238</v>
      </c>
      <c r="E246" s="698" t="s">
        <v>2148</v>
      </c>
      <c r="F246" s="696" t="s">
        <v>2133</v>
      </c>
      <c r="G246" s="696" t="s">
        <v>2802</v>
      </c>
      <c r="H246" s="696" t="s">
        <v>547</v>
      </c>
      <c r="I246" s="696" t="s">
        <v>2803</v>
      </c>
      <c r="J246" s="696" t="s">
        <v>2804</v>
      </c>
      <c r="K246" s="696" t="s">
        <v>2805</v>
      </c>
      <c r="L246" s="699">
        <v>162.13</v>
      </c>
      <c r="M246" s="699">
        <v>324.26</v>
      </c>
      <c r="N246" s="696">
        <v>2</v>
      </c>
      <c r="O246" s="700">
        <v>0.5</v>
      </c>
      <c r="P246" s="699"/>
      <c r="Q246" s="701">
        <v>0</v>
      </c>
      <c r="R246" s="696"/>
      <c r="S246" s="701">
        <v>0</v>
      </c>
      <c r="T246" s="700"/>
      <c r="U246" s="702">
        <v>0</v>
      </c>
    </row>
    <row r="247" spans="1:21" ht="14.4" customHeight="1" x14ac:dyDescent="0.3">
      <c r="A247" s="695">
        <v>7</v>
      </c>
      <c r="B247" s="696" t="s">
        <v>1978</v>
      </c>
      <c r="C247" s="696">
        <v>89301074</v>
      </c>
      <c r="D247" s="697" t="s">
        <v>3238</v>
      </c>
      <c r="E247" s="698" t="s">
        <v>2148</v>
      </c>
      <c r="F247" s="696" t="s">
        <v>2133</v>
      </c>
      <c r="G247" s="696" t="s">
        <v>2295</v>
      </c>
      <c r="H247" s="696" t="s">
        <v>1438</v>
      </c>
      <c r="I247" s="696" t="s">
        <v>2806</v>
      </c>
      <c r="J247" s="696" t="s">
        <v>2297</v>
      </c>
      <c r="K247" s="696" t="s">
        <v>2807</v>
      </c>
      <c r="L247" s="699">
        <v>0</v>
      </c>
      <c r="M247" s="699">
        <v>0</v>
      </c>
      <c r="N247" s="696">
        <v>1</v>
      </c>
      <c r="O247" s="700"/>
      <c r="P247" s="699"/>
      <c r="Q247" s="701"/>
      <c r="R247" s="696"/>
      <c r="S247" s="701">
        <v>0</v>
      </c>
      <c r="T247" s="700"/>
      <c r="U247" s="702"/>
    </row>
    <row r="248" spans="1:21" ht="14.4" customHeight="1" x14ac:dyDescent="0.3">
      <c r="A248" s="695">
        <v>7</v>
      </c>
      <c r="B248" s="696" t="s">
        <v>1978</v>
      </c>
      <c r="C248" s="696">
        <v>89301074</v>
      </c>
      <c r="D248" s="697" t="s">
        <v>3238</v>
      </c>
      <c r="E248" s="698" t="s">
        <v>2148</v>
      </c>
      <c r="F248" s="696" t="s">
        <v>2133</v>
      </c>
      <c r="G248" s="696" t="s">
        <v>2194</v>
      </c>
      <c r="H248" s="696" t="s">
        <v>547</v>
      </c>
      <c r="I248" s="696" t="s">
        <v>2808</v>
      </c>
      <c r="J248" s="696" t="s">
        <v>2564</v>
      </c>
      <c r="K248" s="696" t="s">
        <v>2464</v>
      </c>
      <c r="L248" s="699">
        <v>0</v>
      </c>
      <c r="M248" s="699">
        <v>0</v>
      </c>
      <c r="N248" s="696">
        <v>1</v>
      </c>
      <c r="O248" s="700">
        <v>0.5</v>
      </c>
      <c r="P248" s="699">
        <v>0</v>
      </c>
      <c r="Q248" s="701"/>
      <c r="R248" s="696">
        <v>1</v>
      </c>
      <c r="S248" s="701">
        <v>1</v>
      </c>
      <c r="T248" s="700">
        <v>0.5</v>
      </c>
      <c r="U248" s="702">
        <v>1</v>
      </c>
    </row>
    <row r="249" spans="1:21" ht="14.4" customHeight="1" x14ac:dyDescent="0.3">
      <c r="A249" s="695">
        <v>7</v>
      </c>
      <c r="B249" s="696" t="s">
        <v>1978</v>
      </c>
      <c r="C249" s="696">
        <v>89301074</v>
      </c>
      <c r="D249" s="697" t="s">
        <v>3238</v>
      </c>
      <c r="E249" s="698" t="s">
        <v>2148</v>
      </c>
      <c r="F249" s="696" t="s">
        <v>2133</v>
      </c>
      <c r="G249" s="696" t="s">
        <v>2194</v>
      </c>
      <c r="H249" s="696" t="s">
        <v>547</v>
      </c>
      <c r="I249" s="696" t="s">
        <v>2565</v>
      </c>
      <c r="J249" s="696" t="s">
        <v>2564</v>
      </c>
      <c r="K249" s="696" t="s">
        <v>2406</v>
      </c>
      <c r="L249" s="699">
        <v>0</v>
      </c>
      <c r="M249" s="699">
        <v>0</v>
      </c>
      <c r="N249" s="696">
        <v>1</v>
      </c>
      <c r="O249" s="700">
        <v>1</v>
      </c>
      <c r="P249" s="699">
        <v>0</v>
      </c>
      <c r="Q249" s="701"/>
      <c r="R249" s="696">
        <v>1</v>
      </c>
      <c r="S249" s="701">
        <v>1</v>
      </c>
      <c r="T249" s="700">
        <v>1</v>
      </c>
      <c r="U249" s="702">
        <v>1</v>
      </c>
    </row>
    <row r="250" spans="1:21" ht="14.4" customHeight="1" x14ac:dyDescent="0.3">
      <c r="A250" s="695">
        <v>7</v>
      </c>
      <c r="B250" s="696" t="s">
        <v>1978</v>
      </c>
      <c r="C250" s="696">
        <v>89301074</v>
      </c>
      <c r="D250" s="697" t="s">
        <v>3238</v>
      </c>
      <c r="E250" s="698" t="s">
        <v>2148</v>
      </c>
      <c r="F250" s="696" t="s">
        <v>2133</v>
      </c>
      <c r="G250" s="696" t="s">
        <v>2809</v>
      </c>
      <c r="H250" s="696" t="s">
        <v>547</v>
      </c>
      <c r="I250" s="696" t="s">
        <v>2810</v>
      </c>
      <c r="J250" s="696" t="s">
        <v>2811</v>
      </c>
      <c r="K250" s="696" t="s">
        <v>2812</v>
      </c>
      <c r="L250" s="699">
        <v>238.94</v>
      </c>
      <c r="M250" s="699">
        <v>716.81999999999994</v>
      </c>
      <c r="N250" s="696">
        <v>3</v>
      </c>
      <c r="O250" s="700">
        <v>1</v>
      </c>
      <c r="P250" s="699"/>
      <c r="Q250" s="701">
        <v>0</v>
      </c>
      <c r="R250" s="696"/>
      <c r="S250" s="701">
        <v>0</v>
      </c>
      <c r="T250" s="700"/>
      <c r="U250" s="702">
        <v>0</v>
      </c>
    </row>
    <row r="251" spans="1:21" ht="14.4" customHeight="1" x14ac:dyDescent="0.3">
      <c r="A251" s="695">
        <v>7</v>
      </c>
      <c r="B251" s="696" t="s">
        <v>1978</v>
      </c>
      <c r="C251" s="696">
        <v>89301074</v>
      </c>
      <c r="D251" s="697" t="s">
        <v>3238</v>
      </c>
      <c r="E251" s="698" t="s">
        <v>2149</v>
      </c>
      <c r="F251" s="696" t="s">
        <v>2133</v>
      </c>
      <c r="G251" s="696" t="s">
        <v>2609</v>
      </c>
      <c r="H251" s="696" t="s">
        <v>547</v>
      </c>
      <c r="I251" s="696" t="s">
        <v>2610</v>
      </c>
      <c r="J251" s="696" t="s">
        <v>2611</v>
      </c>
      <c r="K251" s="696" t="s">
        <v>2612</v>
      </c>
      <c r="L251" s="699">
        <v>35.409999999999997</v>
      </c>
      <c r="M251" s="699">
        <v>566.55999999999995</v>
      </c>
      <c r="N251" s="696">
        <v>16</v>
      </c>
      <c r="O251" s="700">
        <v>5.5</v>
      </c>
      <c r="P251" s="699">
        <v>318.68999999999994</v>
      </c>
      <c r="Q251" s="701">
        <v>0.5625</v>
      </c>
      <c r="R251" s="696">
        <v>9</v>
      </c>
      <c r="S251" s="701">
        <v>0.5625</v>
      </c>
      <c r="T251" s="700">
        <v>3.5</v>
      </c>
      <c r="U251" s="702">
        <v>0.63636363636363635</v>
      </c>
    </row>
    <row r="252" spans="1:21" ht="14.4" customHeight="1" x14ac:dyDescent="0.3">
      <c r="A252" s="695">
        <v>7</v>
      </c>
      <c r="B252" s="696" t="s">
        <v>1978</v>
      </c>
      <c r="C252" s="696">
        <v>89301074</v>
      </c>
      <c r="D252" s="697" t="s">
        <v>3238</v>
      </c>
      <c r="E252" s="698" t="s">
        <v>2149</v>
      </c>
      <c r="F252" s="696" t="s">
        <v>2133</v>
      </c>
      <c r="G252" s="696" t="s">
        <v>2426</v>
      </c>
      <c r="H252" s="696" t="s">
        <v>547</v>
      </c>
      <c r="I252" s="696" t="s">
        <v>2427</v>
      </c>
      <c r="J252" s="696" t="s">
        <v>2428</v>
      </c>
      <c r="K252" s="696" t="s">
        <v>2429</v>
      </c>
      <c r="L252" s="699">
        <v>53.77</v>
      </c>
      <c r="M252" s="699">
        <v>215.08</v>
      </c>
      <c r="N252" s="696">
        <v>4</v>
      </c>
      <c r="O252" s="700">
        <v>2</v>
      </c>
      <c r="P252" s="699">
        <v>107.54</v>
      </c>
      <c r="Q252" s="701">
        <v>0.5</v>
      </c>
      <c r="R252" s="696">
        <v>2</v>
      </c>
      <c r="S252" s="701">
        <v>0.5</v>
      </c>
      <c r="T252" s="700">
        <v>1</v>
      </c>
      <c r="U252" s="702">
        <v>0.5</v>
      </c>
    </row>
    <row r="253" spans="1:21" ht="14.4" customHeight="1" x14ac:dyDescent="0.3">
      <c r="A253" s="695">
        <v>7</v>
      </c>
      <c r="B253" s="696" t="s">
        <v>1978</v>
      </c>
      <c r="C253" s="696">
        <v>89301074</v>
      </c>
      <c r="D253" s="697" t="s">
        <v>3238</v>
      </c>
      <c r="E253" s="698" t="s">
        <v>2149</v>
      </c>
      <c r="F253" s="696" t="s">
        <v>2133</v>
      </c>
      <c r="G253" s="696" t="s">
        <v>2426</v>
      </c>
      <c r="H253" s="696" t="s">
        <v>547</v>
      </c>
      <c r="I253" s="696" t="s">
        <v>2813</v>
      </c>
      <c r="J253" s="696" t="s">
        <v>2428</v>
      </c>
      <c r="K253" s="696" t="s">
        <v>2814</v>
      </c>
      <c r="L253" s="699">
        <v>0</v>
      </c>
      <c r="M253" s="699">
        <v>0</v>
      </c>
      <c r="N253" s="696">
        <v>3</v>
      </c>
      <c r="O253" s="700">
        <v>2</v>
      </c>
      <c r="P253" s="699">
        <v>0</v>
      </c>
      <c r="Q253" s="701"/>
      <c r="R253" s="696">
        <v>1</v>
      </c>
      <c r="S253" s="701">
        <v>0.33333333333333331</v>
      </c>
      <c r="T253" s="700">
        <v>1</v>
      </c>
      <c r="U253" s="702">
        <v>0.5</v>
      </c>
    </row>
    <row r="254" spans="1:21" ht="14.4" customHeight="1" x14ac:dyDescent="0.3">
      <c r="A254" s="695">
        <v>7</v>
      </c>
      <c r="B254" s="696" t="s">
        <v>1978</v>
      </c>
      <c r="C254" s="696">
        <v>89301074</v>
      </c>
      <c r="D254" s="697" t="s">
        <v>3238</v>
      </c>
      <c r="E254" s="698" t="s">
        <v>2149</v>
      </c>
      <c r="F254" s="696" t="s">
        <v>2133</v>
      </c>
      <c r="G254" s="696" t="s">
        <v>2477</v>
      </c>
      <c r="H254" s="696" t="s">
        <v>547</v>
      </c>
      <c r="I254" s="696" t="s">
        <v>789</v>
      </c>
      <c r="J254" s="696" t="s">
        <v>2479</v>
      </c>
      <c r="K254" s="696" t="s">
        <v>2480</v>
      </c>
      <c r="L254" s="699">
        <v>0</v>
      </c>
      <c r="M254" s="699">
        <v>0</v>
      </c>
      <c r="N254" s="696">
        <v>1</v>
      </c>
      <c r="O254" s="700">
        <v>0.5</v>
      </c>
      <c r="P254" s="699"/>
      <c r="Q254" s="701"/>
      <c r="R254" s="696"/>
      <c r="S254" s="701">
        <v>0</v>
      </c>
      <c r="T254" s="700"/>
      <c r="U254" s="702">
        <v>0</v>
      </c>
    </row>
    <row r="255" spans="1:21" ht="14.4" customHeight="1" x14ac:dyDescent="0.3">
      <c r="A255" s="695">
        <v>7</v>
      </c>
      <c r="B255" s="696" t="s">
        <v>1978</v>
      </c>
      <c r="C255" s="696">
        <v>89301074</v>
      </c>
      <c r="D255" s="697" t="s">
        <v>3238</v>
      </c>
      <c r="E255" s="698" t="s">
        <v>2149</v>
      </c>
      <c r="F255" s="696" t="s">
        <v>2133</v>
      </c>
      <c r="G255" s="696" t="s">
        <v>2624</v>
      </c>
      <c r="H255" s="696" t="s">
        <v>1438</v>
      </c>
      <c r="I255" s="696" t="s">
        <v>2625</v>
      </c>
      <c r="J255" s="696" t="s">
        <v>2626</v>
      </c>
      <c r="K255" s="696" t="s">
        <v>2627</v>
      </c>
      <c r="L255" s="699">
        <v>1027.5999999999999</v>
      </c>
      <c r="M255" s="699">
        <v>13358.8</v>
      </c>
      <c r="N255" s="696">
        <v>13</v>
      </c>
      <c r="O255" s="700">
        <v>3</v>
      </c>
      <c r="P255" s="699">
        <v>13358.8</v>
      </c>
      <c r="Q255" s="701">
        <v>1</v>
      </c>
      <c r="R255" s="696">
        <v>13</v>
      </c>
      <c r="S255" s="701">
        <v>1</v>
      </c>
      <c r="T255" s="700">
        <v>3</v>
      </c>
      <c r="U255" s="702">
        <v>1</v>
      </c>
    </row>
    <row r="256" spans="1:21" ht="14.4" customHeight="1" x14ac:dyDescent="0.3">
      <c r="A256" s="695">
        <v>7</v>
      </c>
      <c r="B256" s="696" t="s">
        <v>1978</v>
      </c>
      <c r="C256" s="696">
        <v>89301074</v>
      </c>
      <c r="D256" s="697" t="s">
        <v>3238</v>
      </c>
      <c r="E256" s="698" t="s">
        <v>2149</v>
      </c>
      <c r="F256" s="696" t="s">
        <v>2133</v>
      </c>
      <c r="G256" s="696" t="s">
        <v>2624</v>
      </c>
      <c r="H256" s="696" t="s">
        <v>1438</v>
      </c>
      <c r="I256" s="696" t="s">
        <v>2625</v>
      </c>
      <c r="J256" s="696" t="s">
        <v>2626</v>
      </c>
      <c r="K256" s="696" t="s">
        <v>2627</v>
      </c>
      <c r="L256" s="699">
        <v>801.23</v>
      </c>
      <c r="M256" s="699">
        <v>8813.5299999999988</v>
      </c>
      <c r="N256" s="696">
        <v>11</v>
      </c>
      <c r="O256" s="700">
        <v>3</v>
      </c>
      <c r="P256" s="699"/>
      <c r="Q256" s="701">
        <v>0</v>
      </c>
      <c r="R256" s="696"/>
      <c r="S256" s="701">
        <v>0</v>
      </c>
      <c r="T256" s="700"/>
      <c r="U256" s="702">
        <v>0</v>
      </c>
    </row>
    <row r="257" spans="1:21" ht="14.4" customHeight="1" x14ac:dyDescent="0.3">
      <c r="A257" s="695">
        <v>7</v>
      </c>
      <c r="B257" s="696" t="s">
        <v>1978</v>
      </c>
      <c r="C257" s="696">
        <v>89301074</v>
      </c>
      <c r="D257" s="697" t="s">
        <v>3238</v>
      </c>
      <c r="E257" s="698" t="s">
        <v>2149</v>
      </c>
      <c r="F257" s="696" t="s">
        <v>2133</v>
      </c>
      <c r="G257" s="696" t="s">
        <v>2624</v>
      </c>
      <c r="H257" s="696" t="s">
        <v>1438</v>
      </c>
      <c r="I257" s="696" t="s">
        <v>2815</v>
      </c>
      <c r="J257" s="696" t="s">
        <v>2816</v>
      </c>
      <c r="K257" s="696" t="s">
        <v>2817</v>
      </c>
      <c r="L257" s="699">
        <v>1509.4</v>
      </c>
      <c r="M257" s="699">
        <v>24150.400000000001</v>
      </c>
      <c r="N257" s="696">
        <v>16</v>
      </c>
      <c r="O257" s="700">
        <v>4</v>
      </c>
      <c r="P257" s="699">
        <v>24150.400000000001</v>
      </c>
      <c r="Q257" s="701">
        <v>1</v>
      </c>
      <c r="R257" s="696">
        <v>16</v>
      </c>
      <c r="S257" s="701">
        <v>1</v>
      </c>
      <c r="T257" s="700">
        <v>4</v>
      </c>
      <c r="U257" s="702">
        <v>1</v>
      </c>
    </row>
    <row r="258" spans="1:21" ht="14.4" customHeight="1" x14ac:dyDescent="0.3">
      <c r="A258" s="695">
        <v>7</v>
      </c>
      <c r="B258" s="696" t="s">
        <v>1978</v>
      </c>
      <c r="C258" s="696">
        <v>89301074</v>
      </c>
      <c r="D258" s="697" t="s">
        <v>3238</v>
      </c>
      <c r="E258" s="698" t="s">
        <v>2149</v>
      </c>
      <c r="F258" s="696" t="s">
        <v>2133</v>
      </c>
      <c r="G258" s="696" t="s">
        <v>2624</v>
      </c>
      <c r="H258" s="696" t="s">
        <v>1438</v>
      </c>
      <c r="I258" s="696" t="s">
        <v>2815</v>
      </c>
      <c r="J258" s="696" t="s">
        <v>2816</v>
      </c>
      <c r="K258" s="696" t="s">
        <v>2817</v>
      </c>
      <c r="L258" s="699">
        <v>1201.8399999999999</v>
      </c>
      <c r="M258" s="699">
        <v>39660.720000000001</v>
      </c>
      <c r="N258" s="696">
        <v>33</v>
      </c>
      <c r="O258" s="700">
        <v>7</v>
      </c>
      <c r="P258" s="699">
        <v>39660.720000000001</v>
      </c>
      <c r="Q258" s="701">
        <v>1</v>
      </c>
      <c r="R258" s="696">
        <v>33</v>
      </c>
      <c r="S258" s="701">
        <v>1</v>
      </c>
      <c r="T258" s="700">
        <v>7</v>
      </c>
      <c r="U258" s="702">
        <v>1</v>
      </c>
    </row>
    <row r="259" spans="1:21" ht="14.4" customHeight="1" x14ac:dyDescent="0.3">
      <c r="A259" s="695">
        <v>7</v>
      </c>
      <c r="B259" s="696" t="s">
        <v>1978</v>
      </c>
      <c r="C259" s="696">
        <v>89301074</v>
      </c>
      <c r="D259" s="697" t="s">
        <v>3238</v>
      </c>
      <c r="E259" s="698" t="s">
        <v>2149</v>
      </c>
      <c r="F259" s="696" t="s">
        <v>2133</v>
      </c>
      <c r="G259" s="696" t="s">
        <v>2624</v>
      </c>
      <c r="H259" s="696" t="s">
        <v>1438</v>
      </c>
      <c r="I259" s="696" t="s">
        <v>2818</v>
      </c>
      <c r="J259" s="696" t="s">
        <v>2819</v>
      </c>
      <c r="K259" s="696" t="s">
        <v>2820</v>
      </c>
      <c r="L259" s="699">
        <v>1896.14</v>
      </c>
      <c r="M259" s="699">
        <v>17065.260000000002</v>
      </c>
      <c r="N259" s="696">
        <v>9</v>
      </c>
      <c r="O259" s="700">
        <v>2</v>
      </c>
      <c r="P259" s="699"/>
      <c r="Q259" s="701">
        <v>0</v>
      </c>
      <c r="R259" s="696"/>
      <c r="S259" s="701">
        <v>0</v>
      </c>
      <c r="T259" s="700"/>
      <c r="U259" s="702">
        <v>0</v>
      </c>
    </row>
    <row r="260" spans="1:21" ht="14.4" customHeight="1" x14ac:dyDescent="0.3">
      <c r="A260" s="695">
        <v>7</v>
      </c>
      <c r="B260" s="696" t="s">
        <v>1978</v>
      </c>
      <c r="C260" s="696">
        <v>89301074</v>
      </c>
      <c r="D260" s="697" t="s">
        <v>3238</v>
      </c>
      <c r="E260" s="698" t="s">
        <v>2149</v>
      </c>
      <c r="F260" s="696" t="s">
        <v>2133</v>
      </c>
      <c r="G260" s="696" t="s">
        <v>2624</v>
      </c>
      <c r="H260" s="696" t="s">
        <v>1438</v>
      </c>
      <c r="I260" s="696" t="s">
        <v>2818</v>
      </c>
      <c r="J260" s="696" t="s">
        <v>2819</v>
      </c>
      <c r="K260" s="696" t="s">
        <v>2820</v>
      </c>
      <c r="L260" s="699">
        <v>1602.45</v>
      </c>
      <c r="M260" s="699">
        <v>19229.400000000001</v>
      </c>
      <c r="N260" s="696">
        <v>12</v>
      </c>
      <c r="O260" s="700">
        <v>2</v>
      </c>
      <c r="P260" s="699">
        <v>9614.7000000000007</v>
      </c>
      <c r="Q260" s="701">
        <v>0.5</v>
      </c>
      <c r="R260" s="696">
        <v>6</v>
      </c>
      <c r="S260" s="701">
        <v>0.5</v>
      </c>
      <c r="T260" s="700">
        <v>1</v>
      </c>
      <c r="U260" s="702">
        <v>0.5</v>
      </c>
    </row>
    <row r="261" spans="1:21" ht="14.4" customHeight="1" x14ac:dyDescent="0.3">
      <c r="A261" s="695">
        <v>7</v>
      </c>
      <c r="B261" s="696" t="s">
        <v>1978</v>
      </c>
      <c r="C261" s="696">
        <v>89301074</v>
      </c>
      <c r="D261" s="697" t="s">
        <v>3238</v>
      </c>
      <c r="E261" s="698" t="s">
        <v>2149</v>
      </c>
      <c r="F261" s="696" t="s">
        <v>2133</v>
      </c>
      <c r="G261" s="696" t="s">
        <v>2624</v>
      </c>
      <c r="H261" s="696" t="s">
        <v>547</v>
      </c>
      <c r="I261" s="696" t="s">
        <v>2821</v>
      </c>
      <c r="J261" s="696" t="s">
        <v>2822</v>
      </c>
      <c r="K261" s="696" t="s">
        <v>2823</v>
      </c>
      <c r="L261" s="699">
        <v>770.7</v>
      </c>
      <c r="M261" s="699">
        <v>4624.2000000000007</v>
      </c>
      <c r="N261" s="696">
        <v>6</v>
      </c>
      <c r="O261" s="700">
        <v>1</v>
      </c>
      <c r="P261" s="699">
        <v>4624.2000000000007</v>
      </c>
      <c r="Q261" s="701">
        <v>1</v>
      </c>
      <c r="R261" s="696">
        <v>6</v>
      </c>
      <c r="S261" s="701">
        <v>1</v>
      </c>
      <c r="T261" s="700">
        <v>1</v>
      </c>
      <c r="U261" s="702">
        <v>1</v>
      </c>
    </row>
    <row r="262" spans="1:21" ht="14.4" customHeight="1" x14ac:dyDescent="0.3">
      <c r="A262" s="695">
        <v>7</v>
      </c>
      <c r="B262" s="696" t="s">
        <v>1978</v>
      </c>
      <c r="C262" s="696">
        <v>89301074</v>
      </c>
      <c r="D262" s="697" t="s">
        <v>3238</v>
      </c>
      <c r="E262" s="698" t="s">
        <v>2149</v>
      </c>
      <c r="F262" s="696" t="s">
        <v>2133</v>
      </c>
      <c r="G262" s="696" t="s">
        <v>2250</v>
      </c>
      <c r="H262" s="696" t="s">
        <v>1438</v>
      </c>
      <c r="I262" s="696" t="s">
        <v>2824</v>
      </c>
      <c r="J262" s="696" t="s">
        <v>2825</v>
      </c>
      <c r="K262" s="696" t="s">
        <v>2826</v>
      </c>
      <c r="L262" s="699">
        <v>162.13</v>
      </c>
      <c r="M262" s="699">
        <v>7295.85</v>
      </c>
      <c r="N262" s="696">
        <v>45</v>
      </c>
      <c r="O262" s="700">
        <v>15.5</v>
      </c>
      <c r="P262" s="699">
        <v>4053.2500000000005</v>
      </c>
      <c r="Q262" s="701">
        <v>0.55555555555555558</v>
      </c>
      <c r="R262" s="696">
        <v>25</v>
      </c>
      <c r="S262" s="701">
        <v>0.55555555555555558</v>
      </c>
      <c r="T262" s="700">
        <v>8.5</v>
      </c>
      <c r="U262" s="702">
        <v>0.54838709677419351</v>
      </c>
    </row>
    <row r="263" spans="1:21" ht="14.4" customHeight="1" x14ac:dyDescent="0.3">
      <c r="A263" s="695">
        <v>7</v>
      </c>
      <c r="B263" s="696" t="s">
        <v>1978</v>
      </c>
      <c r="C263" s="696">
        <v>89301074</v>
      </c>
      <c r="D263" s="697" t="s">
        <v>3238</v>
      </c>
      <c r="E263" s="698" t="s">
        <v>2149</v>
      </c>
      <c r="F263" s="696" t="s">
        <v>2133</v>
      </c>
      <c r="G263" s="696" t="s">
        <v>2250</v>
      </c>
      <c r="H263" s="696" t="s">
        <v>1438</v>
      </c>
      <c r="I263" s="696" t="s">
        <v>2628</v>
      </c>
      <c r="J263" s="696" t="s">
        <v>2482</v>
      </c>
      <c r="K263" s="696" t="s">
        <v>2629</v>
      </c>
      <c r="L263" s="699">
        <v>216.16</v>
      </c>
      <c r="M263" s="699">
        <v>1296.96</v>
      </c>
      <c r="N263" s="696">
        <v>6</v>
      </c>
      <c r="O263" s="700">
        <v>1</v>
      </c>
      <c r="P263" s="699">
        <v>648.48</v>
      </c>
      <c r="Q263" s="701">
        <v>0.5</v>
      </c>
      <c r="R263" s="696">
        <v>3</v>
      </c>
      <c r="S263" s="701">
        <v>0.5</v>
      </c>
      <c r="T263" s="700">
        <v>0.5</v>
      </c>
      <c r="U263" s="702">
        <v>0.5</v>
      </c>
    </row>
    <row r="264" spans="1:21" ht="14.4" customHeight="1" x14ac:dyDescent="0.3">
      <c r="A264" s="695">
        <v>7</v>
      </c>
      <c r="B264" s="696" t="s">
        <v>1978</v>
      </c>
      <c r="C264" s="696">
        <v>89301074</v>
      </c>
      <c r="D264" s="697" t="s">
        <v>3238</v>
      </c>
      <c r="E264" s="698" t="s">
        <v>2149</v>
      </c>
      <c r="F264" s="696" t="s">
        <v>2133</v>
      </c>
      <c r="G264" s="696" t="s">
        <v>2250</v>
      </c>
      <c r="H264" s="696" t="s">
        <v>547</v>
      </c>
      <c r="I264" s="696" t="s">
        <v>2827</v>
      </c>
      <c r="J264" s="696" t="s">
        <v>2828</v>
      </c>
      <c r="K264" s="696" t="s">
        <v>2829</v>
      </c>
      <c r="L264" s="699">
        <v>0</v>
      </c>
      <c r="M264" s="699">
        <v>0</v>
      </c>
      <c r="N264" s="696">
        <v>7</v>
      </c>
      <c r="O264" s="700">
        <v>2.5</v>
      </c>
      <c r="P264" s="699">
        <v>0</v>
      </c>
      <c r="Q264" s="701"/>
      <c r="R264" s="696">
        <v>2</v>
      </c>
      <c r="S264" s="701">
        <v>0.2857142857142857</v>
      </c>
      <c r="T264" s="700">
        <v>1.5</v>
      </c>
      <c r="U264" s="702">
        <v>0.6</v>
      </c>
    </row>
    <row r="265" spans="1:21" ht="14.4" customHeight="1" x14ac:dyDescent="0.3">
      <c r="A265" s="695">
        <v>7</v>
      </c>
      <c r="B265" s="696" t="s">
        <v>1978</v>
      </c>
      <c r="C265" s="696">
        <v>89301074</v>
      </c>
      <c r="D265" s="697" t="s">
        <v>3238</v>
      </c>
      <c r="E265" s="698" t="s">
        <v>2149</v>
      </c>
      <c r="F265" s="696" t="s">
        <v>2133</v>
      </c>
      <c r="G265" s="696" t="s">
        <v>2250</v>
      </c>
      <c r="H265" s="696" t="s">
        <v>547</v>
      </c>
      <c r="I265" s="696" t="s">
        <v>2251</v>
      </c>
      <c r="J265" s="696" t="s">
        <v>2252</v>
      </c>
      <c r="K265" s="696" t="s">
        <v>2253</v>
      </c>
      <c r="L265" s="699">
        <v>201.75</v>
      </c>
      <c r="M265" s="699">
        <v>3631.5</v>
      </c>
      <c r="N265" s="696">
        <v>18</v>
      </c>
      <c r="O265" s="700">
        <v>7</v>
      </c>
      <c r="P265" s="699">
        <v>2219.25</v>
      </c>
      <c r="Q265" s="701">
        <v>0.61111111111111116</v>
      </c>
      <c r="R265" s="696">
        <v>11</v>
      </c>
      <c r="S265" s="701">
        <v>0.61111111111111116</v>
      </c>
      <c r="T265" s="700">
        <v>4.5</v>
      </c>
      <c r="U265" s="702">
        <v>0.6428571428571429</v>
      </c>
    </row>
    <row r="266" spans="1:21" ht="14.4" customHeight="1" x14ac:dyDescent="0.3">
      <c r="A266" s="695">
        <v>7</v>
      </c>
      <c r="B266" s="696" t="s">
        <v>1978</v>
      </c>
      <c r="C266" s="696">
        <v>89301074</v>
      </c>
      <c r="D266" s="697" t="s">
        <v>3238</v>
      </c>
      <c r="E266" s="698" t="s">
        <v>2149</v>
      </c>
      <c r="F266" s="696" t="s">
        <v>2133</v>
      </c>
      <c r="G266" s="696" t="s">
        <v>2250</v>
      </c>
      <c r="H266" s="696" t="s">
        <v>547</v>
      </c>
      <c r="I266" s="696" t="s">
        <v>2830</v>
      </c>
      <c r="J266" s="696" t="s">
        <v>2252</v>
      </c>
      <c r="K266" s="696" t="s">
        <v>2253</v>
      </c>
      <c r="L266" s="699">
        <v>201.75</v>
      </c>
      <c r="M266" s="699">
        <v>605.25</v>
      </c>
      <c r="N266" s="696">
        <v>3</v>
      </c>
      <c r="O266" s="700">
        <v>1</v>
      </c>
      <c r="P266" s="699">
        <v>403.5</v>
      </c>
      <c r="Q266" s="701">
        <v>0.66666666666666663</v>
      </c>
      <c r="R266" s="696">
        <v>2</v>
      </c>
      <c r="S266" s="701">
        <v>0.66666666666666663</v>
      </c>
      <c r="T266" s="700">
        <v>0.5</v>
      </c>
      <c r="U266" s="702">
        <v>0.5</v>
      </c>
    </row>
    <row r="267" spans="1:21" ht="14.4" customHeight="1" x14ac:dyDescent="0.3">
      <c r="A267" s="695">
        <v>7</v>
      </c>
      <c r="B267" s="696" t="s">
        <v>1978</v>
      </c>
      <c r="C267" s="696">
        <v>89301074</v>
      </c>
      <c r="D267" s="697" t="s">
        <v>3238</v>
      </c>
      <c r="E267" s="698" t="s">
        <v>2149</v>
      </c>
      <c r="F267" s="696" t="s">
        <v>2133</v>
      </c>
      <c r="G267" s="696" t="s">
        <v>2364</v>
      </c>
      <c r="H267" s="696" t="s">
        <v>547</v>
      </c>
      <c r="I267" s="696" t="s">
        <v>2831</v>
      </c>
      <c r="J267" s="696" t="s">
        <v>2832</v>
      </c>
      <c r="K267" s="696" t="s">
        <v>2833</v>
      </c>
      <c r="L267" s="699">
        <v>0</v>
      </c>
      <c r="M267" s="699">
        <v>0</v>
      </c>
      <c r="N267" s="696">
        <v>1</v>
      </c>
      <c r="O267" s="700">
        <v>0.5</v>
      </c>
      <c r="P267" s="699"/>
      <c r="Q267" s="701"/>
      <c r="R267" s="696"/>
      <c r="S267" s="701">
        <v>0</v>
      </c>
      <c r="T267" s="700"/>
      <c r="U267" s="702">
        <v>0</v>
      </c>
    </row>
    <row r="268" spans="1:21" ht="14.4" customHeight="1" x14ac:dyDescent="0.3">
      <c r="A268" s="695">
        <v>7</v>
      </c>
      <c r="B268" s="696" t="s">
        <v>1978</v>
      </c>
      <c r="C268" s="696">
        <v>89301074</v>
      </c>
      <c r="D268" s="697" t="s">
        <v>3238</v>
      </c>
      <c r="E268" s="698" t="s">
        <v>2149</v>
      </c>
      <c r="F268" s="696" t="s">
        <v>2133</v>
      </c>
      <c r="G268" s="696" t="s">
        <v>2364</v>
      </c>
      <c r="H268" s="696" t="s">
        <v>547</v>
      </c>
      <c r="I268" s="696" t="s">
        <v>2834</v>
      </c>
      <c r="J268" s="696" t="s">
        <v>2832</v>
      </c>
      <c r="K268" s="696" t="s">
        <v>2835</v>
      </c>
      <c r="L268" s="699">
        <v>0</v>
      </c>
      <c r="M268" s="699">
        <v>0</v>
      </c>
      <c r="N268" s="696">
        <v>1</v>
      </c>
      <c r="O268" s="700">
        <v>0.5</v>
      </c>
      <c r="P268" s="699"/>
      <c r="Q268" s="701"/>
      <c r="R268" s="696"/>
      <c r="S268" s="701">
        <v>0</v>
      </c>
      <c r="T268" s="700"/>
      <c r="U268" s="702">
        <v>0</v>
      </c>
    </row>
    <row r="269" spans="1:21" ht="14.4" customHeight="1" x14ac:dyDescent="0.3">
      <c r="A269" s="695">
        <v>7</v>
      </c>
      <c r="B269" s="696" t="s">
        <v>1978</v>
      </c>
      <c r="C269" s="696">
        <v>89301074</v>
      </c>
      <c r="D269" s="697" t="s">
        <v>3238</v>
      </c>
      <c r="E269" s="698" t="s">
        <v>2149</v>
      </c>
      <c r="F269" s="696" t="s">
        <v>2133</v>
      </c>
      <c r="G269" s="696" t="s">
        <v>2364</v>
      </c>
      <c r="H269" s="696" t="s">
        <v>547</v>
      </c>
      <c r="I269" s="696" t="s">
        <v>2836</v>
      </c>
      <c r="J269" s="696" t="s">
        <v>2832</v>
      </c>
      <c r="K269" s="696" t="s">
        <v>2837</v>
      </c>
      <c r="L269" s="699">
        <v>0</v>
      </c>
      <c r="M269" s="699">
        <v>0</v>
      </c>
      <c r="N269" s="696">
        <v>1</v>
      </c>
      <c r="O269" s="700">
        <v>0.5</v>
      </c>
      <c r="P269" s="699">
        <v>0</v>
      </c>
      <c r="Q269" s="701"/>
      <c r="R269" s="696">
        <v>1</v>
      </c>
      <c r="S269" s="701">
        <v>1</v>
      </c>
      <c r="T269" s="700">
        <v>0.5</v>
      </c>
      <c r="U269" s="702">
        <v>1</v>
      </c>
    </row>
    <row r="270" spans="1:21" ht="14.4" customHeight="1" x14ac:dyDescent="0.3">
      <c r="A270" s="695">
        <v>7</v>
      </c>
      <c r="B270" s="696" t="s">
        <v>1978</v>
      </c>
      <c r="C270" s="696">
        <v>89301074</v>
      </c>
      <c r="D270" s="697" t="s">
        <v>3238</v>
      </c>
      <c r="E270" s="698" t="s">
        <v>2149</v>
      </c>
      <c r="F270" s="696" t="s">
        <v>2133</v>
      </c>
      <c r="G270" s="696" t="s">
        <v>2838</v>
      </c>
      <c r="H270" s="696" t="s">
        <v>547</v>
      </c>
      <c r="I270" s="696" t="s">
        <v>1182</v>
      </c>
      <c r="J270" s="696" t="s">
        <v>1183</v>
      </c>
      <c r="K270" s="696" t="s">
        <v>2406</v>
      </c>
      <c r="L270" s="699">
        <v>0</v>
      </c>
      <c r="M270" s="699">
        <v>0</v>
      </c>
      <c r="N270" s="696">
        <v>2</v>
      </c>
      <c r="O270" s="700">
        <v>0.5</v>
      </c>
      <c r="P270" s="699"/>
      <c r="Q270" s="701"/>
      <c r="R270" s="696"/>
      <c r="S270" s="701">
        <v>0</v>
      </c>
      <c r="T270" s="700"/>
      <c r="U270" s="702">
        <v>0</v>
      </c>
    </row>
    <row r="271" spans="1:21" ht="14.4" customHeight="1" x14ac:dyDescent="0.3">
      <c r="A271" s="695">
        <v>7</v>
      </c>
      <c r="B271" s="696" t="s">
        <v>1978</v>
      </c>
      <c r="C271" s="696">
        <v>89301074</v>
      </c>
      <c r="D271" s="697" t="s">
        <v>3238</v>
      </c>
      <c r="E271" s="698" t="s">
        <v>2149</v>
      </c>
      <c r="F271" s="696" t="s">
        <v>2133</v>
      </c>
      <c r="G271" s="696" t="s">
        <v>2633</v>
      </c>
      <c r="H271" s="696" t="s">
        <v>547</v>
      </c>
      <c r="I271" s="696" t="s">
        <v>2634</v>
      </c>
      <c r="J271" s="696" t="s">
        <v>2635</v>
      </c>
      <c r="K271" s="696" t="s">
        <v>2636</v>
      </c>
      <c r="L271" s="699">
        <v>25.8</v>
      </c>
      <c r="M271" s="699">
        <v>1831.7999999999997</v>
      </c>
      <c r="N271" s="696">
        <v>71</v>
      </c>
      <c r="O271" s="700">
        <v>20.5</v>
      </c>
      <c r="P271" s="699">
        <v>825.59999999999991</v>
      </c>
      <c r="Q271" s="701">
        <v>0.45070422535211269</v>
      </c>
      <c r="R271" s="696">
        <v>32</v>
      </c>
      <c r="S271" s="701">
        <v>0.45070422535211269</v>
      </c>
      <c r="T271" s="700">
        <v>10</v>
      </c>
      <c r="U271" s="702">
        <v>0.48780487804878048</v>
      </c>
    </row>
    <row r="272" spans="1:21" ht="14.4" customHeight="1" x14ac:dyDescent="0.3">
      <c r="A272" s="695">
        <v>7</v>
      </c>
      <c r="B272" s="696" t="s">
        <v>1978</v>
      </c>
      <c r="C272" s="696">
        <v>89301074</v>
      </c>
      <c r="D272" s="697" t="s">
        <v>3238</v>
      </c>
      <c r="E272" s="698" t="s">
        <v>2149</v>
      </c>
      <c r="F272" s="696" t="s">
        <v>2133</v>
      </c>
      <c r="G272" s="696" t="s">
        <v>2633</v>
      </c>
      <c r="H272" s="696" t="s">
        <v>547</v>
      </c>
      <c r="I272" s="696" t="s">
        <v>2637</v>
      </c>
      <c r="J272" s="696" t="s">
        <v>2638</v>
      </c>
      <c r="K272" s="696" t="s">
        <v>2639</v>
      </c>
      <c r="L272" s="699">
        <v>77.42</v>
      </c>
      <c r="M272" s="699">
        <v>1316.1399999999999</v>
      </c>
      <c r="N272" s="696">
        <v>17</v>
      </c>
      <c r="O272" s="700">
        <v>4</v>
      </c>
      <c r="P272" s="699">
        <v>1316.1399999999999</v>
      </c>
      <c r="Q272" s="701">
        <v>1</v>
      </c>
      <c r="R272" s="696">
        <v>17</v>
      </c>
      <c r="S272" s="701">
        <v>1</v>
      </c>
      <c r="T272" s="700">
        <v>4</v>
      </c>
      <c r="U272" s="702">
        <v>1</v>
      </c>
    </row>
    <row r="273" spans="1:21" ht="14.4" customHeight="1" x14ac:dyDescent="0.3">
      <c r="A273" s="695">
        <v>7</v>
      </c>
      <c r="B273" s="696" t="s">
        <v>1978</v>
      </c>
      <c r="C273" s="696">
        <v>89301074</v>
      </c>
      <c r="D273" s="697" t="s">
        <v>3238</v>
      </c>
      <c r="E273" s="698" t="s">
        <v>2149</v>
      </c>
      <c r="F273" s="696" t="s">
        <v>2133</v>
      </c>
      <c r="G273" s="696" t="s">
        <v>2839</v>
      </c>
      <c r="H273" s="696" t="s">
        <v>547</v>
      </c>
      <c r="I273" s="696" t="s">
        <v>2840</v>
      </c>
      <c r="J273" s="696" t="s">
        <v>2841</v>
      </c>
      <c r="K273" s="696" t="s">
        <v>2842</v>
      </c>
      <c r="L273" s="699">
        <v>0</v>
      </c>
      <c r="M273" s="699">
        <v>0</v>
      </c>
      <c r="N273" s="696">
        <v>3</v>
      </c>
      <c r="O273" s="700">
        <v>0.5</v>
      </c>
      <c r="P273" s="699">
        <v>0</v>
      </c>
      <c r="Q273" s="701"/>
      <c r="R273" s="696">
        <v>3</v>
      </c>
      <c r="S273" s="701">
        <v>1</v>
      </c>
      <c r="T273" s="700">
        <v>0.5</v>
      </c>
      <c r="U273" s="702">
        <v>1</v>
      </c>
    </row>
    <row r="274" spans="1:21" ht="14.4" customHeight="1" x14ac:dyDescent="0.3">
      <c r="A274" s="695">
        <v>7</v>
      </c>
      <c r="B274" s="696" t="s">
        <v>1978</v>
      </c>
      <c r="C274" s="696">
        <v>89301074</v>
      </c>
      <c r="D274" s="697" t="s">
        <v>3238</v>
      </c>
      <c r="E274" s="698" t="s">
        <v>2149</v>
      </c>
      <c r="F274" s="696" t="s">
        <v>2133</v>
      </c>
      <c r="G274" s="696" t="s">
        <v>2839</v>
      </c>
      <c r="H274" s="696" t="s">
        <v>547</v>
      </c>
      <c r="I274" s="696" t="s">
        <v>2843</v>
      </c>
      <c r="J274" s="696" t="s">
        <v>2844</v>
      </c>
      <c r="K274" s="696" t="s">
        <v>2845</v>
      </c>
      <c r="L274" s="699">
        <v>834.99</v>
      </c>
      <c r="M274" s="699">
        <v>2504.9700000000003</v>
      </c>
      <c r="N274" s="696">
        <v>3</v>
      </c>
      <c r="O274" s="700">
        <v>0.5</v>
      </c>
      <c r="P274" s="699"/>
      <c r="Q274" s="701">
        <v>0</v>
      </c>
      <c r="R274" s="696"/>
      <c r="S274" s="701">
        <v>0</v>
      </c>
      <c r="T274" s="700"/>
      <c r="U274" s="702">
        <v>0</v>
      </c>
    </row>
    <row r="275" spans="1:21" ht="14.4" customHeight="1" x14ac:dyDescent="0.3">
      <c r="A275" s="695">
        <v>7</v>
      </c>
      <c r="B275" s="696" t="s">
        <v>1978</v>
      </c>
      <c r="C275" s="696">
        <v>89301074</v>
      </c>
      <c r="D275" s="697" t="s">
        <v>3238</v>
      </c>
      <c r="E275" s="698" t="s">
        <v>2149</v>
      </c>
      <c r="F275" s="696" t="s">
        <v>2133</v>
      </c>
      <c r="G275" s="696" t="s">
        <v>2839</v>
      </c>
      <c r="H275" s="696" t="s">
        <v>547</v>
      </c>
      <c r="I275" s="696" t="s">
        <v>2846</v>
      </c>
      <c r="J275" s="696" t="s">
        <v>2844</v>
      </c>
      <c r="K275" s="696" t="s">
        <v>2847</v>
      </c>
      <c r="L275" s="699">
        <v>0</v>
      </c>
      <c r="M275" s="699">
        <v>0</v>
      </c>
      <c r="N275" s="696">
        <v>1</v>
      </c>
      <c r="O275" s="700">
        <v>0.5</v>
      </c>
      <c r="P275" s="699">
        <v>0</v>
      </c>
      <c r="Q275" s="701"/>
      <c r="R275" s="696">
        <v>1</v>
      </c>
      <c r="S275" s="701">
        <v>1</v>
      </c>
      <c r="T275" s="700">
        <v>0.5</v>
      </c>
      <c r="U275" s="702">
        <v>1</v>
      </c>
    </row>
    <row r="276" spans="1:21" ht="14.4" customHeight="1" x14ac:dyDescent="0.3">
      <c r="A276" s="695">
        <v>7</v>
      </c>
      <c r="B276" s="696" t="s">
        <v>1978</v>
      </c>
      <c r="C276" s="696">
        <v>89301074</v>
      </c>
      <c r="D276" s="697" t="s">
        <v>3238</v>
      </c>
      <c r="E276" s="698" t="s">
        <v>2149</v>
      </c>
      <c r="F276" s="696" t="s">
        <v>2133</v>
      </c>
      <c r="G276" s="696" t="s">
        <v>2593</v>
      </c>
      <c r="H276" s="696" t="s">
        <v>1438</v>
      </c>
      <c r="I276" s="696" t="s">
        <v>2848</v>
      </c>
      <c r="J276" s="696" t="s">
        <v>2849</v>
      </c>
      <c r="K276" s="696" t="s">
        <v>2406</v>
      </c>
      <c r="L276" s="699">
        <v>232.44</v>
      </c>
      <c r="M276" s="699">
        <v>697.31999999999994</v>
      </c>
      <c r="N276" s="696">
        <v>3</v>
      </c>
      <c r="O276" s="700">
        <v>0.5</v>
      </c>
      <c r="P276" s="699">
        <v>697.31999999999994</v>
      </c>
      <c r="Q276" s="701">
        <v>1</v>
      </c>
      <c r="R276" s="696">
        <v>3</v>
      </c>
      <c r="S276" s="701">
        <v>1</v>
      </c>
      <c r="T276" s="700">
        <v>0.5</v>
      </c>
      <c r="U276" s="702">
        <v>1</v>
      </c>
    </row>
    <row r="277" spans="1:21" ht="14.4" customHeight="1" x14ac:dyDescent="0.3">
      <c r="A277" s="695">
        <v>7</v>
      </c>
      <c r="B277" s="696" t="s">
        <v>1978</v>
      </c>
      <c r="C277" s="696">
        <v>89301074</v>
      </c>
      <c r="D277" s="697" t="s">
        <v>3238</v>
      </c>
      <c r="E277" s="698" t="s">
        <v>2149</v>
      </c>
      <c r="F277" s="696" t="s">
        <v>2133</v>
      </c>
      <c r="G277" s="696" t="s">
        <v>2434</v>
      </c>
      <c r="H277" s="696" t="s">
        <v>547</v>
      </c>
      <c r="I277" s="696" t="s">
        <v>2647</v>
      </c>
      <c r="J277" s="696" t="s">
        <v>2648</v>
      </c>
      <c r="K277" s="696" t="s">
        <v>2649</v>
      </c>
      <c r="L277" s="699">
        <v>247.24</v>
      </c>
      <c r="M277" s="699">
        <v>1483.44</v>
      </c>
      <c r="N277" s="696">
        <v>6</v>
      </c>
      <c r="O277" s="700">
        <v>1</v>
      </c>
      <c r="P277" s="699"/>
      <c r="Q277" s="701">
        <v>0</v>
      </c>
      <c r="R277" s="696"/>
      <c r="S277" s="701">
        <v>0</v>
      </c>
      <c r="T277" s="700"/>
      <c r="U277" s="702">
        <v>0</v>
      </c>
    </row>
    <row r="278" spans="1:21" ht="14.4" customHeight="1" x14ac:dyDescent="0.3">
      <c r="A278" s="695">
        <v>7</v>
      </c>
      <c r="B278" s="696" t="s">
        <v>1978</v>
      </c>
      <c r="C278" s="696">
        <v>89301074</v>
      </c>
      <c r="D278" s="697" t="s">
        <v>3238</v>
      </c>
      <c r="E278" s="698" t="s">
        <v>2149</v>
      </c>
      <c r="F278" s="696" t="s">
        <v>2133</v>
      </c>
      <c r="G278" s="696" t="s">
        <v>2434</v>
      </c>
      <c r="H278" s="696" t="s">
        <v>547</v>
      </c>
      <c r="I278" s="696" t="s">
        <v>2850</v>
      </c>
      <c r="J278" s="696" t="s">
        <v>2851</v>
      </c>
      <c r="K278" s="696" t="s">
        <v>2852</v>
      </c>
      <c r="L278" s="699">
        <v>1416.79</v>
      </c>
      <c r="M278" s="699">
        <v>22668.639999999999</v>
      </c>
      <c r="N278" s="696">
        <v>16</v>
      </c>
      <c r="O278" s="700">
        <v>5</v>
      </c>
      <c r="P278" s="699">
        <v>18418.27</v>
      </c>
      <c r="Q278" s="701">
        <v>0.8125</v>
      </c>
      <c r="R278" s="696">
        <v>13</v>
      </c>
      <c r="S278" s="701">
        <v>0.8125</v>
      </c>
      <c r="T278" s="700">
        <v>4</v>
      </c>
      <c r="U278" s="702">
        <v>0.8</v>
      </c>
    </row>
    <row r="279" spans="1:21" ht="14.4" customHeight="1" x14ac:dyDescent="0.3">
      <c r="A279" s="695">
        <v>7</v>
      </c>
      <c r="B279" s="696" t="s">
        <v>1978</v>
      </c>
      <c r="C279" s="696">
        <v>89301074</v>
      </c>
      <c r="D279" s="697" t="s">
        <v>3238</v>
      </c>
      <c r="E279" s="698" t="s">
        <v>2149</v>
      </c>
      <c r="F279" s="696" t="s">
        <v>2133</v>
      </c>
      <c r="G279" s="696" t="s">
        <v>2434</v>
      </c>
      <c r="H279" s="696" t="s">
        <v>547</v>
      </c>
      <c r="I279" s="696" t="s">
        <v>2850</v>
      </c>
      <c r="J279" s="696" t="s">
        <v>2851</v>
      </c>
      <c r="K279" s="696" t="s">
        <v>2852</v>
      </c>
      <c r="L279" s="699">
        <v>1030.1500000000001</v>
      </c>
      <c r="M279" s="699">
        <v>23693.45</v>
      </c>
      <c r="N279" s="696">
        <v>23</v>
      </c>
      <c r="O279" s="700">
        <v>5</v>
      </c>
      <c r="P279" s="699">
        <v>20603</v>
      </c>
      <c r="Q279" s="701">
        <v>0.86956521739130432</v>
      </c>
      <c r="R279" s="696">
        <v>20</v>
      </c>
      <c r="S279" s="701">
        <v>0.86956521739130432</v>
      </c>
      <c r="T279" s="700">
        <v>4</v>
      </c>
      <c r="U279" s="702">
        <v>0.8</v>
      </c>
    </row>
    <row r="280" spans="1:21" ht="14.4" customHeight="1" x14ac:dyDescent="0.3">
      <c r="A280" s="695">
        <v>7</v>
      </c>
      <c r="B280" s="696" t="s">
        <v>1978</v>
      </c>
      <c r="C280" s="696">
        <v>89301074</v>
      </c>
      <c r="D280" s="697" t="s">
        <v>3238</v>
      </c>
      <c r="E280" s="698" t="s">
        <v>2149</v>
      </c>
      <c r="F280" s="696" t="s">
        <v>2133</v>
      </c>
      <c r="G280" s="696" t="s">
        <v>2434</v>
      </c>
      <c r="H280" s="696" t="s">
        <v>547</v>
      </c>
      <c r="I280" s="696" t="s">
        <v>2853</v>
      </c>
      <c r="J280" s="696" t="s">
        <v>2854</v>
      </c>
      <c r="K280" s="696" t="s">
        <v>2855</v>
      </c>
      <c r="L280" s="699">
        <v>1545.22</v>
      </c>
      <c r="M280" s="699">
        <v>9271.32</v>
      </c>
      <c r="N280" s="696">
        <v>6</v>
      </c>
      <c r="O280" s="700">
        <v>1</v>
      </c>
      <c r="P280" s="699">
        <v>9271.32</v>
      </c>
      <c r="Q280" s="701">
        <v>1</v>
      </c>
      <c r="R280" s="696">
        <v>6</v>
      </c>
      <c r="S280" s="701">
        <v>1</v>
      </c>
      <c r="T280" s="700">
        <v>1</v>
      </c>
      <c r="U280" s="702">
        <v>1</v>
      </c>
    </row>
    <row r="281" spans="1:21" ht="14.4" customHeight="1" x14ac:dyDescent="0.3">
      <c r="A281" s="695">
        <v>7</v>
      </c>
      <c r="B281" s="696" t="s">
        <v>1978</v>
      </c>
      <c r="C281" s="696">
        <v>89301074</v>
      </c>
      <c r="D281" s="697" t="s">
        <v>3238</v>
      </c>
      <c r="E281" s="698" t="s">
        <v>2149</v>
      </c>
      <c r="F281" s="696" t="s">
        <v>2133</v>
      </c>
      <c r="G281" s="696" t="s">
        <v>2434</v>
      </c>
      <c r="H281" s="696" t="s">
        <v>547</v>
      </c>
      <c r="I281" s="696" t="s">
        <v>2853</v>
      </c>
      <c r="J281" s="696" t="s">
        <v>2854</v>
      </c>
      <c r="K281" s="696" t="s">
        <v>2855</v>
      </c>
      <c r="L281" s="699">
        <v>1666.37</v>
      </c>
      <c r="M281" s="699">
        <v>16663.699999999997</v>
      </c>
      <c r="N281" s="696">
        <v>10</v>
      </c>
      <c r="O281" s="700">
        <v>2</v>
      </c>
      <c r="P281" s="699">
        <v>16663.699999999997</v>
      </c>
      <c r="Q281" s="701">
        <v>1</v>
      </c>
      <c r="R281" s="696">
        <v>10</v>
      </c>
      <c r="S281" s="701">
        <v>1</v>
      </c>
      <c r="T281" s="700">
        <v>2</v>
      </c>
      <c r="U281" s="702">
        <v>1</v>
      </c>
    </row>
    <row r="282" spans="1:21" ht="14.4" customHeight="1" x14ac:dyDescent="0.3">
      <c r="A282" s="695">
        <v>7</v>
      </c>
      <c r="B282" s="696" t="s">
        <v>1978</v>
      </c>
      <c r="C282" s="696">
        <v>89301074</v>
      </c>
      <c r="D282" s="697" t="s">
        <v>3238</v>
      </c>
      <c r="E282" s="698" t="s">
        <v>2149</v>
      </c>
      <c r="F282" s="696" t="s">
        <v>2133</v>
      </c>
      <c r="G282" s="696" t="s">
        <v>2434</v>
      </c>
      <c r="H282" s="696" t="s">
        <v>547</v>
      </c>
      <c r="I282" s="696" t="s">
        <v>2856</v>
      </c>
      <c r="J282" s="696" t="s">
        <v>2857</v>
      </c>
      <c r="K282" s="696" t="s">
        <v>2858</v>
      </c>
      <c r="L282" s="699">
        <v>1889.62</v>
      </c>
      <c r="M282" s="699">
        <v>15116.96</v>
      </c>
      <c r="N282" s="696">
        <v>8</v>
      </c>
      <c r="O282" s="700">
        <v>2</v>
      </c>
      <c r="P282" s="699">
        <v>15116.96</v>
      </c>
      <c r="Q282" s="701">
        <v>1</v>
      </c>
      <c r="R282" s="696">
        <v>8</v>
      </c>
      <c r="S282" s="701">
        <v>1</v>
      </c>
      <c r="T282" s="700">
        <v>2</v>
      </c>
      <c r="U282" s="702">
        <v>1</v>
      </c>
    </row>
    <row r="283" spans="1:21" ht="14.4" customHeight="1" x14ac:dyDescent="0.3">
      <c r="A283" s="695">
        <v>7</v>
      </c>
      <c r="B283" s="696" t="s">
        <v>1978</v>
      </c>
      <c r="C283" s="696">
        <v>89301074</v>
      </c>
      <c r="D283" s="697" t="s">
        <v>3238</v>
      </c>
      <c r="E283" s="698" t="s">
        <v>2149</v>
      </c>
      <c r="F283" s="696" t="s">
        <v>2133</v>
      </c>
      <c r="G283" s="696" t="s">
        <v>2434</v>
      </c>
      <c r="H283" s="696" t="s">
        <v>547</v>
      </c>
      <c r="I283" s="696" t="s">
        <v>2856</v>
      </c>
      <c r="J283" s="696" t="s">
        <v>2857</v>
      </c>
      <c r="K283" s="696" t="s">
        <v>2858</v>
      </c>
      <c r="L283" s="699">
        <v>2060.3000000000002</v>
      </c>
      <c r="M283" s="699">
        <v>8241.2000000000007</v>
      </c>
      <c r="N283" s="696">
        <v>4</v>
      </c>
      <c r="O283" s="700">
        <v>1</v>
      </c>
      <c r="P283" s="699">
        <v>8241.2000000000007</v>
      </c>
      <c r="Q283" s="701">
        <v>1</v>
      </c>
      <c r="R283" s="696">
        <v>4</v>
      </c>
      <c r="S283" s="701">
        <v>1</v>
      </c>
      <c r="T283" s="700">
        <v>1</v>
      </c>
      <c r="U283" s="702">
        <v>1</v>
      </c>
    </row>
    <row r="284" spans="1:21" ht="14.4" customHeight="1" x14ac:dyDescent="0.3">
      <c r="A284" s="695">
        <v>7</v>
      </c>
      <c r="B284" s="696" t="s">
        <v>1978</v>
      </c>
      <c r="C284" s="696">
        <v>89301074</v>
      </c>
      <c r="D284" s="697" t="s">
        <v>3238</v>
      </c>
      <c r="E284" s="698" t="s">
        <v>2149</v>
      </c>
      <c r="F284" s="696" t="s">
        <v>2133</v>
      </c>
      <c r="G284" s="696" t="s">
        <v>2434</v>
      </c>
      <c r="H284" s="696" t="s">
        <v>547</v>
      </c>
      <c r="I284" s="696" t="s">
        <v>2650</v>
      </c>
      <c r="J284" s="696" t="s">
        <v>2651</v>
      </c>
      <c r="K284" s="696" t="s">
        <v>2652</v>
      </c>
      <c r="L284" s="699">
        <v>5889.6</v>
      </c>
      <c r="M284" s="699">
        <v>5889.6</v>
      </c>
      <c r="N284" s="696">
        <v>1</v>
      </c>
      <c r="O284" s="700">
        <v>1</v>
      </c>
      <c r="P284" s="699">
        <v>5889.6</v>
      </c>
      <c r="Q284" s="701">
        <v>1</v>
      </c>
      <c r="R284" s="696">
        <v>1</v>
      </c>
      <c r="S284" s="701">
        <v>1</v>
      </c>
      <c r="T284" s="700">
        <v>1</v>
      </c>
      <c r="U284" s="702">
        <v>1</v>
      </c>
    </row>
    <row r="285" spans="1:21" ht="14.4" customHeight="1" x14ac:dyDescent="0.3">
      <c r="A285" s="695">
        <v>7</v>
      </c>
      <c r="B285" s="696" t="s">
        <v>1978</v>
      </c>
      <c r="C285" s="696">
        <v>89301074</v>
      </c>
      <c r="D285" s="697" t="s">
        <v>3238</v>
      </c>
      <c r="E285" s="698" t="s">
        <v>2149</v>
      </c>
      <c r="F285" s="696" t="s">
        <v>2133</v>
      </c>
      <c r="G285" s="696" t="s">
        <v>2434</v>
      </c>
      <c r="H285" s="696" t="s">
        <v>547</v>
      </c>
      <c r="I285" s="696" t="s">
        <v>2859</v>
      </c>
      <c r="J285" s="696" t="s">
        <v>2860</v>
      </c>
      <c r="K285" s="696" t="s">
        <v>2861</v>
      </c>
      <c r="L285" s="699">
        <v>0</v>
      </c>
      <c r="M285" s="699">
        <v>0</v>
      </c>
      <c r="N285" s="696">
        <v>1</v>
      </c>
      <c r="O285" s="700">
        <v>1</v>
      </c>
      <c r="P285" s="699">
        <v>0</v>
      </c>
      <c r="Q285" s="701"/>
      <c r="R285" s="696">
        <v>1</v>
      </c>
      <c r="S285" s="701">
        <v>1</v>
      </c>
      <c r="T285" s="700">
        <v>1</v>
      </c>
      <c r="U285" s="702">
        <v>1</v>
      </c>
    </row>
    <row r="286" spans="1:21" ht="14.4" customHeight="1" x14ac:dyDescent="0.3">
      <c r="A286" s="695">
        <v>7</v>
      </c>
      <c r="B286" s="696" t="s">
        <v>1978</v>
      </c>
      <c r="C286" s="696">
        <v>89301074</v>
      </c>
      <c r="D286" s="697" t="s">
        <v>3238</v>
      </c>
      <c r="E286" s="698" t="s">
        <v>2149</v>
      </c>
      <c r="F286" s="696" t="s">
        <v>2133</v>
      </c>
      <c r="G286" s="696" t="s">
        <v>2434</v>
      </c>
      <c r="H286" s="696" t="s">
        <v>547</v>
      </c>
      <c r="I286" s="696" t="s">
        <v>2862</v>
      </c>
      <c r="J286" s="696" t="s">
        <v>2863</v>
      </c>
      <c r="K286" s="696" t="s">
        <v>2864</v>
      </c>
      <c r="L286" s="699">
        <v>4351.75</v>
      </c>
      <c r="M286" s="699">
        <v>4351.75</v>
      </c>
      <c r="N286" s="696">
        <v>1</v>
      </c>
      <c r="O286" s="700">
        <v>1</v>
      </c>
      <c r="P286" s="699">
        <v>4351.75</v>
      </c>
      <c r="Q286" s="701">
        <v>1</v>
      </c>
      <c r="R286" s="696">
        <v>1</v>
      </c>
      <c r="S286" s="701">
        <v>1</v>
      </c>
      <c r="T286" s="700">
        <v>1</v>
      </c>
      <c r="U286" s="702">
        <v>1</v>
      </c>
    </row>
    <row r="287" spans="1:21" ht="14.4" customHeight="1" x14ac:dyDescent="0.3">
      <c r="A287" s="695">
        <v>7</v>
      </c>
      <c r="B287" s="696" t="s">
        <v>1978</v>
      </c>
      <c r="C287" s="696">
        <v>89301074</v>
      </c>
      <c r="D287" s="697" t="s">
        <v>3238</v>
      </c>
      <c r="E287" s="698" t="s">
        <v>2149</v>
      </c>
      <c r="F287" s="696" t="s">
        <v>2133</v>
      </c>
      <c r="G287" s="696" t="s">
        <v>2434</v>
      </c>
      <c r="H287" s="696" t="s">
        <v>547</v>
      </c>
      <c r="I287" s="696" t="s">
        <v>2865</v>
      </c>
      <c r="J287" s="696" t="s">
        <v>2866</v>
      </c>
      <c r="K287" s="696" t="s">
        <v>2867</v>
      </c>
      <c r="L287" s="699">
        <v>4352.3999999999996</v>
      </c>
      <c r="M287" s="699">
        <v>4352.3999999999996</v>
      </c>
      <c r="N287" s="696">
        <v>1</v>
      </c>
      <c r="O287" s="700">
        <v>1</v>
      </c>
      <c r="P287" s="699">
        <v>4352.3999999999996</v>
      </c>
      <c r="Q287" s="701">
        <v>1</v>
      </c>
      <c r="R287" s="696">
        <v>1</v>
      </c>
      <c r="S287" s="701">
        <v>1</v>
      </c>
      <c r="T287" s="700">
        <v>1</v>
      </c>
      <c r="U287" s="702">
        <v>1</v>
      </c>
    </row>
    <row r="288" spans="1:21" ht="14.4" customHeight="1" x14ac:dyDescent="0.3">
      <c r="A288" s="695">
        <v>7</v>
      </c>
      <c r="B288" s="696" t="s">
        <v>1978</v>
      </c>
      <c r="C288" s="696">
        <v>89301074</v>
      </c>
      <c r="D288" s="697" t="s">
        <v>3238</v>
      </c>
      <c r="E288" s="698" t="s">
        <v>2149</v>
      </c>
      <c r="F288" s="696" t="s">
        <v>2133</v>
      </c>
      <c r="G288" s="696" t="s">
        <v>2434</v>
      </c>
      <c r="H288" s="696" t="s">
        <v>547</v>
      </c>
      <c r="I288" s="696" t="s">
        <v>2659</v>
      </c>
      <c r="J288" s="696" t="s">
        <v>2660</v>
      </c>
      <c r="K288" s="696" t="s">
        <v>2661</v>
      </c>
      <c r="L288" s="699">
        <v>2787.72</v>
      </c>
      <c r="M288" s="699">
        <v>16726.32</v>
      </c>
      <c r="N288" s="696">
        <v>6</v>
      </c>
      <c r="O288" s="700">
        <v>1</v>
      </c>
      <c r="P288" s="699">
        <v>16726.32</v>
      </c>
      <c r="Q288" s="701">
        <v>1</v>
      </c>
      <c r="R288" s="696">
        <v>6</v>
      </c>
      <c r="S288" s="701">
        <v>1</v>
      </c>
      <c r="T288" s="700">
        <v>1</v>
      </c>
      <c r="U288" s="702">
        <v>1</v>
      </c>
    </row>
    <row r="289" spans="1:21" ht="14.4" customHeight="1" x14ac:dyDescent="0.3">
      <c r="A289" s="695">
        <v>7</v>
      </c>
      <c r="B289" s="696" t="s">
        <v>1978</v>
      </c>
      <c r="C289" s="696">
        <v>89301074</v>
      </c>
      <c r="D289" s="697" t="s">
        <v>3238</v>
      </c>
      <c r="E289" s="698" t="s">
        <v>2149</v>
      </c>
      <c r="F289" s="696" t="s">
        <v>2133</v>
      </c>
      <c r="G289" s="696" t="s">
        <v>2434</v>
      </c>
      <c r="H289" s="696" t="s">
        <v>547</v>
      </c>
      <c r="I289" s="696" t="s">
        <v>2659</v>
      </c>
      <c r="J289" s="696" t="s">
        <v>2660</v>
      </c>
      <c r="K289" s="696" t="s">
        <v>2661</v>
      </c>
      <c r="L289" s="699">
        <v>2060.3000000000002</v>
      </c>
      <c r="M289" s="699">
        <v>80351.700000000012</v>
      </c>
      <c r="N289" s="696">
        <v>39</v>
      </c>
      <c r="O289" s="700">
        <v>6</v>
      </c>
      <c r="P289" s="699">
        <v>32964.800000000003</v>
      </c>
      <c r="Q289" s="701">
        <v>0.41025641025641024</v>
      </c>
      <c r="R289" s="696">
        <v>16</v>
      </c>
      <c r="S289" s="701">
        <v>0.41025641025641024</v>
      </c>
      <c r="T289" s="700">
        <v>2</v>
      </c>
      <c r="U289" s="702">
        <v>0.33333333333333331</v>
      </c>
    </row>
    <row r="290" spans="1:21" ht="14.4" customHeight="1" x14ac:dyDescent="0.3">
      <c r="A290" s="695">
        <v>7</v>
      </c>
      <c r="B290" s="696" t="s">
        <v>1978</v>
      </c>
      <c r="C290" s="696">
        <v>89301074</v>
      </c>
      <c r="D290" s="697" t="s">
        <v>3238</v>
      </c>
      <c r="E290" s="698" t="s">
        <v>2149</v>
      </c>
      <c r="F290" s="696" t="s">
        <v>2133</v>
      </c>
      <c r="G290" s="696" t="s">
        <v>2434</v>
      </c>
      <c r="H290" s="696" t="s">
        <v>547</v>
      </c>
      <c r="I290" s="696" t="s">
        <v>2662</v>
      </c>
      <c r="J290" s="696" t="s">
        <v>2663</v>
      </c>
      <c r="K290" s="696" t="s">
        <v>2664</v>
      </c>
      <c r="L290" s="699">
        <v>1545.22</v>
      </c>
      <c r="M290" s="699">
        <v>32449.620000000003</v>
      </c>
      <c r="N290" s="696">
        <v>21</v>
      </c>
      <c r="O290" s="700">
        <v>3</v>
      </c>
      <c r="P290" s="699">
        <v>7726.1</v>
      </c>
      <c r="Q290" s="701">
        <v>0.23809523809523808</v>
      </c>
      <c r="R290" s="696">
        <v>5</v>
      </c>
      <c r="S290" s="701">
        <v>0.23809523809523808</v>
      </c>
      <c r="T290" s="700">
        <v>1</v>
      </c>
      <c r="U290" s="702">
        <v>0.33333333333333331</v>
      </c>
    </row>
    <row r="291" spans="1:21" ht="14.4" customHeight="1" x14ac:dyDescent="0.3">
      <c r="A291" s="695">
        <v>7</v>
      </c>
      <c r="B291" s="696" t="s">
        <v>1978</v>
      </c>
      <c r="C291" s="696">
        <v>89301074</v>
      </c>
      <c r="D291" s="697" t="s">
        <v>3238</v>
      </c>
      <c r="E291" s="698" t="s">
        <v>2149</v>
      </c>
      <c r="F291" s="696" t="s">
        <v>2133</v>
      </c>
      <c r="G291" s="696" t="s">
        <v>2434</v>
      </c>
      <c r="H291" s="696" t="s">
        <v>547</v>
      </c>
      <c r="I291" s="696" t="s">
        <v>2662</v>
      </c>
      <c r="J291" s="696" t="s">
        <v>2663</v>
      </c>
      <c r="K291" s="696" t="s">
        <v>2664</v>
      </c>
      <c r="L291" s="699">
        <v>2332.38</v>
      </c>
      <c r="M291" s="699">
        <v>9329.52</v>
      </c>
      <c r="N291" s="696">
        <v>4</v>
      </c>
      <c r="O291" s="700">
        <v>1</v>
      </c>
      <c r="P291" s="699">
        <v>9329.52</v>
      </c>
      <c r="Q291" s="701">
        <v>1</v>
      </c>
      <c r="R291" s="696">
        <v>4</v>
      </c>
      <c r="S291" s="701">
        <v>1</v>
      </c>
      <c r="T291" s="700">
        <v>1</v>
      </c>
      <c r="U291" s="702">
        <v>1</v>
      </c>
    </row>
    <row r="292" spans="1:21" ht="14.4" customHeight="1" x14ac:dyDescent="0.3">
      <c r="A292" s="695">
        <v>7</v>
      </c>
      <c r="B292" s="696" t="s">
        <v>1978</v>
      </c>
      <c r="C292" s="696">
        <v>89301074</v>
      </c>
      <c r="D292" s="697" t="s">
        <v>3238</v>
      </c>
      <c r="E292" s="698" t="s">
        <v>2149</v>
      </c>
      <c r="F292" s="696" t="s">
        <v>2133</v>
      </c>
      <c r="G292" s="696" t="s">
        <v>2434</v>
      </c>
      <c r="H292" s="696" t="s">
        <v>547</v>
      </c>
      <c r="I292" s="696" t="s">
        <v>2868</v>
      </c>
      <c r="J292" s="696" t="s">
        <v>2869</v>
      </c>
      <c r="K292" s="696" t="s">
        <v>2870</v>
      </c>
      <c r="L292" s="699">
        <v>880.88</v>
      </c>
      <c r="M292" s="699">
        <v>880.88</v>
      </c>
      <c r="N292" s="696">
        <v>1</v>
      </c>
      <c r="O292" s="700">
        <v>1</v>
      </c>
      <c r="P292" s="699">
        <v>880.88</v>
      </c>
      <c r="Q292" s="701">
        <v>1</v>
      </c>
      <c r="R292" s="696">
        <v>1</v>
      </c>
      <c r="S292" s="701">
        <v>1</v>
      </c>
      <c r="T292" s="700">
        <v>1</v>
      </c>
      <c r="U292" s="702">
        <v>1</v>
      </c>
    </row>
    <row r="293" spans="1:21" ht="14.4" customHeight="1" x14ac:dyDescent="0.3">
      <c r="A293" s="695">
        <v>7</v>
      </c>
      <c r="B293" s="696" t="s">
        <v>1978</v>
      </c>
      <c r="C293" s="696">
        <v>89301074</v>
      </c>
      <c r="D293" s="697" t="s">
        <v>3238</v>
      </c>
      <c r="E293" s="698" t="s">
        <v>2149</v>
      </c>
      <c r="F293" s="696" t="s">
        <v>2133</v>
      </c>
      <c r="G293" s="696" t="s">
        <v>2434</v>
      </c>
      <c r="H293" s="696" t="s">
        <v>547</v>
      </c>
      <c r="I293" s="696" t="s">
        <v>2868</v>
      </c>
      <c r="J293" s="696" t="s">
        <v>2869</v>
      </c>
      <c r="K293" s="696" t="s">
        <v>2870</v>
      </c>
      <c r="L293" s="699">
        <v>515.07000000000005</v>
      </c>
      <c r="M293" s="699">
        <v>12876.75</v>
      </c>
      <c r="N293" s="696">
        <v>25</v>
      </c>
      <c r="O293" s="700">
        <v>6</v>
      </c>
      <c r="P293" s="699">
        <v>5665.77</v>
      </c>
      <c r="Q293" s="701">
        <v>0.44000000000000006</v>
      </c>
      <c r="R293" s="696">
        <v>11</v>
      </c>
      <c r="S293" s="701">
        <v>0.44</v>
      </c>
      <c r="T293" s="700">
        <v>3</v>
      </c>
      <c r="U293" s="702">
        <v>0.5</v>
      </c>
    </row>
    <row r="294" spans="1:21" ht="14.4" customHeight="1" x14ac:dyDescent="0.3">
      <c r="A294" s="695">
        <v>7</v>
      </c>
      <c r="B294" s="696" t="s">
        <v>1978</v>
      </c>
      <c r="C294" s="696">
        <v>89301074</v>
      </c>
      <c r="D294" s="697" t="s">
        <v>3238</v>
      </c>
      <c r="E294" s="698" t="s">
        <v>2149</v>
      </c>
      <c r="F294" s="696" t="s">
        <v>2133</v>
      </c>
      <c r="G294" s="696" t="s">
        <v>2434</v>
      </c>
      <c r="H294" s="696" t="s">
        <v>547</v>
      </c>
      <c r="I294" s="696" t="s">
        <v>2665</v>
      </c>
      <c r="J294" s="696" t="s">
        <v>2666</v>
      </c>
      <c r="K294" s="696" t="s">
        <v>2667</v>
      </c>
      <c r="L294" s="699">
        <v>1629.03</v>
      </c>
      <c r="M294" s="699">
        <v>9774.18</v>
      </c>
      <c r="N294" s="696">
        <v>6</v>
      </c>
      <c r="O294" s="700">
        <v>1</v>
      </c>
      <c r="P294" s="699"/>
      <c r="Q294" s="701">
        <v>0</v>
      </c>
      <c r="R294" s="696"/>
      <c r="S294" s="701">
        <v>0</v>
      </c>
      <c r="T294" s="700"/>
      <c r="U294" s="702">
        <v>0</v>
      </c>
    </row>
    <row r="295" spans="1:21" ht="14.4" customHeight="1" x14ac:dyDescent="0.3">
      <c r="A295" s="695">
        <v>7</v>
      </c>
      <c r="B295" s="696" t="s">
        <v>1978</v>
      </c>
      <c r="C295" s="696">
        <v>89301074</v>
      </c>
      <c r="D295" s="697" t="s">
        <v>3238</v>
      </c>
      <c r="E295" s="698" t="s">
        <v>2149</v>
      </c>
      <c r="F295" s="696" t="s">
        <v>2133</v>
      </c>
      <c r="G295" s="696" t="s">
        <v>2434</v>
      </c>
      <c r="H295" s="696" t="s">
        <v>547</v>
      </c>
      <c r="I295" s="696" t="s">
        <v>2665</v>
      </c>
      <c r="J295" s="696" t="s">
        <v>2666</v>
      </c>
      <c r="K295" s="696" t="s">
        <v>2667</v>
      </c>
      <c r="L295" s="699">
        <v>1030.1500000000001</v>
      </c>
      <c r="M295" s="699">
        <v>32964.800000000003</v>
      </c>
      <c r="N295" s="696">
        <v>32</v>
      </c>
      <c r="O295" s="700">
        <v>6</v>
      </c>
      <c r="P295" s="699">
        <v>16482.400000000001</v>
      </c>
      <c r="Q295" s="701">
        <v>0.5</v>
      </c>
      <c r="R295" s="696">
        <v>16</v>
      </c>
      <c r="S295" s="701">
        <v>0.5</v>
      </c>
      <c r="T295" s="700">
        <v>3</v>
      </c>
      <c r="U295" s="702">
        <v>0.5</v>
      </c>
    </row>
    <row r="296" spans="1:21" ht="14.4" customHeight="1" x14ac:dyDescent="0.3">
      <c r="A296" s="695">
        <v>7</v>
      </c>
      <c r="B296" s="696" t="s">
        <v>1978</v>
      </c>
      <c r="C296" s="696">
        <v>89301074</v>
      </c>
      <c r="D296" s="697" t="s">
        <v>3238</v>
      </c>
      <c r="E296" s="698" t="s">
        <v>2149</v>
      </c>
      <c r="F296" s="696" t="s">
        <v>2133</v>
      </c>
      <c r="G296" s="696" t="s">
        <v>2434</v>
      </c>
      <c r="H296" s="696" t="s">
        <v>547</v>
      </c>
      <c r="I296" s="696" t="s">
        <v>2871</v>
      </c>
      <c r="J296" s="696" t="s">
        <v>2872</v>
      </c>
      <c r="K296" s="696" t="s">
        <v>2873</v>
      </c>
      <c r="L296" s="699">
        <v>1063.3900000000001</v>
      </c>
      <c r="M296" s="699">
        <v>7443.7300000000005</v>
      </c>
      <c r="N296" s="696">
        <v>7</v>
      </c>
      <c r="O296" s="700">
        <v>4</v>
      </c>
      <c r="P296" s="699">
        <v>6380.34</v>
      </c>
      <c r="Q296" s="701">
        <v>0.8571428571428571</v>
      </c>
      <c r="R296" s="696">
        <v>6</v>
      </c>
      <c r="S296" s="701">
        <v>0.8571428571428571</v>
      </c>
      <c r="T296" s="700">
        <v>3</v>
      </c>
      <c r="U296" s="702">
        <v>0.75</v>
      </c>
    </row>
    <row r="297" spans="1:21" ht="14.4" customHeight="1" x14ac:dyDescent="0.3">
      <c r="A297" s="695">
        <v>7</v>
      </c>
      <c r="B297" s="696" t="s">
        <v>1978</v>
      </c>
      <c r="C297" s="696">
        <v>89301074</v>
      </c>
      <c r="D297" s="697" t="s">
        <v>3238</v>
      </c>
      <c r="E297" s="698" t="s">
        <v>2149</v>
      </c>
      <c r="F297" s="696" t="s">
        <v>2133</v>
      </c>
      <c r="G297" s="696" t="s">
        <v>2434</v>
      </c>
      <c r="H297" s="696" t="s">
        <v>547</v>
      </c>
      <c r="I297" s="696" t="s">
        <v>2871</v>
      </c>
      <c r="J297" s="696" t="s">
        <v>2872</v>
      </c>
      <c r="K297" s="696" t="s">
        <v>2873</v>
      </c>
      <c r="L297" s="699">
        <v>515.07000000000005</v>
      </c>
      <c r="M297" s="699">
        <v>2060.2800000000002</v>
      </c>
      <c r="N297" s="696">
        <v>4</v>
      </c>
      <c r="O297" s="700">
        <v>1</v>
      </c>
      <c r="P297" s="699">
        <v>2060.2800000000002</v>
      </c>
      <c r="Q297" s="701">
        <v>1</v>
      </c>
      <c r="R297" s="696">
        <v>4</v>
      </c>
      <c r="S297" s="701">
        <v>1</v>
      </c>
      <c r="T297" s="700">
        <v>1</v>
      </c>
      <c r="U297" s="702">
        <v>1</v>
      </c>
    </row>
    <row r="298" spans="1:21" ht="14.4" customHeight="1" x14ac:dyDescent="0.3">
      <c r="A298" s="695">
        <v>7</v>
      </c>
      <c r="B298" s="696" t="s">
        <v>1978</v>
      </c>
      <c r="C298" s="696">
        <v>89301074</v>
      </c>
      <c r="D298" s="697" t="s">
        <v>3238</v>
      </c>
      <c r="E298" s="698" t="s">
        <v>2149</v>
      </c>
      <c r="F298" s="696" t="s">
        <v>2133</v>
      </c>
      <c r="G298" s="696" t="s">
        <v>2434</v>
      </c>
      <c r="H298" s="696" t="s">
        <v>547</v>
      </c>
      <c r="I298" s="696" t="s">
        <v>2874</v>
      </c>
      <c r="J298" s="696" t="s">
        <v>2875</v>
      </c>
      <c r="K298" s="696" t="s">
        <v>2876</v>
      </c>
      <c r="L298" s="699">
        <v>1545.22</v>
      </c>
      <c r="M298" s="699">
        <v>3090.44</v>
      </c>
      <c r="N298" s="696">
        <v>2</v>
      </c>
      <c r="O298" s="700">
        <v>1</v>
      </c>
      <c r="P298" s="699">
        <v>3090.44</v>
      </c>
      <c r="Q298" s="701">
        <v>1</v>
      </c>
      <c r="R298" s="696">
        <v>2</v>
      </c>
      <c r="S298" s="701">
        <v>1</v>
      </c>
      <c r="T298" s="700">
        <v>1</v>
      </c>
      <c r="U298" s="702">
        <v>1</v>
      </c>
    </row>
    <row r="299" spans="1:21" ht="14.4" customHeight="1" x14ac:dyDescent="0.3">
      <c r="A299" s="695">
        <v>7</v>
      </c>
      <c r="B299" s="696" t="s">
        <v>1978</v>
      </c>
      <c r="C299" s="696">
        <v>89301074</v>
      </c>
      <c r="D299" s="697" t="s">
        <v>3238</v>
      </c>
      <c r="E299" s="698" t="s">
        <v>2149</v>
      </c>
      <c r="F299" s="696" t="s">
        <v>2133</v>
      </c>
      <c r="G299" s="696" t="s">
        <v>2434</v>
      </c>
      <c r="H299" s="696" t="s">
        <v>547</v>
      </c>
      <c r="I299" s="696" t="s">
        <v>2877</v>
      </c>
      <c r="J299" s="696" t="s">
        <v>2851</v>
      </c>
      <c r="K299" s="696" t="s">
        <v>2878</v>
      </c>
      <c r="L299" s="699">
        <v>0</v>
      </c>
      <c r="M299" s="699">
        <v>0</v>
      </c>
      <c r="N299" s="696">
        <v>2</v>
      </c>
      <c r="O299" s="700">
        <v>1</v>
      </c>
      <c r="P299" s="699"/>
      <c r="Q299" s="701"/>
      <c r="R299" s="696"/>
      <c r="S299" s="701">
        <v>0</v>
      </c>
      <c r="T299" s="700"/>
      <c r="U299" s="702">
        <v>0</v>
      </c>
    </row>
    <row r="300" spans="1:21" ht="14.4" customHeight="1" x14ac:dyDescent="0.3">
      <c r="A300" s="695">
        <v>7</v>
      </c>
      <c r="B300" s="696" t="s">
        <v>1978</v>
      </c>
      <c r="C300" s="696">
        <v>89301074</v>
      </c>
      <c r="D300" s="697" t="s">
        <v>3238</v>
      </c>
      <c r="E300" s="698" t="s">
        <v>2149</v>
      </c>
      <c r="F300" s="696" t="s">
        <v>2133</v>
      </c>
      <c r="G300" s="696" t="s">
        <v>2680</v>
      </c>
      <c r="H300" s="696" t="s">
        <v>1438</v>
      </c>
      <c r="I300" s="696" t="s">
        <v>2879</v>
      </c>
      <c r="J300" s="696" t="s">
        <v>2880</v>
      </c>
      <c r="K300" s="696" t="s">
        <v>2881</v>
      </c>
      <c r="L300" s="699">
        <v>561.54</v>
      </c>
      <c r="M300" s="699">
        <v>1123.08</v>
      </c>
      <c r="N300" s="696">
        <v>2</v>
      </c>
      <c r="O300" s="700">
        <v>0.5</v>
      </c>
      <c r="P300" s="699">
        <v>1123.08</v>
      </c>
      <c r="Q300" s="701">
        <v>1</v>
      </c>
      <c r="R300" s="696">
        <v>2</v>
      </c>
      <c r="S300" s="701">
        <v>1</v>
      </c>
      <c r="T300" s="700">
        <v>0.5</v>
      </c>
      <c r="U300" s="702">
        <v>1</v>
      </c>
    </row>
    <row r="301" spans="1:21" ht="14.4" customHeight="1" x14ac:dyDescent="0.3">
      <c r="A301" s="695">
        <v>7</v>
      </c>
      <c r="B301" s="696" t="s">
        <v>1978</v>
      </c>
      <c r="C301" s="696">
        <v>89301074</v>
      </c>
      <c r="D301" s="697" t="s">
        <v>3238</v>
      </c>
      <c r="E301" s="698" t="s">
        <v>2149</v>
      </c>
      <c r="F301" s="696" t="s">
        <v>2133</v>
      </c>
      <c r="G301" s="696" t="s">
        <v>2680</v>
      </c>
      <c r="H301" s="696" t="s">
        <v>1438</v>
      </c>
      <c r="I301" s="696" t="s">
        <v>2684</v>
      </c>
      <c r="J301" s="696" t="s">
        <v>2685</v>
      </c>
      <c r="K301" s="696" t="s">
        <v>2686</v>
      </c>
      <c r="L301" s="699">
        <v>443.52</v>
      </c>
      <c r="M301" s="699">
        <v>887.04</v>
      </c>
      <c r="N301" s="696">
        <v>2</v>
      </c>
      <c r="O301" s="700">
        <v>1</v>
      </c>
      <c r="P301" s="699">
        <v>887.04</v>
      </c>
      <c r="Q301" s="701">
        <v>1</v>
      </c>
      <c r="R301" s="696">
        <v>2</v>
      </c>
      <c r="S301" s="701">
        <v>1</v>
      </c>
      <c r="T301" s="700">
        <v>1</v>
      </c>
      <c r="U301" s="702">
        <v>1</v>
      </c>
    </row>
    <row r="302" spans="1:21" ht="14.4" customHeight="1" x14ac:dyDescent="0.3">
      <c r="A302" s="695">
        <v>7</v>
      </c>
      <c r="B302" s="696" t="s">
        <v>1978</v>
      </c>
      <c r="C302" s="696">
        <v>89301074</v>
      </c>
      <c r="D302" s="697" t="s">
        <v>3238</v>
      </c>
      <c r="E302" s="698" t="s">
        <v>2149</v>
      </c>
      <c r="F302" s="696" t="s">
        <v>2133</v>
      </c>
      <c r="G302" s="696" t="s">
        <v>2680</v>
      </c>
      <c r="H302" s="696" t="s">
        <v>1438</v>
      </c>
      <c r="I302" s="696" t="s">
        <v>2687</v>
      </c>
      <c r="J302" s="696" t="s">
        <v>2685</v>
      </c>
      <c r="K302" s="696" t="s">
        <v>2688</v>
      </c>
      <c r="L302" s="699">
        <v>887.05</v>
      </c>
      <c r="M302" s="699">
        <v>18628.05</v>
      </c>
      <c r="N302" s="696">
        <v>21</v>
      </c>
      <c r="O302" s="700">
        <v>10.5</v>
      </c>
      <c r="P302" s="699">
        <v>11531.65</v>
      </c>
      <c r="Q302" s="701">
        <v>0.61904761904761907</v>
      </c>
      <c r="R302" s="696">
        <v>13</v>
      </c>
      <c r="S302" s="701">
        <v>0.61904761904761907</v>
      </c>
      <c r="T302" s="700">
        <v>6.5</v>
      </c>
      <c r="U302" s="702">
        <v>0.61904761904761907</v>
      </c>
    </row>
    <row r="303" spans="1:21" ht="14.4" customHeight="1" x14ac:dyDescent="0.3">
      <c r="A303" s="695">
        <v>7</v>
      </c>
      <c r="B303" s="696" t="s">
        <v>1978</v>
      </c>
      <c r="C303" s="696">
        <v>89301074</v>
      </c>
      <c r="D303" s="697" t="s">
        <v>3238</v>
      </c>
      <c r="E303" s="698" t="s">
        <v>2149</v>
      </c>
      <c r="F303" s="696" t="s">
        <v>2133</v>
      </c>
      <c r="G303" s="696" t="s">
        <v>2680</v>
      </c>
      <c r="H303" s="696" t="s">
        <v>1438</v>
      </c>
      <c r="I303" s="696" t="s">
        <v>2689</v>
      </c>
      <c r="J303" s="696" t="s">
        <v>2690</v>
      </c>
      <c r="K303" s="696" t="s">
        <v>2691</v>
      </c>
      <c r="L303" s="699">
        <v>499.8</v>
      </c>
      <c r="M303" s="699">
        <v>999.6</v>
      </c>
      <c r="N303" s="696">
        <v>2</v>
      </c>
      <c r="O303" s="700">
        <v>1</v>
      </c>
      <c r="P303" s="699"/>
      <c r="Q303" s="701">
        <v>0</v>
      </c>
      <c r="R303" s="696"/>
      <c r="S303" s="701">
        <v>0</v>
      </c>
      <c r="T303" s="700"/>
      <c r="U303" s="702">
        <v>0</v>
      </c>
    </row>
    <row r="304" spans="1:21" ht="14.4" customHeight="1" x14ac:dyDescent="0.3">
      <c r="A304" s="695">
        <v>7</v>
      </c>
      <c r="B304" s="696" t="s">
        <v>1978</v>
      </c>
      <c r="C304" s="696">
        <v>89301074</v>
      </c>
      <c r="D304" s="697" t="s">
        <v>3238</v>
      </c>
      <c r="E304" s="698" t="s">
        <v>2149</v>
      </c>
      <c r="F304" s="696" t="s">
        <v>2133</v>
      </c>
      <c r="G304" s="696" t="s">
        <v>2882</v>
      </c>
      <c r="H304" s="696" t="s">
        <v>547</v>
      </c>
      <c r="I304" s="696" t="s">
        <v>2883</v>
      </c>
      <c r="J304" s="696" t="s">
        <v>2884</v>
      </c>
      <c r="K304" s="696" t="s">
        <v>740</v>
      </c>
      <c r="L304" s="699">
        <v>33.36</v>
      </c>
      <c r="M304" s="699">
        <v>133.44</v>
      </c>
      <c r="N304" s="696">
        <v>4</v>
      </c>
      <c r="O304" s="700">
        <v>1</v>
      </c>
      <c r="P304" s="699">
        <v>66.72</v>
      </c>
      <c r="Q304" s="701">
        <v>0.5</v>
      </c>
      <c r="R304" s="696">
        <v>2</v>
      </c>
      <c r="S304" s="701">
        <v>0.5</v>
      </c>
      <c r="T304" s="700">
        <v>0.5</v>
      </c>
      <c r="U304" s="702">
        <v>0.5</v>
      </c>
    </row>
    <row r="305" spans="1:21" ht="14.4" customHeight="1" x14ac:dyDescent="0.3">
      <c r="A305" s="695">
        <v>7</v>
      </c>
      <c r="B305" s="696" t="s">
        <v>1978</v>
      </c>
      <c r="C305" s="696">
        <v>89301074</v>
      </c>
      <c r="D305" s="697" t="s">
        <v>3238</v>
      </c>
      <c r="E305" s="698" t="s">
        <v>2149</v>
      </c>
      <c r="F305" s="696" t="s">
        <v>2133</v>
      </c>
      <c r="G305" s="696" t="s">
        <v>2317</v>
      </c>
      <c r="H305" s="696" t="s">
        <v>547</v>
      </c>
      <c r="I305" s="696" t="s">
        <v>2885</v>
      </c>
      <c r="J305" s="696" t="s">
        <v>2886</v>
      </c>
      <c r="K305" s="696" t="s">
        <v>2320</v>
      </c>
      <c r="L305" s="699">
        <v>86.16</v>
      </c>
      <c r="M305" s="699">
        <v>172.32</v>
      </c>
      <c r="N305" s="696">
        <v>2</v>
      </c>
      <c r="O305" s="700">
        <v>0.5</v>
      </c>
      <c r="P305" s="699">
        <v>172.32</v>
      </c>
      <c r="Q305" s="701">
        <v>1</v>
      </c>
      <c r="R305" s="696">
        <v>2</v>
      </c>
      <c r="S305" s="701">
        <v>1</v>
      </c>
      <c r="T305" s="700">
        <v>0.5</v>
      </c>
      <c r="U305" s="702">
        <v>1</v>
      </c>
    </row>
    <row r="306" spans="1:21" ht="14.4" customHeight="1" x14ac:dyDescent="0.3">
      <c r="A306" s="695">
        <v>7</v>
      </c>
      <c r="B306" s="696" t="s">
        <v>1978</v>
      </c>
      <c r="C306" s="696">
        <v>89301074</v>
      </c>
      <c r="D306" s="697" t="s">
        <v>3238</v>
      </c>
      <c r="E306" s="698" t="s">
        <v>2149</v>
      </c>
      <c r="F306" s="696" t="s">
        <v>2133</v>
      </c>
      <c r="G306" s="696" t="s">
        <v>2692</v>
      </c>
      <c r="H306" s="696" t="s">
        <v>547</v>
      </c>
      <c r="I306" s="696" t="s">
        <v>2887</v>
      </c>
      <c r="J306" s="696" t="s">
        <v>2888</v>
      </c>
      <c r="K306" s="696" t="s">
        <v>2889</v>
      </c>
      <c r="L306" s="699">
        <v>305.12</v>
      </c>
      <c r="M306" s="699">
        <v>1525.6</v>
      </c>
      <c r="N306" s="696">
        <v>5</v>
      </c>
      <c r="O306" s="700">
        <v>2</v>
      </c>
      <c r="P306" s="699">
        <v>305.12</v>
      </c>
      <c r="Q306" s="701">
        <v>0.2</v>
      </c>
      <c r="R306" s="696">
        <v>1</v>
      </c>
      <c r="S306" s="701">
        <v>0.2</v>
      </c>
      <c r="T306" s="700">
        <v>1</v>
      </c>
      <c r="U306" s="702">
        <v>0.5</v>
      </c>
    </row>
    <row r="307" spans="1:21" ht="14.4" customHeight="1" x14ac:dyDescent="0.3">
      <c r="A307" s="695">
        <v>7</v>
      </c>
      <c r="B307" s="696" t="s">
        <v>1978</v>
      </c>
      <c r="C307" s="696">
        <v>89301074</v>
      </c>
      <c r="D307" s="697" t="s">
        <v>3238</v>
      </c>
      <c r="E307" s="698" t="s">
        <v>2149</v>
      </c>
      <c r="F307" s="696" t="s">
        <v>2133</v>
      </c>
      <c r="G307" s="696" t="s">
        <v>2692</v>
      </c>
      <c r="H307" s="696" t="s">
        <v>547</v>
      </c>
      <c r="I307" s="696" t="s">
        <v>2693</v>
      </c>
      <c r="J307" s="696" t="s">
        <v>2694</v>
      </c>
      <c r="K307" s="696" t="s">
        <v>2695</v>
      </c>
      <c r="L307" s="699">
        <v>876.77</v>
      </c>
      <c r="M307" s="699">
        <v>10521.24</v>
      </c>
      <c r="N307" s="696">
        <v>12</v>
      </c>
      <c r="O307" s="700">
        <v>2</v>
      </c>
      <c r="P307" s="699">
        <v>5260.62</v>
      </c>
      <c r="Q307" s="701">
        <v>0.5</v>
      </c>
      <c r="R307" s="696">
        <v>6</v>
      </c>
      <c r="S307" s="701">
        <v>0.5</v>
      </c>
      <c r="T307" s="700">
        <v>1</v>
      </c>
      <c r="U307" s="702">
        <v>0.5</v>
      </c>
    </row>
    <row r="308" spans="1:21" ht="14.4" customHeight="1" x14ac:dyDescent="0.3">
      <c r="A308" s="695">
        <v>7</v>
      </c>
      <c r="B308" s="696" t="s">
        <v>1978</v>
      </c>
      <c r="C308" s="696">
        <v>89301074</v>
      </c>
      <c r="D308" s="697" t="s">
        <v>3238</v>
      </c>
      <c r="E308" s="698" t="s">
        <v>2149</v>
      </c>
      <c r="F308" s="696" t="s">
        <v>2133</v>
      </c>
      <c r="G308" s="696" t="s">
        <v>2692</v>
      </c>
      <c r="H308" s="696" t="s">
        <v>547</v>
      </c>
      <c r="I308" s="696" t="s">
        <v>2890</v>
      </c>
      <c r="J308" s="696" t="s">
        <v>2891</v>
      </c>
      <c r="K308" s="696" t="s">
        <v>2892</v>
      </c>
      <c r="L308" s="699">
        <v>1753.54</v>
      </c>
      <c r="M308" s="699">
        <v>42084.960000000006</v>
      </c>
      <c r="N308" s="696">
        <v>24</v>
      </c>
      <c r="O308" s="700">
        <v>5</v>
      </c>
      <c r="P308" s="699">
        <v>22796.020000000004</v>
      </c>
      <c r="Q308" s="701">
        <v>0.54166666666666663</v>
      </c>
      <c r="R308" s="696">
        <v>13</v>
      </c>
      <c r="S308" s="701">
        <v>0.54166666666666663</v>
      </c>
      <c r="T308" s="700">
        <v>3</v>
      </c>
      <c r="U308" s="702">
        <v>0.6</v>
      </c>
    </row>
    <row r="309" spans="1:21" ht="14.4" customHeight="1" x14ac:dyDescent="0.3">
      <c r="A309" s="695">
        <v>7</v>
      </c>
      <c r="B309" s="696" t="s">
        <v>1978</v>
      </c>
      <c r="C309" s="696">
        <v>89301074</v>
      </c>
      <c r="D309" s="697" t="s">
        <v>3238</v>
      </c>
      <c r="E309" s="698" t="s">
        <v>2149</v>
      </c>
      <c r="F309" s="696" t="s">
        <v>2133</v>
      </c>
      <c r="G309" s="696" t="s">
        <v>2692</v>
      </c>
      <c r="H309" s="696" t="s">
        <v>547</v>
      </c>
      <c r="I309" s="696" t="s">
        <v>2893</v>
      </c>
      <c r="J309" s="696" t="s">
        <v>2894</v>
      </c>
      <c r="K309" s="696" t="s">
        <v>2895</v>
      </c>
      <c r="L309" s="699">
        <v>474.91</v>
      </c>
      <c r="M309" s="699">
        <v>3324.37</v>
      </c>
      <c r="N309" s="696">
        <v>7</v>
      </c>
      <c r="O309" s="700">
        <v>2</v>
      </c>
      <c r="P309" s="699">
        <v>3324.37</v>
      </c>
      <c r="Q309" s="701">
        <v>1</v>
      </c>
      <c r="R309" s="696">
        <v>7</v>
      </c>
      <c r="S309" s="701">
        <v>1</v>
      </c>
      <c r="T309" s="700">
        <v>2</v>
      </c>
      <c r="U309" s="702">
        <v>1</v>
      </c>
    </row>
    <row r="310" spans="1:21" ht="14.4" customHeight="1" x14ac:dyDescent="0.3">
      <c r="A310" s="695">
        <v>7</v>
      </c>
      <c r="B310" s="696" t="s">
        <v>1978</v>
      </c>
      <c r="C310" s="696">
        <v>89301074</v>
      </c>
      <c r="D310" s="697" t="s">
        <v>3238</v>
      </c>
      <c r="E310" s="698" t="s">
        <v>2149</v>
      </c>
      <c r="F310" s="696" t="s">
        <v>2133</v>
      </c>
      <c r="G310" s="696" t="s">
        <v>2692</v>
      </c>
      <c r="H310" s="696" t="s">
        <v>547</v>
      </c>
      <c r="I310" s="696" t="s">
        <v>2896</v>
      </c>
      <c r="J310" s="696" t="s">
        <v>2897</v>
      </c>
      <c r="K310" s="696" t="s">
        <v>2898</v>
      </c>
      <c r="L310" s="699">
        <v>2464.46</v>
      </c>
      <c r="M310" s="699">
        <v>29573.52</v>
      </c>
      <c r="N310" s="696">
        <v>12</v>
      </c>
      <c r="O310" s="700">
        <v>2</v>
      </c>
      <c r="P310" s="699"/>
      <c r="Q310" s="701">
        <v>0</v>
      </c>
      <c r="R310" s="696"/>
      <c r="S310" s="701">
        <v>0</v>
      </c>
      <c r="T310" s="700"/>
      <c r="U310" s="702">
        <v>0</v>
      </c>
    </row>
    <row r="311" spans="1:21" ht="14.4" customHeight="1" x14ac:dyDescent="0.3">
      <c r="A311" s="695">
        <v>7</v>
      </c>
      <c r="B311" s="696" t="s">
        <v>1978</v>
      </c>
      <c r="C311" s="696">
        <v>89301074</v>
      </c>
      <c r="D311" s="697" t="s">
        <v>3238</v>
      </c>
      <c r="E311" s="698" t="s">
        <v>2149</v>
      </c>
      <c r="F311" s="696" t="s">
        <v>2133</v>
      </c>
      <c r="G311" s="696" t="s">
        <v>2692</v>
      </c>
      <c r="H311" s="696" t="s">
        <v>547</v>
      </c>
      <c r="I311" s="696" t="s">
        <v>2899</v>
      </c>
      <c r="J311" s="696" t="s">
        <v>2900</v>
      </c>
      <c r="K311" s="696" t="s">
        <v>2901</v>
      </c>
      <c r="L311" s="699">
        <v>0</v>
      </c>
      <c r="M311" s="699">
        <v>0</v>
      </c>
      <c r="N311" s="696">
        <v>3</v>
      </c>
      <c r="O311" s="700">
        <v>1</v>
      </c>
      <c r="P311" s="699"/>
      <c r="Q311" s="701"/>
      <c r="R311" s="696"/>
      <c r="S311" s="701">
        <v>0</v>
      </c>
      <c r="T311" s="700"/>
      <c r="U311" s="702">
        <v>0</v>
      </c>
    </row>
    <row r="312" spans="1:21" ht="14.4" customHeight="1" x14ac:dyDescent="0.3">
      <c r="A312" s="695">
        <v>7</v>
      </c>
      <c r="B312" s="696" t="s">
        <v>1978</v>
      </c>
      <c r="C312" s="696">
        <v>89301074</v>
      </c>
      <c r="D312" s="697" t="s">
        <v>3238</v>
      </c>
      <c r="E312" s="698" t="s">
        <v>2149</v>
      </c>
      <c r="F312" s="696" t="s">
        <v>2133</v>
      </c>
      <c r="G312" s="696" t="s">
        <v>2902</v>
      </c>
      <c r="H312" s="696" t="s">
        <v>547</v>
      </c>
      <c r="I312" s="696" t="s">
        <v>951</v>
      </c>
      <c r="J312" s="696" t="s">
        <v>952</v>
      </c>
      <c r="K312" s="696" t="s">
        <v>2903</v>
      </c>
      <c r="L312" s="699">
        <v>63.67</v>
      </c>
      <c r="M312" s="699">
        <v>382.02</v>
      </c>
      <c r="N312" s="696">
        <v>6</v>
      </c>
      <c r="O312" s="700">
        <v>1.5</v>
      </c>
      <c r="P312" s="699">
        <v>191.01</v>
      </c>
      <c r="Q312" s="701">
        <v>0.5</v>
      </c>
      <c r="R312" s="696">
        <v>3</v>
      </c>
      <c r="S312" s="701">
        <v>0.5</v>
      </c>
      <c r="T312" s="700">
        <v>1</v>
      </c>
      <c r="U312" s="702">
        <v>0.66666666666666663</v>
      </c>
    </row>
    <row r="313" spans="1:21" ht="14.4" customHeight="1" x14ac:dyDescent="0.3">
      <c r="A313" s="695">
        <v>7</v>
      </c>
      <c r="B313" s="696" t="s">
        <v>1978</v>
      </c>
      <c r="C313" s="696">
        <v>89301074</v>
      </c>
      <c r="D313" s="697" t="s">
        <v>3238</v>
      </c>
      <c r="E313" s="698" t="s">
        <v>2149</v>
      </c>
      <c r="F313" s="696" t="s">
        <v>2133</v>
      </c>
      <c r="G313" s="696" t="s">
        <v>2696</v>
      </c>
      <c r="H313" s="696" t="s">
        <v>547</v>
      </c>
      <c r="I313" s="696" t="s">
        <v>2904</v>
      </c>
      <c r="J313" s="696" t="s">
        <v>2905</v>
      </c>
      <c r="K313" s="696" t="s">
        <v>2906</v>
      </c>
      <c r="L313" s="699">
        <v>71.2</v>
      </c>
      <c r="M313" s="699">
        <v>213.60000000000002</v>
      </c>
      <c r="N313" s="696">
        <v>3</v>
      </c>
      <c r="O313" s="700">
        <v>1.5</v>
      </c>
      <c r="P313" s="699">
        <v>142.4</v>
      </c>
      <c r="Q313" s="701">
        <v>0.66666666666666663</v>
      </c>
      <c r="R313" s="696">
        <v>2</v>
      </c>
      <c r="S313" s="701">
        <v>0.66666666666666663</v>
      </c>
      <c r="T313" s="700">
        <v>1</v>
      </c>
      <c r="U313" s="702">
        <v>0.66666666666666663</v>
      </c>
    </row>
    <row r="314" spans="1:21" ht="14.4" customHeight="1" x14ac:dyDescent="0.3">
      <c r="A314" s="695">
        <v>7</v>
      </c>
      <c r="B314" s="696" t="s">
        <v>1978</v>
      </c>
      <c r="C314" s="696">
        <v>89301074</v>
      </c>
      <c r="D314" s="697" t="s">
        <v>3238</v>
      </c>
      <c r="E314" s="698" t="s">
        <v>2149</v>
      </c>
      <c r="F314" s="696" t="s">
        <v>2133</v>
      </c>
      <c r="G314" s="696" t="s">
        <v>2696</v>
      </c>
      <c r="H314" s="696" t="s">
        <v>547</v>
      </c>
      <c r="I314" s="696" t="s">
        <v>2697</v>
      </c>
      <c r="J314" s="696" t="s">
        <v>2698</v>
      </c>
      <c r="K314" s="696" t="s">
        <v>2699</v>
      </c>
      <c r="L314" s="699">
        <v>144.01</v>
      </c>
      <c r="M314" s="699">
        <v>1152.08</v>
      </c>
      <c r="N314" s="696">
        <v>8</v>
      </c>
      <c r="O314" s="700">
        <v>2</v>
      </c>
      <c r="P314" s="699">
        <v>1152.08</v>
      </c>
      <c r="Q314" s="701">
        <v>1</v>
      </c>
      <c r="R314" s="696">
        <v>8</v>
      </c>
      <c r="S314" s="701">
        <v>1</v>
      </c>
      <c r="T314" s="700">
        <v>2</v>
      </c>
      <c r="U314" s="702">
        <v>1</v>
      </c>
    </row>
    <row r="315" spans="1:21" ht="14.4" customHeight="1" x14ac:dyDescent="0.3">
      <c r="A315" s="695">
        <v>7</v>
      </c>
      <c r="B315" s="696" t="s">
        <v>1978</v>
      </c>
      <c r="C315" s="696">
        <v>89301074</v>
      </c>
      <c r="D315" s="697" t="s">
        <v>3238</v>
      </c>
      <c r="E315" s="698" t="s">
        <v>2149</v>
      </c>
      <c r="F315" s="696" t="s">
        <v>2133</v>
      </c>
      <c r="G315" s="696" t="s">
        <v>2700</v>
      </c>
      <c r="H315" s="696" t="s">
        <v>547</v>
      </c>
      <c r="I315" s="696" t="s">
        <v>2907</v>
      </c>
      <c r="J315" s="696" t="s">
        <v>2908</v>
      </c>
      <c r="K315" s="696" t="s">
        <v>2909</v>
      </c>
      <c r="L315" s="699">
        <v>55.71</v>
      </c>
      <c r="M315" s="699">
        <v>167.13</v>
      </c>
      <c r="N315" s="696">
        <v>3</v>
      </c>
      <c r="O315" s="700">
        <v>1</v>
      </c>
      <c r="P315" s="699"/>
      <c r="Q315" s="701">
        <v>0</v>
      </c>
      <c r="R315" s="696"/>
      <c r="S315" s="701">
        <v>0</v>
      </c>
      <c r="T315" s="700"/>
      <c r="U315" s="702">
        <v>0</v>
      </c>
    </row>
    <row r="316" spans="1:21" ht="14.4" customHeight="1" x14ac:dyDescent="0.3">
      <c r="A316" s="695">
        <v>7</v>
      </c>
      <c r="B316" s="696" t="s">
        <v>1978</v>
      </c>
      <c r="C316" s="696">
        <v>89301074</v>
      </c>
      <c r="D316" s="697" t="s">
        <v>3238</v>
      </c>
      <c r="E316" s="698" t="s">
        <v>2149</v>
      </c>
      <c r="F316" s="696" t="s">
        <v>2133</v>
      </c>
      <c r="G316" s="696" t="s">
        <v>2498</v>
      </c>
      <c r="H316" s="696" t="s">
        <v>1438</v>
      </c>
      <c r="I316" s="696" t="s">
        <v>2716</v>
      </c>
      <c r="J316" s="696" t="s">
        <v>2500</v>
      </c>
      <c r="K316" s="696" t="s">
        <v>2717</v>
      </c>
      <c r="L316" s="699">
        <v>193.26</v>
      </c>
      <c r="M316" s="699">
        <v>773.04</v>
      </c>
      <c r="N316" s="696">
        <v>4</v>
      </c>
      <c r="O316" s="700">
        <v>2</v>
      </c>
      <c r="P316" s="699">
        <v>386.52</v>
      </c>
      <c r="Q316" s="701">
        <v>0.5</v>
      </c>
      <c r="R316" s="696">
        <v>2</v>
      </c>
      <c r="S316" s="701">
        <v>0.5</v>
      </c>
      <c r="T316" s="700">
        <v>1.5</v>
      </c>
      <c r="U316" s="702">
        <v>0.75</v>
      </c>
    </row>
    <row r="317" spans="1:21" ht="14.4" customHeight="1" x14ac:dyDescent="0.3">
      <c r="A317" s="695">
        <v>7</v>
      </c>
      <c r="B317" s="696" t="s">
        <v>1978</v>
      </c>
      <c r="C317" s="696">
        <v>89301074</v>
      </c>
      <c r="D317" s="697" t="s">
        <v>3238</v>
      </c>
      <c r="E317" s="698" t="s">
        <v>2149</v>
      </c>
      <c r="F317" s="696" t="s">
        <v>2133</v>
      </c>
      <c r="G317" s="696" t="s">
        <v>2438</v>
      </c>
      <c r="H317" s="696" t="s">
        <v>547</v>
      </c>
      <c r="I317" s="696" t="s">
        <v>2910</v>
      </c>
      <c r="J317" s="696" t="s">
        <v>2443</v>
      </c>
      <c r="K317" s="696" t="s">
        <v>2444</v>
      </c>
      <c r="L317" s="699">
        <v>132.77000000000001</v>
      </c>
      <c r="M317" s="699">
        <v>265.54000000000002</v>
      </c>
      <c r="N317" s="696">
        <v>2</v>
      </c>
      <c r="O317" s="700">
        <v>1</v>
      </c>
      <c r="P317" s="699">
        <v>265.54000000000002</v>
      </c>
      <c r="Q317" s="701">
        <v>1</v>
      </c>
      <c r="R317" s="696">
        <v>2</v>
      </c>
      <c r="S317" s="701">
        <v>1</v>
      </c>
      <c r="T317" s="700">
        <v>1</v>
      </c>
      <c r="U317" s="702">
        <v>1</v>
      </c>
    </row>
    <row r="318" spans="1:21" ht="14.4" customHeight="1" x14ac:dyDescent="0.3">
      <c r="A318" s="695">
        <v>7</v>
      </c>
      <c r="B318" s="696" t="s">
        <v>1978</v>
      </c>
      <c r="C318" s="696">
        <v>89301074</v>
      </c>
      <c r="D318" s="697" t="s">
        <v>3238</v>
      </c>
      <c r="E318" s="698" t="s">
        <v>2149</v>
      </c>
      <c r="F318" s="696" t="s">
        <v>2133</v>
      </c>
      <c r="G318" s="696" t="s">
        <v>2438</v>
      </c>
      <c r="H318" s="696" t="s">
        <v>547</v>
      </c>
      <c r="I318" s="696" t="s">
        <v>2911</v>
      </c>
      <c r="J318" s="696" t="s">
        <v>2449</v>
      </c>
      <c r="K318" s="696" t="s">
        <v>2450</v>
      </c>
      <c r="L318" s="699">
        <v>407.64</v>
      </c>
      <c r="M318" s="699">
        <v>3668.7599999999998</v>
      </c>
      <c r="N318" s="696">
        <v>9</v>
      </c>
      <c r="O318" s="700">
        <v>1</v>
      </c>
      <c r="P318" s="699"/>
      <c r="Q318" s="701">
        <v>0</v>
      </c>
      <c r="R318" s="696"/>
      <c r="S318" s="701">
        <v>0</v>
      </c>
      <c r="T318" s="700"/>
      <c r="U318" s="702">
        <v>0</v>
      </c>
    </row>
    <row r="319" spans="1:21" ht="14.4" customHeight="1" x14ac:dyDescent="0.3">
      <c r="A319" s="695">
        <v>7</v>
      </c>
      <c r="B319" s="696" t="s">
        <v>1978</v>
      </c>
      <c r="C319" s="696">
        <v>89301074</v>
      </c>
      <c r="D319" s="697" t="s">
        <v>3238</v>
      </c>
      <c r="E319" s="698" t="s">
        <v>2149</v>
      </c>
      <c r="F319" s="696" t="s">
        <v>2133</v>
      </c>
      <c r="G319" s="696" t="s">
        <v>2438</v>
      </c>
      <c r="H319" s="696" t="s">
        <v>547</v>
      </c>
      <c r="I319" s="696" t="s">
        <v>2724</v>
      </c>
      <c r="J319" s="696" t="s">
        <v>2725</v>
      </c>
      <c r="K319" s="696" t="s">
        <v>2406</v>
      </c>
      <c r="L319" s="699">
        <v>57.48</v>
      </c>
      <c r="M319" s="699">
        <v>229.92</v>
      </c>
      <c r="N319" s="696">
        <v>4</v>
      </c>
      <c r="O319" s="700">
        <v>4</v>
      </c>
      <c r="P319" s="699">
        <v>229.92</v>
      </c>
      <c r="Q319" s="701">
        <v>1</v>
      </c>
      <c r="R319" s="696">
        <v>4</v>
      </c>
      <c r="S319" s="701">
        <v>1</v>
      </c>
      <c r="T319" s="700">
        <v>4</v>
      </c>
      <c r="U319" s="702">
        <v>1</v>
      </c>
    </row>
    <row r="320" spans="1:21" ht="14.4" customHeight="1" x14ac:dyDescent="0.3">
      <c r="A320" s="695">
        <v>7</v>
      </c>
      <c r="B320" s="696" t="s">
        <v>1978</v>
      </c>
      <c r="C320" s="696">
        <v>89301074</v>
      </c>
      <c r="D320" s="697" t="s">
        <v>3238</v>
      </c>
      <c r="E320" s="698" t="s">
        <v>2149</v>
      </c>
      <c r="F320" s="696" t="s">
        <v>2133</v>
      </c>
      <c r="G320" s="696" t="s">
        <v>2438</v>
      </c>
      <c r="H320" s="696" t="s">
        <v>547</v>
      </c>
      <c r="I320" s="696" t="s">
        <v>2442</v>
      </c>
      <c r="J320" s="696" t="s">
        <v>2443</v>
      </c>
      <c r="K320" s="696" t="s">
        <v>2444</v>
      </c>
      <c r="L320" s="699">
        <v>132.77000000000001</v>
      </c>
      <c r="M320" s="699">
        <v>4248.6400000000012</v>
      </c>
      <c r="N320" s="696">
        <v>32</v>
      </c>
      <c r="O320" s="700">
        <v>6</v>
      </c>
      <c r="P320" s="699">
        <v>2389.8600000000006</v>
      </c>
      <c r="Q320" s="701">
        <v>0.5625</v>
      </c>
      <c r="R320" s="696">
        <v>18</v>
      </c>
      <c r="S320" s="701">
        <v>0.5625</v>
      </c>
      <c r="T320" s="700">
        <v>3</v>
      </c>
      <c r="U320" s="702">
        <v>0.5</v>
      </c>
    </row>
    <row r="321" spans="1:21" ht="14.4" customHeight="1" x14ac:dyDescent="0.3">
      <c r="A321" s="695">
        <v>7</v>
      </c>
      <c r="B321" s="696" t="s">
        <v>1978</v>
      </c>
      <c r="C321" s="696">
        <v>89301074</v>
      </c>
      <c r="D321" s="697" t="s">
        <v>3238</v>
      </c>
      <c r="E321" s="698" t="s">
        <v>2149</v>
      </c>
      <c r="F321" s="696" t="s">
        <v>2133</v>
      </c>
      <c r="G321" s="696" t="s">
        <v>2438</v>
      </c>
      <c r="H321" s="696" t="s">
        <v>547</v>
      </c>
      <c r="I321" s="696" t="s">
        <v>2448</v>
      </c>
      <c r="J321" s="696" t="s">
        <v>2449</v>
      </c>
      <c r="K321" s="696" t="s">
        <v>2450</v>
      </c>
      <c r="L321" s="699">
        <v>407.64</v>
      </c>
      <c r="M321" s="699">
        <v>2445.84</v>
      </c>
      <c r="N321" s="696">
        <v>6</v>
      </c>
      <c r="O321" s="700">
        <v>1</v>
      </c>
      <c r="P321" s="699">
        <v>2445.84</v>
      </c>
      <c r="Q321" s="701">
        <v>1</v>
      </c>
      <c r="R321" s="696">
        <v>6</v>
      </c>
      <c r="S321" s="701">
        <v>1</v>
      </c>
      <c r="T321" s="700">
        <v>1</v>
      </c>
      <c r="U321" s="702">
        <v>1</v>
      </c>
    </row>
    <row r="322" spans="1:21" ht="14.4" customHeight="1" x14ac:dyDescent="0.3">
      <c r="A322" s="695">
        <v>7</v>
      </c>
      <c r="B322" s="696" t="s">
        <v>1978</v>
      </c>
      <c r="C322" s="696">
        <v>89301074</v>
      </c>
      <c r="D322" s="697" t="s">
        <v>3238</v>
      </c>
      <c r="E322" s="698" t="s">
        <v>2149</v>
      </c>
      <c r="F322" s="696" t="s">
        <v>2133</v>
      </c>
      <c r="G322" s="696" t="s">
        <v>2438</v>
      </c>
      <c r="H322" s="696" t="s">
        <v>547</v>
      </c>
      <c r="I322" s="696" t="s">
        <v>2912</v>
      </c>
      <c r="J322" s="696" t="s">
        <v>2440</v>
      </c>
      <c r="K322" s="696" t="s">
        <v>2441</v>
      </c>
      <c r="L322" s="699">
        <v>733.54</v>
      </c>
      <c r="M322" s="699">
        <v>8802.48</v>
      </c>
      <c r="N322" s="696">
        <v>12</v>
      </c>
      <c r="O322" s="700">
        <v>2</v>
      </c>
      <c r="P322" s="699">
        <v>8802.48</v>
      </c>
      <c r="Q322" s="701">
        <v>1</v>
      </c>
      <c r="R322" s="696">
        <v>12</v>
      </c>
      <c r="S322" s="701">
        <v>1</v>
      </c>
      <c r="T322" s="700">
        <v>2</v>
      </c>
      <c r="U322" s="702">
        <v>1</v>
      </c>
    </row>
    <row r="323" spans="1:21" ht="14.4" customHeight="1" x14ac:dyDescent="0.3">
      <c r="A323" s="695">
        <v>7</v>
      </c>
      <c r="B323" s="696" t="s">
        <v>1978</v>
      </c>
      <c r="C323" s="696">
        <v>89301074</v>
      </c>
      <c r="D323" s="697" t="s">
        <v>3238</v>
      </c>
      <c r="E323" s="698" t="s">
        <v>2149</v>
      </c>
      <c r="F323" s="696" t="s">
        <v>2133</v>
      </c>
      <c r="G323" s="696" t="s">
        <v>2913</v>
      </c>
      <c r="H323" s="696" t="s">
        <v>547</v>
      </c>
      <c r="I323" s="696" t="s">
        <v>2914</v>
      </c>
      <c r="J323" s="696" t="s">
        <v>2915</v>
      </c>
      <c r="K323" s="696" t="s">
        <v>2916</v>
      </c>
      <c r="L323" s="699">
        <v>0</v>
      </c>
      <c r="M323" s="699">
        <v>0</v>
      </c>
      <c r="N323" s="696">
        <v>2</v>
      </c>
      <c r="O323" s="700">
        <v>1</v>
      </c>
      <c r="P323" s="699"/>
      <c r="Q323" s="701"/>
      <c r="R323" s="696"/>
      <c r="S323" s="701">
        <v>0</v>
      </c>
      <c r="T323" s="700"/>
      <c r="U323" s="702">
        <v>0</v>
      </c>
    </row>
    <row r="324" spans="1:21" ht="14.4" customHeight="1" x14ac:dyDescent="0.3">
      <c r="A324" s="695">
        <v>7</v>
      </c>
      <c r="B324" s="696" t="s">
        <v>1978</v>
      </c>
      <c r="C324" s="696">
        <v>89301074</v>
      </c>
      <c r="D324" s="697" t="s">
        <v>3238</v>
      </c>
      <c r="E324" s="698" t="s">
        <v>2149</v>
      </c>
      <c r="F324" s="696" t="s">
        <v>2133</v>
      </c>
      <c r="G324" s="696" t="s">
        <v>2233</v>
      </c>
      <c r="H324" s="696" t="s">
        <v>1438</v>
      </c>
      <c r="I324" s="696" t="s">
        <v>2397</v>
      </c>
      <c r="J324" s="696" t="s">
        <v>2235</v>
      </c>
      <c r="K324" s="696" t="s">
        <v>2398</v>
      </c>
      <c r="L324" s="699">
        <v>96.63</v>
      </c>
      <c r="M324" s="699">
        <v>676.41</v>
      </c>
      <c r="N324" s="696">
        <v>7</v>
      </c>
      <c r="O324" s="700">
        <v>4</v>
      </c>
      <c r="P324" s="699">
        <v>289.89</v>
      </c>
      <c r="Q324" s="701">
        <v>0.42857142857142855</v>
      </c>
      <c r="R324" s="696">
        <v>3</v>
      </c>
      <c r="S324" s="701">
        <v>0.42857142857142855</v>
      </c>
      <c r="T324" s="700">
        <v>1.5</v>
      </c>
      <c r="U324" s="702">
        <v>0.375</v>
      </c>
    </row>
    <row r="325" spans="1:21" ht="14.4" customHeight="1" x14ac:dyDescent="0.3">
      <c r="A325" s="695">
        <v>7</v>
      </c>
      <c r="B325" s="696" t="s">
        <v>1978</v>
      </c>
      <c r="C325" s="696">
        <v>89301074</v>
      </c>
      <c r="D325" s="697" t="s">
        <v>3238</v>
      </c>
      <c r="E325" s="698" t="s">
        <v>2149</v>
      </c>
      <c r="F325" s="696" t="s">
        <v>2133</v>
      </c>
      <c r="G325" s="696" t="s">
        <v>2233</v>
      </c>
      <c r="H325" s="696" t="s">
        <v>547</v>
      </c>
      <c r="I325" s="696" t="s">
        <v>2917</v>
      </c>
      <c r="J325" s="696" t="s">
        <v>2918</v>
      </c>
      <c r="K325" s="696" t="s">
        <v>2919</v>
      </c>
      <c r="L325" s="699">
        <v>96.63</v>
      </c>
      <c r="M325" s="699">
        <v>96.63</v>
      </c>
      <c r="N325" s="696">
        <v>1</v>
      </c>
      <c r="O325" s="700">
        <v>0.5</v>
      </c>
      <c r="P325" s="699"/>
      <c r="Q325" s="701">
        <v>0</v>
      </c>
      <c r="R325" s="696"/>
      <c r="S325" s="701">
        <v>0</v>
      </c>
      <c r="T325" s="700"/>
      <c r="U325" s="702">
        <v>0</v>
      </c>
    </row>
    <row r="326" spans="1:21" ht="14.4" customHeight="1" x14ac:dyDescent="0.3">
      <c r="A326" s="695">
        <v>7</v>
      </c>
      <c r="B326" s="696" t="s">
        <v>1978</v>
      </c>
      <c r="C326" s="696">
        <v>89301074</v>
      </c>
      <c r="D326" s="697" t="s">
        <v>3238</v>
      </c>
      <c r="E326" s="698" t="s">
        <v>2149</v>
      </c>
      <c r="F326" s="696" t="s">
        <v>2133</v>
      </c>
      <c r="G326" s="696" t="s">
        <v>2262</v>
      </c>
      <c r="H326" s="696" t="s">
        <v>547</v>
      </c>
      <c r="I326" s="696" t="s">
        <v>2399</v>
      </c>
      <c r="J326" s="696" t="s">
        <v>2400</v>
      </c>
      <c r="K326" s="696" t="s">
        <v>728</v>
      </c>
      <c r="L326" s="699">
        <v>314.89999999999998</v>
      </c>
      <c r="M326" s="699">
        <v>629.79999999999995</v>
      </c>
      <c r="N326" s="696">
        <v>2</v>
      </c>
      <c r="O326" s="700">
        <v>0.5</v>
      </c>
      <c r="P326" s="699"/>
      <c r="Q326" s="701">
        <v>0</v>
      </c>
      <c r="R326" s="696"/>
      <c r="S326" s="701">
        <v>0</v>
      </c>
      <c r="T326" s="700"/>
      <c r="U326" s="702">
        <v>0</v>
      </c>
    </row>
    <row r="327" spans="1:21" ht="14.4" customHeight="1" x14ac:dyDescent="0.3">
      <c r="A327" s="695">
        <v>7</v>
      </c>
      <c r="B327" s="696" t="s">
        <v>1978</v>
      </c>
      <c r="C327" s="696">
        <v>89301074</v>
      </c>
      <c r="D327" s="697" t="s">
        <v>3238</v>
      </c>
      <c r="E327" s="698" t="s">
        <v>2149</v>
      </c>
      <c r="F327" s="696" t="s">
        <v>2133</v>
      </c>
      <c r="G327" s="696" t="s">
        <v>2734</v>
      </c>
      <c r="H327" s="696" t="s">
        <v>547</v>
      </c>
      <c r="I327" s="696" t="s">
        <v>2735</v>
      </c>
      <c r="J327" s="696" t="s">
        <v>2736</v>
      </c>
      <c r="K327" s="696" t="s">
        <v>2737</v>
      </c>
      <c r="L327" s="699">
        <v>1753.54</v>
      </c>
      <c r="M327" s="699">
        <v>78909.3</v>
      </c>
      <c r="N327" s="696">
        <v>45</v>
      </c>
      <c r="O327" s="700">
        <v>6</v>
      </c>
      <c r="P327" s="699">
        <v>57866.82</v>
      </c>
      <c r="Q327" s="701">
        <v>0.73333333333333328</v>
      </c>
      <c r="R327" s="696">
        <v>33</v>
      </c>
      <c r="S327" s="701">
        <v>0.73333333333333328</v>
      </c>
      <c r="T327" s="700">
        <v>4</v>
      </c>
      <c r="U327" s="702">
        <v>0.66666666666666663</v>
      </c>
    </row>
    <row r="328" spans="1:21" ht="14.4" customHeight="1" x14ac:dyDescent="0.3">
      <c r="A328" s="695">
        <v>7</v>
      </c>
      <c r="B328" s="696" t="s">
        <v>1978</v>
      </c>
      <c r="C328" s="696">
        <v>89301074</v>
      </c>
      <c r="D328" s="697" t="s">
        <v>3238</v>
      </c>
      <c r="E328" s="698" t="s">
        <v>2149</v>
      </c>
      <c r="F328" s="696" t="s">
        <v>2133</v>
      </c>
      <c r="G328" s="696" t="s">
        <v>2734</v>
      </c>
      <c r="H328" s="696" t="s">
        <v>547</v>
      </c>
      <c r="I328" s="696" t="s">
        <v>2738</v>
      </c>
      <c r="J328" s="696" t="s">
        <v>2736</v>
      </c>
      <c r="K328" s="696" t="s">
        <v>2739</v>
      </c>
      <c r="L328" s="699">
        <v>3507.07</v>
      </c>
      <c r="M328" s="699">
        <v>10521.210000000001</v>
      </c>
      <c r="N328" s="696">
        <v>3</v>
      </c>
      <c r="O328" s="700">
        <v>1</v>
      </c>
      <c r="P328" s="699">
        <v>10521.210000000001</v>
      </c>
      <c r="Q328" s="701">
        <v>1</v>
      </c>
      <c r="R328" s="696">
        <v>3</v>
      </c>
      <c r="S328" s="701">
        <v>1</v>
      </c>
      <c r="T328" s="700">
        <v>1</v>
      </c>
      <c r="U328" s="702">
        <v>1</v>
      </c>
    </row>
    <row r="329" spans="1:21" ht="14.4" customHeight="1" x14ac:dyDescent="0.3">
      <c r="A329" s="695">
        <v>7</v>
      </c>
      <c r="B329" s="696" t="s">
        <v>1978</v>
      </c>
      <c r="C329" s="696">
        <v>89301074</v>
      </c>
      <c r="D329" s="697" t="s">
        <v>3238</v>
      </c>
      <c r="E329" s="698" t="s">
        <v>2149</v>
      </c>
      <c r="F329" s="696" t="s">
        <v>2133</v>
      </c>
      <c r="G329" s="696" t="s">
        <v>2734</v>
      </c>
      <c r="H329" s="696" t="s">
        <v>547</v>
      </c>
      <c r="I329" s="696" t="s">
        <v>2740</v>
      </c>
      <c r="J329" s="696" t="s">
        <v>2741</v>
      </c>
      <c r="K329" s="696" t="s">
        <v>2742</v>
      </c>
      <c r="L329" s="699">
        <v>474.91</v>
      </c>
      <c r="M329" s="699">
        <v>51765.19</v>
      </c>
      <c r="N329" s="696">
        <v>109</v>
      </c>
      <c r="O329" s="700">
        <v>17</v>
      </c>
      <c r="P329" s="699">
        <v>33243.699999999997</v>
      </c>
      <c r="Q329" s="701">
        <v>0.64220183486238525</v>
      </c>
      <c r="R329" s="696">
        <v>70</v>
      </c>
      <c r="S329" s="701">
        <v>0.64220183486238536</v>
      </c>
      <c r="T329" s="700">
        <v>12</v>
      </c>
      <c r="U329" s="702">
        <v>0.70588235294117652</v>
      </c>
    </row>
    <row r="330" spans="1:21" ht="14.4" customHeight="1" x14ac:dyDescent="0.3">
      <c r="A330" s="695">
        <v>7</v>
      </c>
      <c r="B330" s="696" t="s">
        <v>1978</v>
      </c>
      <c r="C330" s="696">
        <v>89301074</v>
      </c>
      <c r="D330" s="697" t="s">
        <v>3238</v>
      </c>
      <c r="E330" s="698" t="s">
        <v>2149</v>
      </c>
      <c r="F330" s="696" t="s">
        <v>2133</v>
      </c>
      <c r="G330" s="696" t="s">
        <v>2734</v>
      </c>
      <c r="H330" s="696" t="s">
        <v>547</v>
      </c>
      <c r="I330" s="696" t="s">
        <v>2920</v>
      </c>
      <c r="J330" s="696" t="s">
        <v>2741</v>
      </c>
      <c r="K330" s="696" t="s">
        <v>2921</v>
      </c>
      <c r="L330" s="699">
        <v>949.83</v>
      </c>
      <c r="M330" s="699">
        <v>2849.4900000000002</v>
      </c>
      <c r="N330" s="696">
        <v>3</v>
      </c>
      <c r="O330" s="700">
        <v>1</v>
      </c>
      <c r="P330" s="699"/>
      <c r="Q330" s="701">
        <v>0</v>
      </c>
      <c r="R330" s="696"/>
      <c r="S330" s="701">
        <v>0</v>
      </c>
      <c r="T330" s="700"/>
      <c r="U330" s="702">
        <v>0</v>
      </c>
    </row>
    <row r="331" spans="1:21" ht="14.4" customHeight="1" x14ac:dyDescent="0.3">
      <c r="A331" s="695">
        <v>7</v>
      </c>
      <c r="B331" s="696" t="s">
        <v>1978</v>
      </c>
      <c r="C331" s="696">
        <v>89301074</v>
      </c>
      <c r="D331" s="697" t="s">
        <v>3238</v>
      </c>
      <c r="E331" s="698" t="s">
        <v>2149</v>
      </c>
      <c r="F331" s="696" t="s">
        <v>2133</v>
      </c>
      <c r="G331" s="696" t="s">
        <v>2734</v>
      </c>
      <c r="H331" s="696" t="s">
        <v>547</v>
      </c>
      <c r="I331" s="696" t="s">
        <v>2922</v>
      </c>
      <c r="J331" s="696" t="s">
        <v>2923</v>
      </c>
      <c r="K331" s="696" t="s">
        <v>2924</v>
      </c>
      <c r="L331" s="699">
        <v>305.12</v>
      </c>
      <c r="M331" s="699">
        <v>4576.8</v>
      </c>
      <c r="N331" s="696">
        <v>15</v>
      </c>
      <c r="O331" s="700">
        <v>4</v>
      </c>
      <c r="P331" s="699">
        <v>2746.08</v>
      </c>
      <c r="Q331" s="701">
        <v>0.6</v>
      </c>
      <c r="R331" s="696">
        <v>9</v>
      </c>
      <c r="S331" s="701">
        <v>0.6</v>
      </c>
      <c r="T331" s="700">
        <v>3</v>
      </c>
      <c r="U331" s="702">
        <v>0.75</v>
      </c>
    </row>
    <row r="332" spans="1:21" ht="14.4" customHeight="1" x14ac:dyDescent="0.3">
      <c r="A332" s="695">
        <v>7</v>
      </c>
      <c r="B332" s="696" t="s">
        <v>1978</v>
      </c>
      <c r="C332" s="696">
        <v>89301074</v>
      </c>
      <c r="D332" s="697" t="s">
        <v>3238</v>
      </c>
      <c r="E332" s="698" t="s">
        <v>2149</v>
      </c>
      <c r="F332" s="696" t="s">
        <v>2133</v>
      </c>
      <c r="G332" s="696" t="s">
        <v>2734</v>
      </c>
      <c r="H332" s="696" t="s">
        <v>547</v>
      </c>
      <c r="I332" s="696" t="s">
        <v>2743</v>
      </c>
      <c r="J332" s="696" t="s">
        <v>2744</v>
      </c>
      <c r="K332" s="696" t="s">
        <v>2745</v>
      </c>
      <c r="L332" s="699">
        <v>876.77</v>
      </c>
      <c r="M332" s="699">
        <v>106965.94</v>
      </c>
      <c r="N332" s="696">
        <v>122</v>
      </c>
      <c r="O332" s="700">
        <v>19</v>
      </c>
      <c r="P332" s="699">
        <v>57866.820000000007</v>
      </c>
      <c r="Q332" s="701">
        <v>0.54098360655737709</v>
      </c>
      <c r="R332" s="696">
        <v>66</v>
      </c>
      <c r="S332" s="701">
        <v>0.54098360655737709</v>
      </c>
      <c r="T332" s="700">
        <v>11</v>
      </c>
      <c r="U332" s="702">
        <v>0.57894736842105265</v>
      </c>
    </row>
    <row r="333" spans="1:21" ht="14.4" customHeight="1" x14ac:dyDescent="0.3">
      <c r="A333" s="695">
        <v>7</v>
      </c>
      <c r="B333" s="696" t="s">
        <v>1978</v>
      </c>
      <c r="C333" s="696">
        <v>89301074</v>
      </c>
      <c r="D333" s="697" t="s">
        <v>3238</v>
      </c>
      <c r="E333" s="698" t="s">
        <v>2149</v>
      </c>
      <c r="F333" s="696" t="s">
        <v>2133</v>
      </c>
      <c r="G333" s="696" t="s">
        <v>2734</v>
      </c>
      <c r="H333" s="696" t="s">
        <v>547</v>
      </c>
      <c r="I333" s="696" t="s">
        <v>2925</v>
      </c>
      <c r="J333" s="696" t="s">
        <v>2926</v>
      </c>
      <c r="K333" s="696" t="s">
        <v>2742</v>
      </c>
      <c r="L333" s="699">
        <v>474.91</v>
      </c>
      <c r="M333" s="699">
        <v>17096.760000000002</v>
      </c>
      <c r="N333" s="696">
        <v>36</v>
      </c>
      <c r="O333" s="700">
        <v>4</v>
      </c>
      <c r="P333" s="699">
        <v>8548.380000000001</v>
      </c>
      <c r="Q333" s="701">
        <v>0.5</v>
      </c>
      <c r="R333" s="696">
        <v>18</v>
      </c>
      <c r="S333" s="701">
        <v>0.5</v>
      </c>
      <c r="T333" s="700">
        <v>2</v>
      </c>
      <c r="U333" s="702">
        <v>0.5</v>
      </c>
    </row>
    <row r="334" spans="1:21" ht="14.4" customHeight="1" x14ac:dyDescent="0.3">
      <c r="A334" s="695">
        <v>7</v>
      </c>
      <c r="B334" s="696" t="s">
        <v>1978</v>
      </c>
      <c r="C334" s="696">
        <v>89301074</v>
      </c>
      <c r="D334" s="697" t="s">
        <v>3238</v>
      </c>
      <c r="E334" s="698" t="s">
        <v>2149</v>
      </c>
      <c r="F334" s="696" t="s">
        <v>2133</v>
      </c>
      <c r="G334" s="696" t="s">
        <v>2734</v>
      </c>
      <c r="H334" s="696" t="s">
        <v>547</v>
      </c>
      <c r="I334" s="696" t="s">
        <v>2927</v>
      </c>
      <c r="J334" s="696" t="s">
        <v>2928</v>
      </c>
      <c r="K334" s="696" t="s">
        <v>2745</v>
      </c>
      <c r="L334" s="699">
        <v>876.77</v>
      </c>
      <c r="M334" s="699">
        <v>8767.7000000000007</v>
      </c>
      <c r="N334" s="696">
        <v>10</v>
      </c>
      <c r="O334" s="700">
        <v>1</v>
      </c>
      <c r="P334" s="699">
        <v>7014.16</v>
      </c>
      <c r="Q334" s="701">
        <v>0.79999999999999993</v>
      </c>
      <c r="R334" s="696">
        <v>8</v>
      </c>
      <c r="S334" s="701">
        <v>0.8</v>
      </c>
      <c r="T334" s="700">
        <v>1</v>
      </c>
      <c r="U334" s="702">
        <v>1</v>
      </c>
    </row>
    <row r="335" spans="1:21" ht="14.4" customHeight="1" x14ac:dyDescent="0.3">
      <c r="A335" s="695">
        <v>7</v>
      </c>
      <c r="B335" s="696" t="s">
        <v>1978</v>
      </c>
      <c r="C335" s="696">
        <v>89301074</v>
      </c>
      <c r="D335" s="697" t="s">
        <v>3238</v>
      </c>
      <c r="E335" s="698" t="s">
        <v>2149</v>
      </c>
      <c r="F335" s="696" t="s">
        <v>2133</v>
      </c>
      <c r="G335" s="696" t="s">
        <v>2734</v>
      </c>
      <c r="H335" s="696" t="s">
        <v>547</v>
      </c>
      <c r="I335" s="696" t="s">
        <v>2929</v>
      </c>
      <c r="J335" s="696" t="s">
        <v>2923</v>
      </c>
      <c r="K335" s="696" t="s">
        <v>2930</v>
      </c>
      <c r="L335" s="699">
        <v>0</v>
      </c>
      <c r="M335" s="699">
        <v>0</v>
      </c>
      <c r="N335" s="696">
        <v>1</v>
      </c>
      <c r="O335" s="700">
        <v>1</v>
      </c>
      <c r="P335" s="699">
        <v>0</v>
      </c>
      <c r="Q335" s="701"/>
      <c r="R335" s="696">
        <v>1</v>
      </c>
      <c r="S335" s="701">
        <v>1</v>
      </c>
      <c r="T335" s="700">
        <v>1</v>
      </c>
      <c r="U335" s="702">
        <v>1</v>
      </c>
    </row>
    <row r="336" spans="1:21" ht="14.4" customHeight="1" x14ac:dyDescent="0.3">
      <c r="A336" s="695">
        <v>7</v>
      </c>
      <c r="B336" s="696" t="s">
        <v>1978</v>
      </c>
      <c r="C336" s="696">
        <v>89301074</v>
      </c>
      <c r="D336" s="697" t="s">
        <v>3238</v>
      </c>
      <c r="E336" s="698" t="s">
        <v>2149</v>
      </c>
      <c r="F336" s="696" t="s">
        <v>2133</v>
      </c>
      <c r="G336" s="696" t="s">
        <v>2734</v>
      </c>
      <c r="H336" s="696" t="s">
        <v>547</v>
      </c>
      <c r="I336" s="696" t="s">
        <v>2931</v>
      </c>
      <c r="J336" s="696" t="s">
        <v>2932</v>
      </c>
      <c r="K336" s="696" t="s">
        <v>2742</v>
      </c>
      <c r="L336" s="699">
        <v>0</v>
      </c>
      <c r="M336" s="699">
        <v>0</v>
      </c>
      <c r="N336" s="696">
        <v>8</v>
      </c>
      <c r="O336" s="700">
        <v>2</v>
      </c>
      <c r="P336" s="699">
        <v>0</v>
      </c>
      <c r="Q336" s="701"/>
      <c r="R336" s="696">
        <v>8</v>
      </c>
      <c r="S336" s="701">
        <v>1</v>
      </c>
      <c r="T336" s="700">
        <v>2</v>
      </c>
      <c r="U336" s="702">
        <v>1</v>
      </c>
    </row>
    <row r="337" spans="1:21" ht="14.4" customHeight="1" x14ac:dyDescent="0.3">
      <c r="A337" s="695">
        <v>7</v>
      </c>
      <c r="B337" s="696" t="s">
        <v>1978</v>
      </c>
      <c r="C337" s="696">
        <v>89301074</v>
      </c>
      <c r="D337" s="697" t="s">
        <v>3238</v>
      </c>
      <c r="E337" s="698" t="s">
        <v>2149</v>
      </c>
      <c r="F337" s="696" t="s">
        <v>2133</v>
      </c>
      <c r="G337" s="696" t="s">
        <v>2734</v>
      </c>
      <c r="H337" s="696" t="s">
        <v>547</v>
      </c>
      <c r="I337" s="696" t="s">
        <v>2933</v>
      </c>
      <c r="J337" s="696" t="s">
        <v>2934</v>
      </c>
      <c r="K337" s="696" t="s">
        <v>2745</v>
      </c>
      <c r="L337" s="699">
        <v>0</v>
      </c>
      <c r="M337" s="699">
        <v>0</v>
      </c>
      <c r="N337" s="696">
        <v>14</v>
      </c>
      <c r="O337" s="700">
        <v>2</v>
      </c>
      <c r="P337" s="699">
        <v>0</v>
      </c>
      <c r="Q337" s="701"/>
      <c r="R337" s="696">
        <v>14</v>
      </c>
      <c r="S337" s="701">
        <v>1</v>
      </c>
      <c r="T337" s="700">
        <v>2</v>
      </c>
      <c r="U337" s="702">
        <v>1</v>
      </c>
    </row>
    <row r="338" spans="1:21" ht="14.4" customHeight="1" x14ac:dyDescent="0.3">
      <c r="A338" s="695">
        <v>7</v>
      </c>
      <c r="B338" s="696" t="s">
        <v>1978</v>
      </c>
      <c r="C338" s="696">
        <v>89301074</v>
      </c>
      <c r="D338" s="697" t="s">
        <v>3238</v>
      </c>
      <c r="E338" s="698" t="s">
        <v>2149</v>
      </c>
      <c r="F338" s="696" t="s">
        <v>2133</v>
      </c>
      <c r="G338" s="696" t="s">
        <v>2734</v>
      </c>
      <c r="H338" s="696" t="s">
        <v>547</v>
      </c>
      <c r="I338" s="696" t="s">
        <v>2935</v>
      </c>
      <c r="J338" s="696" t="s">
        <v>2936</v>
      </c>
      <c r="K338" s="696" t="s">
        <v>2937</v>
      </c>
      <c r="L338" s="699">
        <v>0</v>
      </c>
      <c r="M338" s="699">
        <v>0</v>
      </c>
      <c r="N338" s="696">
        <v>6</v>
      </c>
      <c r="O338" s="700"/>
      <c r="P338" s="699"/>
      <c r="Q338" s="701"/>
      <c r="R338" s="696"/>
      <c r="S338" s="701">
        <v>0</v>
      </c>
      <c r="T338" s="700"/>
      <c r="U338" s="702"/>
    </row>
    <row r="339" spans="1:21" ht="14.4" customHeight="1" x14ac:dyDescent="0.3">
      <c r="A339" s="695">
        <v>7</v>
      </c>
      <c r="B339" s="696" t="s">
        <v>1978</v>
      </c>
      <c r="C339" s="696">
        <v>89301074</v>
      </c>
      <c r="D339" s="697" t="s">
        <v>3238</v>
      </c>
      <c r="E339" s="698" t="s">
        <v>2149</v>
      </c>
      <c r="F339" s="696" t="s">
        <v>2133</v>
      </c>
      <c r="G339" s="696" t="s">
        <v>2748</v>
      </c>
      <c r="H339" s="696" t="s">
        <v>547</v>
      </c>
      <c r="I339" s="696" t="s">
        <v>2749</v>
      </c>
      <c r="J339" s="696" t="s">
        <v>2750</v>
      </c>
      <c r="K339" s="696" t="s">
        <v>2751</v>
      </c>
      <c r="L339" s="699">
        <v>1163.02</v>
      </c>
      <c r="M339" s="699">
        <v>8141.1399999999994</v>
      </c>
      <c r="N339" s="696">
        <v>7</v>
      </c>
      <c r="O339" s="700">
        <v>3</v>
      </c>
      <c r="P339" s="699">
        <v>8141.1399999999994</v>
      </c>
      <c r="Q339" s="701">
        <v>1</v>
      </c>
      <c r="R339" s="696">
        <v>7</v>
      </c>
      <c r="S339" s="701">
        <v>1</v>
      </c>
      <c r="T339" s="700">
        <v>3</v>
      </c>
      <c r="U339" s="702">
        <v>1</v>
      </c>
    </row>
    <row r="340" spans="1:21" ht="14.4" customHeight="1" x14ac:dyDescent="0.3">
      <c r="A340" s="695">
        <v>7</v>
      </c>
      <c r="B340" s="696" t="s">
        <v>1978</v>
      </c>
      <c r="C340" s="696">
        <v>89301074</v>
      </c>
      <c r="D340" s="697" t="s">
        <v>3238</v>
      </c>
      <c r="E340" s="698" t="s">
        <v>2149</v>
      </c>
      <c r="F340" s="696" t="s">
        <v>2133</v>
      </c>
      <c r="G340" s="696" t="s">
        <v>2748</v>
      </c>
      <c r="H340" s="696" t="s">
        <v>547</v>
      </c>
      <c r="I340" s="696" t="s">
        <v>2752</v>
      </c>
      <c r="J340" s="696" t="s">
        <v>2753</v>
      </c>
      <c r="K340" s="696" t="s">
        <v>2754</v>
      </c>
      <c r="L340" s="699">
        <v>2243.6799999999998</v>
      </c>
      <c r="M340" s="699">
        <v>20193.12</v>
      </c>
      <c r="N340" s="696">
        <v>9</v>
      </c>
      <c r="O340" s="700">
        <v>2</v>
      </c>
      <c r="P340" s="699">
        <v>8974.7199999999993</v>
      </c>
      <c r="Q340" s="701">
        <v>0.44444444444444442</v>
      </c>
      <c r="R340" s="696">
        <v>4</v>
      </c>
      <c r="S340" s="701">
        <v>0.44444444444444442</v>
      </c>
      <c r="T340" s="700">
        <v>1</v>
      </c>
      <c r="U340" s="702">
        <v>0.5</v>
      </c>
    </row>
    <row r="341" spans="1:21" ht="14.4" customHeight="1" x14ac:dyDescent="0.3">
      <c r="A341" s="695">
        <v>7</v>
      </c>
      <c r="B341" s="696" t="s">
        <v>1978</v>
      </c>
      <c r="C341" s="696">
        <v>89301074</v>
      </c>
      <c r="D341" s="697" t="s">
        <v>3238</v>
      </c>
      <c r="E341" s="698" t="s">
        <v>2149</v>
      </c>
      <c r="F341" s="696" t="s">
        <v>2133</v>
      </c>
      <c r="G341" s="696" t="s">
        <v>2748</v>
      </c>
      <c r="H341" s="696" t="s">
        <v>547</v>
      </c>
      <c r="I341" s="696" t="s">
        <v>2758</v>
      </c>
      <c r="J341" s="696" t="s">
        <v>2753</v>
      </c>
      <c r="K341" s="696" t="s">
        <v>2759</v>
      </c>
      <c r="L341" s="699">
        <v>0</v>
      </c>
      <c r="M341" s="699">
        <v>0</v>
      </c>
      <c r="N341" s="696">
        <v>9</v>
      </c>
      <c r="O341" s="700">
        <v>1</v>
      </c>
      <c r="P341" s="699"/>
      <c r="Q341" s="701"/>
      <c r="R341" s="696"/>
      <c r="S341" s="701">
        <v>0</v>
      </c>
      <c r="T341" s="700"/>
      <c r="U341" s="702">
        <v>0</v>
      </c>
    </row>
    <row r="342" spans="1:21" ht="14.4" customHeight="1" x14ac:dyDescent="0.3">
      <c r="A342" s="695">
        <v>7</v>
      </c>
      <c r="B342" s="696" t="s">
        <v>1978</v>
      </c>
      <c r="C342" s="696">
        <v>89301074</v>
      </c>
      <c r="D342" s="697" t="s">
        <v>3238</v>
      </c>
      <c r="E342" s="698" t="s">
        <v>2149</v>
      </c>
      <c r="F342" s="696" t="s">
        <v>2133</v>
      </c>
      <c r="G342" s="696" t="s">
        <v>2748</v>
      </c>
      <c r="H342" s="696" t="s">
        <v>547</v>
      </c>
      <c r="I342" s="696" t="s">
        <v>2760</v>
      </c>
      <c r="J342" s="696" t="s">
        <v>2756</v>
      </c>
      <c r="K342" s="696" t="s">
        <v>2761</v>
      </c>
      <c r="L342" s="699">
        <v>0</v>
      </c>
      <c r="M342" s="699">
        <v>0</v>
      </c>
      <c r="N342" s="696">
        <v>2</v>
      </c>
      <c r="O342" s="700">
        <v>1</v>
      </c>
      <c r="P342" s="699">
        <v>0</v>
      </c>
      <c r="Q342" s="701"/>
      <c r="R342" s="696">
        <v>2</v>
      </c>
      <c r="S342" s="701">
        <v>1</v>
      </c>
      <c r="T342" s="700">
        <v>1</v>
      </c>
      <c r="U342" s="702">
        <v>1</v>
      </c>
    </row>
    <row r="343" spans="1:21" ht="14.4" customHeight="1" x14ac:dyDescent="0.3">
      <c r="A343" s="695">
        <v>7</v>
      </c>
      <c r="B343" s="696" t="s">
        <v>1978</v>
      </c>
      <c r="C343" s="696">
        <v>89301074</v>
      </c>
      <c r="D343" s="697" t="s">
        <v>3238</v>
      </c>
      <c r="E343" s="698" t="s">
        <v>2149</v>
      </c>
      <c r="F343" s="696" t="s">
        <v>2133</v>
      </c>
      <c r="G343" s="696" t="s">
        <v>2237</v>
      </c>
      <c r="H343" s="696" t="s">
        <v>547</v>
      </c>
      <c r="I343" s="696" t="s">
        <v>2938</v>
      </c>
      <c r="J343" s="696" t="s">
        <v>739</v>
      </c>
      <c r="K343" s="696" t="s">
        <v>2939</v>
      </c>
      <c r="L343" s="699">
        <v>113.37</v>
      </c>
      <c r="M343" s="699">
        <v>453.48</v>
      </c>
      <c r="N343" s="696">
        <v>4</v>
      </c>
      <c r="O343" s="700">
        <v>1</v>
      </c>
      <c r="P343" s="699">
        <v>226.74</v>
      </c>
      <c r="Q343" s="701">
        <v>0.5</v>
      </c>
      <c r="R343" s="696">
        <v>2</v>
      </c>
      <c r="S343" s="701">
        <v>0.5</v>
      </c>
      <c r="T343" s="700">
        <v>0.5</v>
      </c>
      <c r="U343" s="702">
        <v>0.5</v>
      </c>
    </row>
    <row r="344" spans="1:21" ht="14.4" customHeight="1" x14ac:dyDescent="0.3">
      <c r="A344" s="695">
        <v>7</v>
      </c>
      <c r="B344" s="696" t="s">
        <v>1978</v>
      </c>
      <c r="C344" s="696">
        <v>89301074</v>
      </c>
      <c r="D344" s="697" t="s">
        <v>3238</v>
      </c>
      <c r="E344" s="698" t="s">
        <v>2149</v>
      </c>
      <c r="F344" s="696" t="s">
        <v>2133</v>
      </c>
      <c r="G344" s="696" t="s">
        <v>2237</v>
      </c>
      <c r="H344" s="696" t="s">
        <v>547</v>
      </c>
      <c r="I344" s="696" t="s">
        <v>738</v>
      </c>
      <c r="J344" s="696" t="s">
        <v>739</v>
      </c>
      <c r="K344" s="696" t="s">
        <v>740</v>
      </c>
      <c r="L344" s="699">
        <v>56.69</v>
      </c>
      <c r="M344" s="699">
        <v>113.38</v>
      </c>
      <c r="N344" s="696">
        <v>2</v>
      </c>
      <c r="O344" s="700">
        <v>0.5</v>
      </c>
      <c r="P344" s="699"/>
      <c r="Q344" s="701">
        <v>0</v>
      </c>
      <c r="R344" s="696"/>
      <c r="S344" s="701">
        <v>0</v>
      </c>
      <c r="T344" s="700"/>
      <c r="U344" s="702">
        <v>0</v>
      </c>
    </row>
    <row r="345" spans="1:21" ht="14.4" customHeight="1" x14ac:dyDescent="0.3">
      <c r="A345" s="695">
        <v>7</v>
      </c>
      <c r="B345" s="696" t="s">
        <v>1978</v>
      </c>
      <c r="C345" s="696">
        <v>89301074</v>
      </c>
      <c r="D345" s="697" t="s">
        <v>3238</v>
      </c>
      <c r="E345" s="698" t="s">
        <v>2149</v>
      </c>
      <c r="F345" s="696" t="s">
        <v>2133</v>
      </c>
      <c r="G345" s="696" t="s">
        <v>2271</v>
      </c>
      <c r="H345" s="696" t="s">
        <v>547</v>
      </c>
      <c r="I345" s="696" t="s">
        <v>2766</v>
      </c>
      <c r="J345" s="696" t="s">
        <v>2767</v>
      </c>
      <c r="K345" s="696" t="s">
        <v>2768</v>
      </c>
      <c r="L345" s="699">
        <v>22.88</v>
      </c>
      <c r="M345" s="699">
        <v>45.76</v>
      </c>
      <c r="N345" s="696">
        <v>2</v>
      </c>
      <c r="O345" s="700">
        <v>1</v>
      </c>
      <c r="P345" s="699"/>
      <c r="Q345" s="701">
        <v>0</v>
      </c>
      <c r="R345" s="696"/>
      <c r="S345" s="701">
        <v>0</v>
      </c>
      <c r="T345" s="700"/>
      <c r="U345" s="702">
        <v>0</v>
      </c>
    </row>
    <row r="346" spans="1:21" ht="14.4" customHeight="1" x14ac:dyDescent="0.3">
      <c r="A346" s="695">
        <v>7</v>
      </c>
      <c r="B346" s="696" t="s">
        <v>1978</v>
      </c>
      <c r="C346" s="696">
        <v>89301074</v>
      </c>
      <c r="D346" s="697" t="s">
        <v>3238</v>
      </c>
      <c r="E346" s="698" t="s">
        <v>2149</v>
      </c>
      <c r="F346" s="696" t="s">
        <v>2133</v>
      </c>
      <c r="G346" s="696" t="s">
        <v>2769</v>
      </c>
      <c r="H346" s="696" t="s">
        <v>1438</v>
      </c>
      <c r="I346" s="696" t="s">
        <v>2940</v>
      </c>
      <c r="J346" s="696" t="s">
        <v>2774</v>
      </c>
      <c r="K346" s="696" t="s">
        <v>2941</v>
      </c>
      <c r="L346" s="699">
        <v>448.37</v>
      </c>
      <c r="M346" s="699">
        <v>896.74</v>
      </c>
      <c r="N346" s="696">
        <v>2</v>
      </c>
      <c r="O346" s="700">
        <v>0.5</v>
      </c>
      <c r="P346" s="699">
        <v>896.74</v>
      </c>
      <c r="Q346" s="701">
        <v>1</v>
      </c>
      <c r="R346" s="696">
        <v>2</v>
      </c>
      <c r="S346" s="701">
        <v>1</v>
      </c>
      <c r="T346" s="700">
        <v>0.5</v>
      </c>
      <c r="U346" s="702">
        <v>1</v>
      </c>
    </row>
    <row r="347" spans="1:21" ht="14.4" customHeight="1" x14ac:dyDescent="0.3">
      <c r="A347" s="695">
        <v>7</v>
      </c>
      <c r="B347" s="696" t="s">
        <v>1978</v>
      </c>
      <c r="C347" s="696">
        <v>89301074</v>
      </c>
      <c r="D347" s="697" t="s">
        <v>3238</v>
      </c>
      <c r="E347" s="698" t="s">
        <v>2149</v>
      </c>
      <c r="F347" s="696" t="s">
        <v>2133</v>
      </c>
      <c r="G347" s="696" t="s">
        <v>2769</v>
      </c>
      <c r="H347" s="696" t="s">
        <v>1438</v>
      </c>
      <c r="I347" s="696" t="s">
        <v>2773</v>
      </c>
      <c r="J347" s="696" t="s">
        <v>2774</v>
      </c>
      <c r="K347" s="696" t="s">
        <v>2775</v>
      </c>
      <c r="L347" s="699">
        <v>1793.46</v>
      </c>
      <c r="M347" s="699">
        <v>46629.96</v>
      </c>
      <c r="N347" s="696">
        <v>26</v>
      </c>
      <c r="O347" s="700">
        <v>9</v>
      </c>
      <c r="P347" s="699">
        <v>19728.059999999998</v>
      </c>
      <c r="Q347" s="701">
        <v>0.42307692307692302</v>
      </c>
      <c r="R347" s="696">
        <v>11</v>
      </c>
      <c r="S347" s="701">
        <v>0.42307692307692307</v>
      </c>
      <c r="T347" s="700">
        <v>5</v>
      </c>
      <c r="U347" s="702">
        <v>0.55555555555555558</v>
      </c>
    </row>
    <row r="348" spans="1:21" ht="14.4" customHeight="1" x14ac:dyDescent="0.3">
      <c r="A348" s="695">
        <v>7</v>
      </c>
      <c r="B348" s="696" t="s">
        <v>1978</v>
      </c>
      <c r="C348" s="696">
        <v>89301074</v>
      </c>
      <c r="D348" s="697" t="s">
        <v>3238</v>
      </c>
      <c r="E348" s="698" t="s">
        <v>2149</v>
      </c>
      <c r="F348" s="696" t="s">
        <v>2133</v>
      </c>
      <c r="G348" s="696" t="s">
        <v>2769</v>
      </c>
      <c r="H348" s="696" t="s">
        <v>547</v>
      </c>
      <c r="I348" s="696" t="s">
        <v>2942</v>
      </c>
      <c r="J348" s="696" t="s">
        <v>2774</v>
      </c>
      <c r="K348" s="696" t="s">
        <v>2943</v>
      </c>
      <c r="L348" s="699">
        <v>0</v>
      </c>
      <c r="M348" s="699">
        <v>0</v>
      </c>
      <c r="N348" s="696">
        <v>1</v>
      </c>
      <c r="O348" s="700">
        <v>1</v>
      </c>
      <c r="P348" s="699">
        <v>0</v>
      </c>
      <c r="Q348" s="701"/>
      <c r="R348" s="696">
        <v>1</v>
      </c>
      <c r="S348" s="701">
        <v>1</v>
      </c>
      <c r="T348" s="700">
        <v>1</v>
      </c>
      <c r="U348" s="702">
        <v>1</v>
      </c>
    </row>
    <row r="349" spans="1:21" ht="14.4" customHeight="1" x14ac:dyDescent="0.3">
      <c r="A349" s="695">
        <v>7</v>
      </c>
      <c r="B349" s="696" t="s">
        <v>1978</v>
      </c>
      <c r="C349" s="696">
        <v>89301074</v>
      </c>
      <c r="D349" s="697" t="s">
        <v>3238</v>
      </c>
      <c r="E349" s="698" t="s">
        <v>2149</v>
      </c>
      <c r="F349" s="696" t="s">
        <v>2133</v>
      </c>
      <c r="G349" s="696" t="s">
        <v>2769</v>
      </c>
      <c r="H349" s="696" t="s">
        <v>1438</v>
      </c>
      <c r="I349" s="696" t="s">
        <v>2944</v>
      </c>
      <c r="J349" s="696" t="s">
        <v>2945</v>
      </c>
      <c r="K349" s="696" t="s">
        <v>2946</v>
      </c>
      <c r="L349" s="699">
        <v>0</v>
      </c>
      <c r="M349" s="699">
        <v>0</v>
      </c>
      <c r="N349" s="696">
        <v>3</v>
      </c>
      <c r="O349" s="700">
        <v>1</v>
      </c>
      <c r="P349" s="699">
        <v>0</v>
      </c>
      <c r="Q349" s="701"/>
      <c r="R349" s="696">
        <v>3</v>
      </c>
      <c r="S349" s="701">
        <v>1</v>
      </c>
      <c r="T349" s="700">
        <v>1</v>
      </c>
      <c r="U349" s="702">
        <v>1</v>
      </c>
    </row>
    <row r="350" spans="1:21" ht="14.4" customHeight="1" x14ac:dyDescent="0.3">
      <c r="A350" s="695">
        <v>7</v>
      </c>
      <c r="B350" s="696" t="s">
        <v>1978</v>
      </c>
      <c r="C350" s="696">
        <v>89301074</v>
      </c>
      <c r="D350" s="697" t="s">
        <v>3238</v>
      </c>
      <c r="E350" s="698" t="s">
        <v>2149</v>
      </c>
      <c r="F350" s="696" t="s">
        <v>2133</v>
      </c>
      <c r="G350" s="696" t="s">
        <v>2198</v>
      </c>
      <c r="H350" s="696" t="s">
        <v>547</v>
      </c>
      <c r="I350" s="696" t="s">
        <v>742</v>
      </c>
      <c r="J350" s="696" t="s">
        <v>2199</v>
      </c>
      <c r="K350" s="696" t="s">
        <v>2200</v>
      </c>
      <c r="L350" s="699">
        <v>0</v>
      </c>
      <c r="M350" s="699">
        <v>0</v>
      </c>
      <c r="N350" s="696">
        <v>8</v>
      </c>
      <c r="O350" s="700">
        <v>3</v>
      </c>
      <c r="P350" s="699">
        <v>0</v>
      </c>
      <c r="Q350" s="701"/>
      <c r="R350" s="696">
        <v>7</v>
      </c>
      <c r="S350" s="701">
        <v>0.875</v>
      </c>
      <c r="T350" s="700">
        <v>2.5</v>
      </c>
      <c r="U350" s="702">
        <v>0.83333333333333337</v>
      </c>
    </row>
    <row r="351" spans="1:21" ht="14.4" customHeight="1" x14ac:dyDescent="0.3">
      <c r="A351" s="695">
        <v>7</v>
      </c>
      <c r="B351" s="696" t="s">
        <v>1978</v>
      </c>
      <c r="C351" s="696">
        <v>89301074</v>
      </c>
      <c r="D351" s="697" t="s">
        <v>3238</v>
      </c>
      <c r="E351" s="698" t="s">
        <v>2149</v>
      </c>
      <c r="F351" s="696" t="s">
        <v>2133</v>
      </c>
      <c r="G351" s="696" t="s">
        <v>2451</v>
      </c>
      <c r="H351" s="696" t="s">
        <v>547</v>
      </c>
      <c r="I351" s="696" t="s">
        <v>2947</v>
      </c>
      <c r="J351" s="696" t="s">
        <v>2783</v>
      </c>
      <c r="K351" s="696" t="s">
        <v>2948</v>
      </c>
      <c r="L351" s="699">
        <v>1315.15</v>
      </c>
      <c r="M351" s="699">
        <v>2630.3</v>
      </c>
      <c r="N351" s="696">
        <v>2</v>
      </c>
      <c r="O351" s="700">
        <v>1</v>
      </c>
      <c r="P351" s="699">
        <v>2630.3</v>
      </c>
      <c r="Q351" s="701">
        <v>1</v>
      </c>
      <c r="R351" s="696">
        <v>2</v>
      </c>
      <c r="S351" s="701">
        <v>1</v>
      </c>
      <c r="T351" s="700">
        <v>1</v>
      </c>
      <c r="U351" s="702">
        <v>1</v>
      </c>
    </row>
    <row r="352" spans="1:21" ht="14.4" customHeight="1" x14ac:dyDescent="0.3">
      <c r="A352" s="695">
        <v>7</v>
      </c>
      <c r="B352" s="696" t="s">
        <v>1978</v>
      </c>
      <c r="C352" s="696">
        <v>89301074</v>
      </c>
      <c r="D352" s="697" t="s">
        <v>3238</v>
      </c>
      <c r="E352" s="698" t="s">
        <v>2149</v>
      </c>
      <c r="F352" s="696" t="s">
        <v>2133</v>
      </c>
      <c r="G352" s="696" t="s">
        <v>2451</v>
      </c>
      <c r="H352" s="696" t="s">
        <v>547</v>
      </c>
      <c r="I352" s="696" t="s">
        <v>2949</v>
      </c>
      <c r="J352" s="696" t="s">
        <v>2783</v>
      </c>
      <c r="K352" s="696" t="s">
        <v>2287</v>
      </c>
      <c r="L352" s="699">
        <v>657.58</v>
      </c>
      <c r="M352" s="699">
        <v>3945.4800000000005</v>
      </c>
      <c r="N352" s="696">
        <v>6</v>
      </c>
      <c r="O352" s="700">
        <v>1</v>
      </c>
      <c r="P352" s="699">
        <v>3945.4800000000005</v>
      </c>
      <c r="Q352" s="701">
        <v>1</v>
      </c>
      <c r="R352" s="696">
        <v>6</v>
      </c>
      <c r="S352" s="701">
        <v>1</v>
      </c>
      <c r="T352" s="700">
        <v>1</v>
      </c>
      <c r="U352" s="702">
        <v>1</v>
      </c>
    </row>
    <row r="353" spans="1:21" ht="14.4" customHeight="1" x14ac:dyDescent="0.3">
      <c r="A353" s="695">
        <v>7</v>
      </c>
      <c r="B353" s="696" t="s">
        <v>1978</v>
      </c>
      <c r="C353" s="696">
        <v>89301074</v>
      </c>
      <c r="D353" s="697" t="s">
        <v>3238</v>
      </c>
      <c r="E353" s="698" t="s">
        <v>2149</v>
      </c>
      <c r="F353" s="696" t="s">
        <v>2133</v>
      </c>
      <c r="G353" s="696" t="s">
        <v>2451</v>
      </c>
      <c r="H353" s="696" t="s">
        <v>547</v>
      </c>
      <c r="I353" s="696" t="s">
        <v>2785</v>
      </c>
      <c r="J353" s="696" t="s">
        <v>2786</v>
      </c>
      <c r="K353" s="696" t="s">
        <v>2787</v>
      </c>
      <c r="L353" s="699">
        <v>0</v>
      </c>
      <c r="M353" s="699">
        <v>0</v>
      </c>
      <c r="N353" s="696">
        <v>1</v>
      </c>
      <c r="O353" s="700">
        <v>1</v>
      </c>
      <c r="P353" s="699">
        <v>0</v>
      </c>
      <c r="Q353" s="701"/>
      <c r="R353" s="696">
        <v>1</v>
      </c>
      <c r="S353" s="701">
        <v>1</v>
      </c>
      <c r="T353" s="700">
        <v>1</v>
      </c>
      <c r="U353" s="702">
        <v>1</v>
      </c>
    </row>
    <row r="354" spans="1:21" ht="14.4" customHeight="1" x14ac:dyDescent="0.3">
      <c r="A354" s="695">
        <v>7</v>
      </c>
      <c r="B354" s="696" t="s">
        <v>1978</v>
      </c>
      <c r="C354" s="696">
        <v>89301074</v>
      </c>
      <c r="D354" s="697" t="s">
        <v>3238</v>
      </c>
      <c r="E354" s="698" t="s">
        <v>2149</v>
      </c>
      <c r="F354" s="696" t="s">
        <v>2133</v>
      </c>
      <c r="G354" s="696" t="s">
        <v>2201</v>
      </c>
      <c r="H354" s="696" t="s">
        <v>547</v>
      </c>
      <c r="I354" s="696" t="s">
        <v>2950</v>
      </c>
      <c r="J354" s="696" t="s">
        <v>2951</v>
      </c>
      <c r="K354" s="696" t="s">
        <v>2952</v>
      </c>
      <c r="L354" s="699">
        <v>327.44</v>
      </c>
      <c r="M354" s="699">
        <v>982.31999999999994</v>
      </c>
      <c r="N354" s="696">
        <v>3</v>
      </c>
      <c r="O354" s="700">
        <v>0.5</v>
      </c>
      <c r="P354" s="699"/>
      <c r="Q354" s="701">
        <v>0</v>
      </c>
      <c r="R354" s="696"/>
      <c r="S354" s="701">
        <v>0</v>
      </c>
      <c r="T354" s="700"/>
      <c r="U354" s="702">
        <v>0</v>
      </c>
    </row>
    <row r="355" spans="1:21" ht="14.4" customHeight="1" x14ac:dyDescent="0.3">
      <c r="A355" s="695">
        <v>7</v>
      </c>
      <c r="B355" s="696" t="s">
        <v>1978</v>
      </c>
      <c r="C355" s="696">
        <v>89301074</v>
      </c>
      <c r="D355" s="697" t="s">
        <v>3238</v>
      </c>
      <c r="E355" s="698" t="s">
        <v>2149</v>
      </c>
      <c r="F355" s="696" t="s">
        <v>2133</v>
      </c>
      <c r="G355" s="696" t="s">
        <v>2201</v>
      </c>
      <c r="H355" s="696" t="s">
        <v>1438</v>
      </c>
      <c r="I355" s="696" t="s">
        <v>2795</v>
      </c>
      <c r="J355" s="696" t="s">
        <v>2796</v>
      </c>
      <c r="K355" s="696" t="s">
        <v>2287</v>
      </c>
      <c r="L355" s="699">
        <v>147.36000000000001</v>
      </c>
      <c r="M355" s="699">
        <v>884.16000000000008</v>
      </c>
      <c r="N355" s="696">
        <v>6</v>
      </c>
      <c r="O355" s="700">
        <v>1.5</v>
      </c>
      <c r="P355" s="699"/>
      <c r="Q355" s="701">
        <v>0</v>
      </c>
      <c r="R355" s="696"/>
      <c r="S355" s="701">
        <v>0</v>
      </c>
      <c r="T355" s="700"/>
      <c r="U355" s="702">
        <v>0</v>
      </c>
    </row>
    <row r="356" spans="1:21" ht="14.4" customHeight="1" x14ac:dyDescent="0.3">
      <c r="A356" s="695">
        <v>7</v>
      </c>
      <c r="B356" s="696" t="s">
        <v>1978</v>
      </c>
      <c r="C356" s="696">
        <v>89301074</v>
      </c>
      <c r="D356" s="697" t="s">
        <v>3238</v>
      </c>
      <c r="E356" s="698" t="s">
        <v>2149</v>
      </c>
      <c r="F356" s="696" t="s">
        <v>2133</v>
      </c>
      <c r="G356" s="696" t="s">
        <v>2201</v>
      </c>
      <c r="H356" s="696" t="s">
        <v>547</v>
      </c>
      <c r="I356" s="696" t="s">
        <v>2953</v>
      </c>
      <c r="J356" s="696" t="s">
        <v>2286</v>
      </c>
      <c r="K356" s="696" t="s">
        <v>2954</v>
      </c>
      <c r="L356" s="699">
        <v>0</v>
      </c>
      <c r="M356" s="699">
        <v>0</v>
      </c>
      <c r="N356" s="696">
        <v>1</v>
      </c>
      <c r="O356" s="700">
        <v>0.5</v>
      </c>
      <c r="P356" s="699"/>
      <c r="Q356" s="701"/>
      <c r="R356" s="696"/>
      <c r="S356" s="701">
        <v>0</v>
      </c>
      <c r="T356" s="700"/>
      <c r="U356" s="702">
        <v>0</v>
      </c>
    </row>
    <row r="357" spans="1:21" ht="14.4" customHeight="1" x14ac:dyDescent="0.3">
      <c r="A357" s="695">
        <v>7</v>
      </c>
      <c r="B357" s="696" t="s">
        <v>1978</v>
      </c>
      <c r="C357" s="696">
        <v>89301074</v>
      </c>
      <c r="D357" s="697" t="s">
        <v>3238</v>
      </c>
      <c r="E357" s="698" t="s">
        <v>2149</v>
      </c>
      <c r="F357" s="696" t="s">
        <v>2133</v>
      </c>
      <c r="G357" s="696" t="s">
        <v>2201</v>
      </c>
      <c r="H357" s="696" t="s">
        <v>547</v>
      </c>
      <c r="I357" s="696" t="s">
        <v>2955</v>
      </c>
      <c r="J357" s="696" t="s">
        <v>2956</v>
      </c>
      <c r="K357" s="696" t="s">
        <v>2799</v>
      </c>
      <c r="L357" s="699">
        <v>314.33999999999997</v>
      </c>
      <c r="M357" s="699">
        <v>943.02</v>
      </c>
      <c r="N357" s="696">
        <v>3</v>
      </c>
      <c r="O357" s="700">
        <v>0.5</v>
      </c>
      <c r="P357" s="699"/>
      <c r="Q357" s="701">
        <v>0</v>
      </c>
      <c r="R357" s="696"/>
      <c r="S357" s="701">
        <v>0</v>
      </c>
      <c r="T357" s="700"/>
      <c r="U357" s="702">
        <v>0</v>
      </c>
    </row>
    <row r="358" spans="1:21" ht="14.4" customHeight="1" x14ac:dyDescent="0.3">
      <c r="A358" s="695">
        <v>7</v>
      </c>
      <c r="B358" s="696" t="s">
        <v>1978</v>
      </c>
      <c r="C358" s="696">
        <v>89301074</v>
      </c>
      <c r="D358" s="697" t="s">
        <v>3238</v>
      </c>
      <c r="E358" s="698" t="s">
        <v>2149</v>
      </c>
      <c r="F358" s="696" t="s">
        <v>2133</v>
      </c>
      <c r="G358" s="696" t="s">
        <v>2201</v>
      </c>
      <c r="H358" s="696" t="s">
        <v>1438</v>
      </c>
      <c r="I358" s="696" t="s">
        <v>2797</v>
      </c>
      <c r="J358" s="696" t="s">
        <v>2203</v>
      </c>
      <c r="K358" s="696" t="s">
        <v>2450</v>
      </c>
      <c r="L358" s="699">
        <v>98.23</v>
      </c>
      <c r="M358" s="699">
        <v>392.92</v>
      </c>
      <c r="N358" s="696">
        <v>4</v>
      </c>
      <c r="O358" s="700">
        <v>0.5</v>
      </c>
      <c r="P358" s="699"/>
      <c r="Q358" s="701">
        <v>0</v>
      </c>
      <c r="R358" s="696"/>
      <c r="S358" s="701">
        <v>0</v>
      </c>
      <c r="T358" s="700"/>
      <c r="U358" s="702">
        <v>0</v>
      </c>
    </row>
    <row r="359" spans="1:21" ht="14.4" customHeight="1" x14ac:dyDescent="0.3">
      <c r="A359" s="695">
        <v>7</v>
      </c>
      <c r="B359" s="696" t="s">
        <v>1978</v>
      </c>
      <c r="C359" s="696">
        <v>89301074</v>
      </c>
      <c r="D359" s="697" t="s">
        <v>3238</v>
      </c>
      <c r="E359" s="698" t="s">
        <v>2149</v>
      </c>
      <c r="F359" s="696" t="s">
        <v>2133</v>
      </c>
      <c r="G359" s="696" t="s">
        <v>2201</v>
      </c>
      <c r="H359" s="696" t="s">
        <v>1438</v>
      </c>
      <c r="I359" s="696" t="s">
        <v>2202</v>
      </c>
      <c r="J359" s="696" t="s">
        <v>2203</v>
      </c>
      <c r="K359" s="696" t="s">
        <v>2204</v>
      </c>
      <c r="L359" s="699">
        <v>163.72999999999999</v>
      </c>
      <c r="M359" s="699">
        <v>163.72999999999999</v>
      </c>
      <c r="N359" s="696">
        <v>1</v>
      </c>
      <c r="O359" s="700">
        <v>0.5</v>
      </c>
      <c r="P359" s="699"/>
      <c r="Q359" s="701">
        <v>0</v>
      </c>
      <c r="R359" s="696"/>
      <c r="S359" s="701">
        <v>0</v>
      </c>
      <c r="T359" s="700"/>
      <c r="U359" s="702">
        <v>0</v>
      </c>
    </row>
    <row r="360" spans="1:21" ht="14.4" customHeight="1" x14ac:dyDescent="0.3">
      <c r="A360" s="695">
        <v>7</v>
      </c>
      <c r="B360" s="696" t="s">
        <v>1978</v>
      </c>
      <c r="C360" s="696">
        <v>89301074</v>
      </c>
      <c r="D360" s="697" t="s">
        <v>3238</v>
      </c>
      <c r="E360" s="698" t="s">
        <v>2149</v>
      </c>
      <c r="F360" s="696" t="s">
        <v>2133</v>
      </c>
      <c r="G360" s="696" t="s">
        <v>2201</v>
      </c>
      <c r="H360" s="696" t="s">
        <v>1438</v>
      </c>
      <c r="I360" s="696" t="s">
        <v>2798</v>
      </c>
      <c r="J360" s="696" t="s">
        <v>2793</v>
      </c>
      <c r="K360" s="696" t="s">
        <v>2799</v>
      </c>
      <c r="L360" s="699">
        <v>314.33999999999997</v>
      </c>
      <c r="M360" s="699">
        <v>1886.04</v>
      </c>
      <c r="N360" s="696">
        <v>6</v>
      </c>
      <c r="O360" s="700">
        <v>1.5</v>
      </c>
      <c r="P360" s="699"/>
      <c r="Q360" s="701">
        <v>0</v>
      </c>
      <c r="R360" s="696"/>
      <c r="S360" s="701">
        <v>0</v>
      </c>
      <c r="T360" s="700"/>
      <c r="U360" s="702">
        <v>0</v>
      </c>
    </row>
    <row r="361" spans="1:21" ht="14.4" customHeight="1" x14ac:dyDescent="0.3">
      <c r="A361" s="695">
        <v>7</v>
      </c>
      <c r="B361" s="696" t="s">
        <v>1978</v>
      </c>
      <c r="C361" s="696">
        <v>89301074</v>
      </c>
      <c r="D361" s="697" t="s">
        <v>3238</v>
      </c>
      <c r="E361" s="698" t="s">
        <v>2149</v>
      </c>
      <c r="F361" s="696" t="s">
        <v>2133</v>
      </c>
      <c r="G361" s="696" t="s">
        <v>2201</v>
      </c>
      <c r="H361" s="696" t="s">
        <v>547</v>
      </c>
      <c r="I361" s="696" t="s">
        <v>2957</v>
      </c>
      <c r="J361" s="696" t="s">
        <v>2958</v>
      </c>
      <c r="K361" s="696" t="s">
        <v>2559</v>
      </c>
      <c r="L361" s="699">
        <v>0</v>
      </c>
      <c r="M361" s="699">
        <v>0</v>
      </c>
      <c r="N361" s="696">
        <v>3</v>
      </c>
      <c r="O361" s="700">
        <v>0.5</v>
      </c>
      <c r="P361" s="699"/>
      <c r="Q361" s="701"/>
      <c r="R361" s="696"/>
      <c r="S361" s="701">
        <v>0</v>
      </c>
      <c r="T361" s="700"/>
      <c r="U361" s="702">
        <v>0</v>
      </c>
    </row>
    <row r="362" spans="1:21" ht="14.4" customHeight="1" x14ac:dyDescent="0.3">
      <c r="A362" s="695">
        <v>7</v>
      </c>
      <c r="B362" s="696" t="s">
        <v>1978</v>
      </c>
      <c r="C362" s="696">
        <v>89301074</v>
      </c>
      <c r="D362" s="697" t="s">
        <v>3238</v>
      </c>
      <c r="E362" s="698" t="s">
        <v>2149</v>
      </c>
      <c r="F362" s="696" t="s">
        <v>2133</v>
      </c>
      <c r="G362" s="696" t="s">
        <v>2288</v>
      </c>
      <c r="H362" s="696" t="s">
        <v>547</v>
      </c>
      <c r="I362" s="696" t="s">
        <v>2289</v>
      </c>
      <c r="J362" s="696" t="s">
        <v>2290</v>
      </c>
      <c r="K362" s="696" t="s">
        <v>838</v>
      </c>
      <c r="L362" s="699">
        <v>154.33000000000001</v>
      </c>
      <c r="M362" s="699">
        <v>10803.099999999999</v>
      </c>
      <c r="N362" s="696">
        <v>70</v>
      </c>
      <c r="O362" s="700">
        <v>27</v>
      </c>
      <c r="P362" s="699">
        <v>6018.869999999999</v>
      </c>
      <c r="Q362" s="701">
        <v>0.55714285714285716</v>
      </c>
      <c r="R362" s="696">
        <v>39</v>
      </c>
      <c r="S362" s="701">
        <v>0.55714285714285716</v>
      </c>
      <c r="T362" s="700">
        <v>18</v>
      </c>
      <c r="U362" s="702">
        <v>0.66666666666666663</v>
      </c>
    </row>
    <row r="363" spans="1:21" ht="14.4" customHeight="1" x14ac:dyDescent="0.3">
      <c r="A363" s="695">
        <v>7</v>
      </c>
      <c r="B363" s="696" t="s">
        <v>1978</v>
      </c>
      <c r="C363" s="696">
        <v>89301074</v>
      </c>
      <c r="D363" s="697" t="s">
        <v>3238</v>
      </c>
      <c r="E363" s="698" t="s">
        <v>2149</v>
      </c>
      <c r="F363" s="696" t="s">
        <v>2133</v>
      </c>
      <c r="G363" s="696" t="s">
        <v>2288</v>
      </c>
      <c r="H363" s="696" t="s">
        <v>547</v>
      </c>
      <c r="I363" s="696" t="s">
        <v>2800</v>
      </c>
      <c r="J363" s="696" t="s">
        <v>2801</v>
      </c>
      <c r="K363" s="696" t="s">
        <v>838</v>
      </c>
      <c r="L363" s="699">
        <v>60.97</v>
      </c>
      <c r="M363" s="699">
        <v>365.82</v>
      </c>
      <c r="N363" s="696">
        <v>6</v>
      </c>
      <c r="O363" s="700">
        <v>1.5</v>
      </c>
      <c r="P363" s="699">
        <v>243.88</v>
      </c>
      <c r="Q363" s="701">
        <v>0.66666666666666663</v>
      </c>
      <c r="R363" s="696">
        <v>4</v>
      </c>
      <c r="S363" s="701">
        <v>0.66666666666666663</v>
      </c>
      <c r="T363" s="700">
        <v>0.5</v>
      </c>
      <c r="U363" s="702">
        <v>0.33333333333333331</v>
      </c>
    </row>
    <row r="364" spans="1:21" ht="14.4" customHeight="1" x14ac:dyDescent="0.3">
      <c r="A364" s="695">
        <v>7</v>
      </c>
      <c r="B364" s="696" t="s">
        <v>1978</v>
      </c>
      <c r="C364" s="696">
        <v>89301074</v>
      </c>
      <c r="D364" s="697" t="s">
        <v>3238</v>
      </c>
      <c r="E364" s="698" t="s">
        <v>2149</v>
      </c>
      <c r="F364" s="696" t="s">
        <v>2133</v>
      </c>
      <c r="G364" s="696" t="s">
        <v>2288</v>
      </c>
      <c r="H364" s="696" t="s">
        <v>547</v>
      </c>
      <c r="I364" s="696" t="s">
        <v>2959</v>
      </c>
      <c r="J364" s="696" t="s">
        <v>2290</v>
      </c>
      <c r="K364" s="696" t="s">
        <v>838</v>
      </c>
      <c r="L364" s="699">
        <v>154.33000000000001</v>
      </c>
      <c r="M364" s="699">
        <v>308.66000000000003</v>
      </c>
      <c r="N364" s="696">
        <v>2</v>
      </c>
      <c r="O364" s="700"/>
      <c r="P364" s="699"/>
      <c r="Q364" s="701">
        <v>0</v>
      </c>
      <c r="R364" s="696"/>
      <c r="S364" s="701">
        <v>0</v>
      </c>
      <c r="T364" s="700"/>
      <c r="U364" s="702"/>
    </row>
    <row r="365" spans="1:21" ht="14.4" customHeight="1" x14ac:dyDescent="0.3">
      <c r="A365" s="695">
        <v>7</v>
      </c>
      <c r="B365" s="696" t="s">
        <v>1978</v>
      </c>
      <c r="C365" s="696">
        <v>89301074</v>
      </c>
      <c r="D365" s="697" t="s">
        <v>3238</v>
      </c>
      <c r="E365" s="698" t="s">
        <v>2149</v>
      </c>
      <c r="F365" s="696" t="s">
        <v>2133</v>
      </c>
      <c r="G365" s="696" t="s">
        <v>2960</v>
      </c>
      <c r="H365" s="696" t="s">
        <v>547</v>
      </c>
      <c r="I365" s="696" t="s">
        <v>2961</v>
      </c>
      <c r="J365" s="696" t="s">
        <v>2962</v>
      </c>
      <c r="K365" s="696" t="s">
        <v>2963</v>
      </c>
      <c r="L365" s="699">
        <v>139.46</v>
      </c>
      <c r="M365" s="699">
        <v>976.22</v>
      </c>
      <c r="N365" s="696">
        <v>7</v>
      </c>
      <c r="O365" s="700">
        <v>1.5</v>
      </c>
      <c r="P365" s="699">
        <v>418.38</v>
      </c>
      <c r="Q365" s="701">
        <v>0.42857142857142855</v>
      </c>
      <c r="R365" s="696">
        <v>3</v>
      </c>
      <c r="S365" s="701">
        <v>0.42857142857142855</v>
      </c>
      <c r="T365" s="700">
        <v>1</v>
      </c>
      <c r="U365" s="702">
        <v>0.66666666666666663</v>
      </c>
    </row>
    <row r="366" spans="1:21" ht="14.4" customHeight="1" x14ac:dyDescent="0.3">
      <c r="A366" s="695">
        <v>7</v>
      </c>
      <c r="B366" s="696" t="s">
        <v>1978</v>
      </c>
      <c r="C366" s="696">
        <v>89301074</v>
      </c>
      <c r="D366" s="697" t="s">
        <v>3238</v>
      </c>
      <c r="E366" s="698" t="s">
        <v>2149</v>
      </c>
      <c r="F366" s="696" t="s">
        <v>2133</v>
      </c>
      <c r="G366" s="696" t="s">
        <v>2194</v>
      </c>
      <c r="H366" s="696" t="s">
        <v>547</v>
      </c>
      <c r="I366" s="696" t="s">
        <v>2964</v>
      </c>
      <c r="J366" s="696" t="s">
        <v>2405</v>
      </c>
      <c r="K366" s="696" t="s">
        <v>2303</v>
      </c>
      <c r="L366" s="699">
        <v>0</v>
      </c>
      <c r="M366" s="699">
        <v>0</v>
      </c>
      <c r="N366" s="696">
        <v>4</v>
      </c>
      <c r="O366" s="700">
        <v>1.5</v>
      </c>
      <c r="P366" s="699">
        <v>0</v>
      </c>
      <c r="Q366" s="701"/>
      <c r="R366" s="696">
        <v>2</v>
      </c>
      <c r="S366" s="701">
        <v>0.5</v>
      </c>
      <c r="T366" s="700">
        <v>1</v>
      </c>
      <c r="U366" s="702">
        <v>0.66666666666666663</v>
      </c>
    </row>
    <row r="367" spans="1:21" ht="14.4" customHeight="1" x14ac:dyDescent="0.3">
      <c r="A367" s="695">
        <v>7</v>
      </c>
      <c r="B367" s="696" t="s">
        <v>1978</v>
      </c>
      <c r="C367" s="696">
        <v>89301074</v>
      </c>
      <c r="D367" s="697" t="s">
        <v>3238</v>
      </c>
      <c r="E367" s="698" t="s">
        <v>2149</v>
      </c>
      <c r="F367" s="696" t="s">
        <v>2133</v>
      </c>
      <c r="G367" s="696" t="s">
        <v>2194</v>
      </c>
      <c r="H367" s="696" t="s">
        <v>547</v>
      </c>
      <c r="I367" s="696" t="s">
        <v>2808</v>
      </c>
      <c r="J367" s="696" t="s">
        <v>2564</v>
      </c>
      <c r="K367" s="696" t="s">
        <v>2464</v>
      </c>
      <c r="L367" s="699">
        <v>0</v>
      </c>
      <c r="M367" s="699">
        <v>0</v>
      </c>
      <c r="N367" s="696">
        <v>1</v>
      </c>
      <c r="O367" s="700">
        <v>1</v>
      </c>
      <c r="P367" s="699">
        <v>0</v>
      </c>
      <c r="Q367" s="701"/>
      <c r="R367" s="696">
        <v>1</v>
      </c>
      <c r="S367" s="701">
        <v>1</v>
      </c>
      <c r="T367" s="700">
        <v>1</v>
      </c>
      <c r="U367" s="702">
        <v>1</v>
      </c>
    </row>
    <row r="368" spans="1:21" ht="14.4" customHeight="1" x14ac:dyDescent="0.3">
      <c r="A368" s="695">
        <v>7</v>
      </c>
      <c r="B368" s="696" t="s">
        <v>1978</v>
      </c>
      <c r="C368" s="696">
        <v>89301074</v>
      </c>
      <c r="D368" s="697" t="s">
        <v>3238</v>
      </c>
      <c r="E368" s="698" t="s">
        <v>2149</v>
      </c>
      <c r="F368" s="696" t="s">
        <v>2133</v>
      </c>
      <c r="G368" s="696" t="s">
        <v>2194</v>
      </c>
      <c r="H368" s="696" t="s">
        <v>547</v>
      </c>
      <c r="I368" s="696" t="s">
        <v>2565</v>
      </c>
      <c r="J368" s="696" t="s">
        <v>2564</v>
      </c>
      <c r="K368" s="696" t="s">
        <v>2406</v>
      </c>
      <c r="L368" s="699">
        <v>0</v>
      </c>
      <c r="M368" s="699">
        <v>0</v>
      </c>
      <c r="N368" s="696">
        <v>2</v>
      </c>
      <c r="O368" s="700">
        <v>0.5</v>
      </c>
      <c r="P368" s="699"/>
      <c r="Q368" s="701"/>
      <c r="R368" s="696"/>
      <c r="S368" s="701">
        <v>0</v>
      </c>
      <c r="T368" s="700"/>
      <c r="U368" s="702">
        <v>0</v>
      </c>
    </row>
    <row r="369" spans="1:21" ht="14.4" customHeight="1" x14ac:dyDescent="0.3">
      <c r="A369" s="695">
        <v>7</v>
      </c>
      <c r="B369" s="696" t="s">
        <v>1978</v>
      </c>
      <c r="C369" s="696">
        <v>89301074</v>
      </c>
      <c r="D369" s="697" t="s">
        <v>3238</v>
      </c>
      <c r="E369" s="698" t="s">
        <v>2151</v>
      </c>
      <c r="F369" s="696" t="s">
        <v>2133</v>
      </c>
      <c r="G369" s="696" t="s">
        <v>2609</v>
      </c>
      <c r="H369" s="696" t="s">
        <v>547</v>
      </c>
      <c r="I369" s="696" t="s">
        <v>2610</v>
      </c>
      <c r="J369" s="696" t="s">
        <v>2611</v>
      </c>
      <c r="K369" s="696" t="s">
        <v>2612</v>
      </c>
      <c r="L369" s="699">
        <v>35.409999999999997</v>
      </c>
      <c r="M369" s="699">
        <v>106.22999999999999</v>
      </c>
      <c r="N369" s="696">
        <v>3</v>
      </c>
      <c r="O369" s="700">
        <v>2.5</v>
      </c>
      <c r="P369" s="699">
        <v>35.409999999999997</v>
      </c>
      <c r="Q369" s="701">
        <v>0.33333333333333331</v>
      </c>
      <c r="R369" s="696">
        <v>1</v>
      </c>
      <c r="S369" s="701">
        <v>0.33333333333333331</v>
      </c>
      <c r="T369" s="700">
        <v>1</v>
      </c>
      <c r="U369" s="702">
        <v>0.4</v>
      </c>
    </row>
    <row r="370" spans="1:21" ht="14.4" customHeight="1" x14ac:dyDescent="0.3">
      <c r="A370" s="695">
        <v>7</v>
      </c>
      <c r="B370" s="696" t="s">
        <v>1978</v>
      </c>
      <c r="C370" s="696">
        <v>89301074</v>
      </c>
      <c r="D370" s="697" t="s">
        <v>3238</v>
      </c>
      <c r="E370" s="698" t="s">
        <v>2151</v>
      </c>
      <c r="F370" s="696" t="s">
        <v>2133</v>
      </c>
      <c r="G370" s="696" t="s">
        <v>2609</v>
      </c>
      <c r="H370" s="696" t="s">
        <v>547</v>
      </c>
      <c r="I370" s="696" t="s">
        <v>2613</v>
      </c>
      <c r="J370" s="696" t="s">
        <v>2611</v>
      </c>
      <c r="K370" s="696" t="s">
        <v>2614</v>
      </c>
      <c r="L370" s="699">
        <v>106.23</v>
      </c>
      <c r="M370" s="699">
        <v>743.61</v>
      </c>
      <c r="N370" s="696">
        <v>7</v>
      </c>
      <c r="O370" s="700">
        <v>3.5</v>
      </c>
      <c r="P370" s="699">
        <v>212.46</v>
      </c>
      <c r="Q370" s="701">
        <v>0.2857142857142857</v>
      </c>
      <c r="R370" s="696">
        <v>2</v>
      </c>
      <c r="S370" s="701">
        <v>0.2857142857142857</v>
      </c>
      <c r="T370" s="700">
        <v>1.5</v>
      </c>
      <c r="U370" s="702">
        <v>0.42857142857142855</v>
      </c>
    </row>
    <row r="371" spans="1:21" ht="14.4" customHeight="1" x14ac:dyDescent="0.3">
      <c r="A371" s="695">
        <v>7</v>
      </c>
      <c r="B371" s="696" t="s">
        <v>1978</v>
      </c>
      <c r="C371" s="696">
        <v>89301074</v>
      </c>
      <c r="D371" s="697" t="s">
        <v>3238</v>
      </c>
      <c r="E371" s="698" t="s">
        <v>2151</v>
      </c>
      <c r="F371" s="696" t="s">
        <v>2133</v>
      </c>
      <c r="G371" s="696" t="s">
        <v>2609</v>
      </c>
      <c r="H371" s="696" t="s">
        <v>547</v>
      </c>
      <c r="I371" s="696" t="s">
        <v>2615</v>
      </c>
      <c r="J371" s="696" t="s">
        <v>2611</v>
      </c>
      <c r="K371" s="696" t="s">
        <v>2614</v>
      </c>
      <c r="L371" s="699">
        <v>106.23</v>
      </c>
      <c r="M371" s="699">
        <v>106.23</v>
      </c>
      <c r="N371" s="696">
        <v>1</v>
      </c>
      <c r="O371" s="700">
        <v>0.5</v>
      </c>
      <c r="P371" s="699"/>
      <c r="Q371" s="701">
        <v>0</v>
      </c>
      <c r="R371" s="696"/>
      <c r="S371" s="701">
        <v>0</v>
      </c>
      <c r="T371" s="700"/>
      <c r="U371" s="702">
        <v>0</v>
      </c>
    </row>
    <row r="372" spans="1:21" ht="14.4" customHeight="1" x14ac:dyDescent="0.3">
      <c r="A372" s="695">
        <v>7</v>
      </c>
      <c r="B372" s="696" t="s">
        <v>1978</v>
      </c>
      <c r="C372" s="696">
        <v>89301074</v>
      </c>
      <c r="D372" s="697" t="s">
        <v>3238</v>
      </c>
      <c r="E372" s="698" t="s">
        <v>2151</v>
      </c>
      <c r="F372" s="696" t="s">
        <v>2133</v>
      </c>
      <c r="G372" s="696" t="s">
        <v>2965</v>
      </c>
      <c r="H372" s="696" t="s">
        <v>547</v>
      </c>
      <c r="I372" s="696" t="s">
        <v>978</v>
      </c>
      <c r="J372" s="696" t="s">
        <v>643</v>
      </c>
      <c r="K372" s="696" t="s">
        <v>2966</v>
      </c>
      <c r="L372" s="699">
        <v>35.380000000000003</v>
      </c>
      <c r="M372" s="699">
        <v>70.760000000000005</v>
      </c>
      <c r="N372" s="696">
        <v>2</v>
      </c>
      <c r="O372" s="700">
        <v>0.5</v>
      </c>
      <c r="P372" s="699"/>
      <c r="Q372" s="701">
        <v>0</v>
      </c>
      <c r="R372" s="696"/>
      <c r="S372" s="701">
        <v>0</v>
      </c>
      <c r="T372" s="700"/>
      <c r="U372" s="702">
        <v>0</v>
      </c>
    </row>
    <row r="373" spans="1:21" ht="14.4" customHeight="1" x14ac:dyDescent="0.3">
      <c r="A373" s="695">
        <v>7</v>
      </c>
      <c r="B373" s="696" t="s">
        <v>1978</v>
      </c>
      <c r="C373" s="696">
        <v>89301074</v>
      </c>
      <c r="D373" s="697" t="s">
        <v>3238</v>
      </c>
      <c r="E373" s="698" t="s">
        <v>2151</v>
      </c>
      <c r="F373" s="696" t="s">
        <v>2133</v>
      </c>
      <c r="G373" s="696" t="s">
        <v>2426</v>
      </c>
      <c r="H373" s="696" t="s">
        <v>547</v>
      </c>
      <c r="I373" s="696" t="s">
        <v>2427</v>
      </c>
      <c r="J373" s="696" t="s">
        <v>2428</v>
      </c>
      <c r="K373" s="696" t="s">
        <v>2429</v>
      </c>
      <c r="L373" s="699">
        <v>53.77</v>
      </c>
      <c r="M373" s="699">
        <v>53.77</v>
      </c>
      <c r="N373" s="696">
        <v>1</v>
      </c>
      <c r="O373" s="700">
        <v>1</v>
      </c>
      <c r="P373" s="699">
        <v>53.77</v>
      </c>
      <c r="Q373" s="701">
        <v>1</v>
      </c>
      <c r="R373" s="696">
        <v>1</v>
      </c>
      <c r="S373" s="701">
        <v>1</v>
      </c>
      <c r="T373" s="700">
        <v>1</v>
      </c>
      <c r="U373" s="702">
        <v>1</v>
      </c>
    </row>
    <row r="374" spans="1:21" ht="14.4" customHeight="1" x14ac:dyDescent="0.3">
      <c r="A374" s="695">
        <v>7</v>
      </c>
      <c r="B374" s="696" t="s">
        <v>1978</v>
      </c>
      <c r="C374" s="696">
        <v>89301074</v>
      </c>
      <c r="D374" s="697" t="s">
        <v>3238</v>
      </c>
      <c r="E374" s="698" t="s">
        <v>2151</v>
      </c>
      <c r="F374" s="696" t="s">
        <v>2133</v>
      </c>
      <c r="G374" s="696" t="s">
        <v>2426</v>
      </c>
      <c r="H374" s="696" t="s">
        <v>547</v>
      </c>
      <c r="I374" s="696" t="s">
        <v>2813</v>
      </c>
      <c r="J374" s="696" t="s">
        <v>2428</v>
      </c>
      <c r="K374" s="696" t="s">
        <v>2814</v>
      </c>
      <c r="L374" s="699">
        <v>0</v>
      </c>
      <c r="M374" s="699">
        <v>0</v>
      </c>
      <c r="N374" s="696">
        <v>3</v>
      </c>
      <c r="O374" s="700">
        <v>1.5</v>
      </c>
      <c r="P374" s="699">
        <v>0</v>
      </c>
      <c r="Q374" s="701"/>
      <c r="R374" s="696">
        <v>2</v>
      </c>
      <c r="S374" s="701">
        <v>0.66666666666666663</v>
      </c>
      <c r="T374" s="700">
        <v>1</v>
      </c>
      <c r="U374" s="702">
        <v>0.66666666666666663</v>
      </c>
    </row>
    <row r="375" spans="1:21" ht="14.4" customHeight="1" x14ac:dyDescent="0.3">
      <c r="A375" s="695">
        <v>7</v>
      </c>
      <c r="B375" s="696" t="s">
        <v>1978</v>
      </c>
      <c r="C375" s="696">
        <v>89301074</v>
      </c>
      <c r="D375" s="697" t="s">
        <v>3238</v>
      </c>
      <c r="E375" s="698" t="s">
        <v>2151</v>
      </c>
      <c r="F375" s="696" t="s">
        <v>2133</v>
      </c>
      <c r="G375" s="696" t="s">
        <v>2477</v>
      </c>
      <c r="H375" s="696" t="s">
        <v>547</v>
      </c>
      <c r="I375" s="696" t="s">
        <v>2967</v>
      </c>
      <c r="J375" s="696" t="s">
        <v>2479</v>
      </c>
      <c r="K375" s="696" t="s">
        <v>2480</v>
      </c>
      <c r="L375" s="699">
        <v>0</v>
      </c>
      <c r="M375" s="699">
        <v>0</v>
      </c>
      <c r="N375" s="696">
        <v>1</v>
      </c>
      <c r="O375" s="700">
        <v>1</v>
      </c>
      <c r="P375" s="699"/>
      <c r="Q375" s="701"/>
      <c r="R375" s="696"/>
      <c r="S375" s="701">
        <v>0</v>
      </c>
      <c r="T375" s="700"/>
      <c r="U375" s="702">
        <v>0</v>
      </c>
    </row>
    <row r="376" spans="1:21" ht="14.4" customHeight="1" x14ac:dyDescent="0.3">
      <c r="A376" s="695">
        <v>7</v>
      </c>
      <c r="B376" s="696" t="s">
        <v>1978</v>
      </c>
      <c r="C376" s="696">
        <v>89301074</v>
      </c>
      <c r="D376" s="697" t="s">
        <v>3238</v>
      </c>
      <c r="E376" s="698" t="s">
        <v>2151</v>
      </c>
      <c r="F376" s="696" t="s">
        <v>2133</v>
      </c>
      <c r="G376" s="696" t="s">
        <v>2624</v>
      </c>
      <c r="H376" s="696" t="s">
        <v>547</v>
      </c>
      <c r="I376" s="696" t="s">
        <v>2968</v>
      </c>
      <c r="J376" s="696" t="s">
        <v>2969</v>
      </c>
      <c r="K376" s="696" t="s">
        <v>2970</v>
      </c>
      <c r="L376" s="699">
        <v>1130.2</v>
      </c>
      <c r="M376" s="699">
        <v>6781.2000000000007</v>
      </c>
      <c r="N376" s="696">
        <v>6</v>
      </c>
      <c r="O376" s="700">
        <v>1</v>
      </c>
      <c r="P376" s="699"/>
      <c r="Q376" s="701">
        <v>0</v>
      </c>
      <c r="R376" s="696"/>
      <c r="S376" s="701">
        <v>0</v>
      </c>
      <c r="T376" s="700"/>
      <c r="U376" s="702">
        <v>0</v>
      </c>
    </row>
    <row r="377" spans="1:21" ht="14.4" customHeight="1" x14ac:dyDescent="0.3">
      <c r="A377" s="695">
        <v>7</v>
      </c>
      <c r="B377" s="696" t="s">
        <v>1978</v>
      </c>
      <c r="C377" s="696">
        <v>89301074</v>
      </c>
      <c r="D377" s="697" t="s">
        <v>3238</v>
      </c>
      <c r="E377" s="698" t="s">
        <v>2151</v>
      </c>
      <c r="F377" s="696" t="s">
        <v>2133</v>
      </c>
      <c r="G377" s="696" t="s">
        <v>2624</v>
      </c>
      <c r="H377" s="696" t="s">
        <v>1438</v>
      </c>
      <c r="I377" s="696" t="s">
        <v>2625</v>
      </c>
      <c r="J377" s="696" t="s">
        <v>2626</v>
      </c>
      <c r="K377" s="696" t="s">
        <v>2627</v>
      </c>
      <c r="L377" s="699">
        <v>1027.5999999999999</v>
      </c>
      <c r="M377" s="699">
        <v>21579.599999999999</v>
      </c>
      <c r="N377" s="696">
        <v>21</v>
      </c>
      <c r="O377" s="700">
        <v>6</v>
      </c>
      <c r="P377" s="699">
        <v>21579.599999999999</v>
      </c>
      <c r="Q377" s="701">
        <v>1</v>
      </c>
      <c r="R377" s="696">
        <v>21</v>
      </c>
      <c r="S377" s="701">
        <v>1</v>
      </c>
      <c r="T377" s="700">
        <v>6</v>
      </c>
      <c r="U377" s="702">
        <v>1</v>
      </c>
    </row>
    <row r="378" spans="1:21" ht="14.4" customHeight="1" x14ac:dyDescent="0.3">
      <c r="A378" s="695">
        <v>7</v>
      </c>
      <c r="B378" s="696" t="s">
        <v>1978</v>
      </c>
      <c r="C378" s="696">
        <v>89301074</v>
      </c>
      <c r="D378" s="697" t="s">
        <v>3238</v>
      </c>
      <c r="E378" s="698" t="s">
        <v>2151</v>
      </c>
      <c r="F378" s="696" t="s">
        <v>2133</v>
      </c>
      <c r="G378" s="696" t="s">
        <v>2624</v>
      </c>
      <c r="H378" s="696" t="s">
        <v>1438</v>
      </c>
      <c r="I378" s="696" t="s">
        <v>2625</v>
      </c>
      <c r="J378" s="696" t="s">
        <v>2626</v>
      </c>
      <c r="K378" s="696" t="s">
        <v>2627</v>
      </c>
      <c r="L378" s="699">
        <v>801.23</v>
      </c>
      <c r="M378" s="699">
        <v>1602.46</v>
      </c>
      <c r="N378" s="696">
        <v>2</v>
      </c>
      <c r="O378" s="700">
        <v>1</v>
      </c>
      <c r="P378" s="699">
        <v>1602.46</v>
      </c>
      <c r="Q378" s="701">
        <v>1</v>
      </c>
      <c r="R378" s="696">
        <v>2</v>
      </c>
      <c r="S378" s="701">
        <v>1</v>
      </c>
      <c r="T378" s="700">
        <v>1</v>
      </c>
      <c r="U378" s="702">
        <v>1</v>
      </c>
    </row>
    <row r="379" spans="1:21" ht="14.4" customHeight="1" x14ac:dyDescent="0.3">
      <c r="A379" s="695">
        <v>7</v>
      </c>
      <c r="B379" s="696" t="s">
        <v>1978</v>
      </c>
      <c r="C379" s="696">
        <v>89301074</v>
      </c>
      <c r="D379" s="697" t="s">
        <v>3238</v>
      </c>
      <c r="E379" s="698" t="s">
        <v>2151</v>
      </c>
      <c r="F379" s="696" t="s">
        <v>2133</v>
      </c>
      <c r="G379" s="696" t="s">
        <v>2624</v>
      </c>
      <c r="H379" s="696" t="s">
        <v>1438</v>
      </c>
      <c r="I379" s="696" t="s">
        <v>2815</v>
      </c>
      <c r="J379" s="696" t="s">
        <v>2816</v>
      </c>
      <c r="K379" s="696" t="s">
        <v>2817</v>
      </c>
      <c r="L379" s="699">
        <v>1509.4</v>
      </c>
      <c r="M379" s="699">
        <v>10565.800000000001</v>
      </c>
      <c r="N379" s="696">
        <v>7</v>
      </c>
      <c r="O379" s="700">
        <v>2</v>
      </c>
      <c r="P379" s="699">
        <v>10565.800000000001</v>
      </c>
      <c r="Q379" s="701">
        <v>1</v>
      </c>
      <c r="R379" s="696">
        <v>7</v>
      </c>
      <c r="S379" s="701">
        <v>1</v>
      </c>
      <c r="T379" s="700">
        <v>2</v>
      </c>
      <c r="U379" s="702">
        <v>1</v>
      </c>
    </row>
    <row r="380" spans="1:21" ht="14.4" customHeight="1" x14ac:dyDescent="0.3">
      <c r="A380" s="695">
        <v>7</v>
      </c>
      <c r="B380" s="696" t="s">
        <v>1978</v>
      </c>
      <c r="C380" s="696">
        <v>89301074</v>
      </c>
      <c r="D380" s="697" t="s">
        <v>3238</v>
      </c>
      <c r="E380" s="698" t="s">
        <v>2151</v>
      </c>
      <c r="F380" s="696" t="s">
        <v>2133</v>
      </c>
      <c r="G380" s="696" t="s">
        <v>2624</v>
      </c>
      <c r="H380" s="696" t="s">
        <v>1438</v>
      </c>
      <c r="I380" s="696" t="s">
        <v>2815</v>
      </c>
      <c r="J380" s="696" t="s">
        <v>2816</v>
      </c>
      <c r="K380" s="696" t="s">
        <v>2817</v>
      </c>
      <c r="L380" s="699">
        <v>1201.8399999999999</v>
      </c>
      <c r="M380" s="699">
        <v>7211.0399999999991</v>
      </c>
      <c r="N380" s="696">
        <v>6</v>
      </c>
      <c r="O380" s="700">
        <v>1</v>
      </c>
      <c r="P380" s="699">
        <v>7211.0399999999991</v>
      </c>
      <c r="Q380" s="701">
        <v>1</v>
      </c>
      <c r="R380" s="696">
        <v>6</v>
      </c>
      <c r="S380" s="701">
        <v>1</v>
      </c>
      <c r="T380" s="700">
        <v>1</v>
      </c>
      <c r="U380" s="702">
        <v>1</v>
      </c>
    </row>
    <row r="381" spans="1:21" ht="14.4" customHeight="1" x14ac:dyDescent="0.3">
      <c r="A381" s="695">
        <v>7</v>
      </c>
      <c r="B381" s="696" t="s">
        <v>1978</v>
      </c>
      <c r="C381" s="696">
        <v>89301074</v>
      </c>
      <c r="D381" s="697" t="s">
        <v>3238</v>
      </c>
      <c r="E381" s="698" t="s">
        <v>2151</v>
      </c>
      <c r="F381" s="696" t="s">
        <v>2133</v>
      </c>
      <c r="G381" s="696" t="s">
        <v>2624</v>
      </c>
      <c r="H381" s="696" t="s">
        <v>1438</v>
      </c>
      <c r="I381" s="696" t="s">
        <v>2818</v>
      </c>
      <c r="J381" s="696" t="s">
        <v>2819</v>
      </c>
      <c r="K381" s="696" t="s">
        <v>2820</v>
      </c>
      <c r="L381" s="699">
        <v>1896.14</v>
      </c>
      <c r="M381" s="699">
        <v>34130.520000000004</v>
      </c>
      <c r="N381" s="696">
        <v>18</v>
      </c>
      <c r="O381" s="700">
        <v>3</v>
      </c>
      <c r="P381" s="699">
        <v>22753.68</v>
      </c>
      <c r="Q381" s="701">
        <v>0.66666666666666663</v>
      </c>
      <c r="R381" s="696">
        <v>12</v>
      </c>
      <c r="S381" s="701">
        <v>0.66666666666666663</v>
      </c>
      <c r="T381" s="700">
        <v>2</v>
      </c>
      <c r="U381" s="702">
        <v>0.66666666666666663</v>
      </c>
    </row>
    <row r="382" spans="1:21" ht="14.4" customHeight="1" x14ac:dyDescent="0.3">
      <c r="A382" s="695">
        <v>7</v>
      </c>
      <c r="B382" s="696" t="s">
        <v>1978</v>
      </c>
      <c r="C382" s="696">
        <v>89301074</v>
      </c>
      <c r="D382" s="697" t="s">
        <v>3238</v>
      </c>
      <c r="E382" s="698" t="s">
        <v>2151</v>
      </c>
      <c r="F382" s="696" t="s">
        <v>2133</v>
      </c>
      <c r="G382" s="696" t="s">
        <v>2624</v>
      </c>
      <c r="H382" s="696" t="s">
        <v>1438</v>
      </c>
      <c r="I382" s="696" t="s">
        <v>2818</v>
      </c>
      <c r="J382" s="696" t="s">
        <v>2819</v>
      </c>
      <c r="K382" s="696" t="s">
        <v>2820</v>
      </c>
      <c r="L382" s="699">
        <v>1602.45</v>
      </c>
      <c r="M382" s="699">
        <v>9614.7000000000007</v>
      </c>
      <c r="N382" s="696">
        <v>6</v>
      </c>
      <c r="O382" s="700">
        <v>1</v>
      </c>
      <c r="P382" s="699">
        <v>9614.7000000000007</v>
      </c>
      <c r="Q382" s="701">
        <v>1</v>
      </c>
      <c r="R382" s="696">
        <v>6</v>
      </c>
      <c r="S382" s="701">
        <v>1</v>
      </c>
      <c r="T382" s="700">
        <v>1</v>
      </c>
      <c r="U382" s="702">
        <v>1</v>
      </c>
    </row>
    <row r="383" spans="1:21" ht="14.4" customHeight="1" x14ac:dyDescent="0.3">
      <c r="A383" s="695">
        <v>7</v>
      </c>
      <c r="B383" s="696" t="s">
        <v>1978</v>
      </c>
      <c r="C383" s="696">
        <v>89301074</v>
      </c>
      <c r="D383" s="697" t="s">
        <v>3238</v>
      </c>
      <c r="E383" s="698" t="s">
        <v>2151</v>
      </c>
      <c r="F383" s="696" t="s">
        <v>2133</v>
      </c>
      <c r="G383" s="696" t="s">
        <v>2212</v>
      </c>
      <c r="H383" s="696" t="s">
        <v>547</v>
      </c>
      <c r="I383" s="696" t="s">
        <v>2971</v>
      </c>
      <c r="J383" s="696" t="s">
        <v>2972</v>
      </c>
      <c r="K383" s="696" t="s">
        <v>2973</v>
      </c>
      <c r="L383" s="699">
        <v>0</v>
      </c>
      <c r="M383" s="699">
        <v>0</v>
      </c>
      <c r="N383" s="696">
        <v>1</v>
      </c>
      <c r="O383" s="700">
        <v>1</v>
      </c>
      <c r="P383" s="699"/>
      <c r="Q383" s="701"/>
      <c r="R383" s="696"/>
      <c r="S383" s="701">
        <v>0</v>
      </c>
      <c r="T383" s="700"/>
      <c r="U383" s="702">
        <v>0</v>
      </c>
    </row>
    <row r="384" spans="1:21" ht="14.4" customHeight="1" x14ac:dyDescent="0.3">
      <c r="A384" s="695">
        <v>7</v>
      </c>
      <c r="B384" s="696" t="s">
        <v>1978</v>
      </c>
      <c r="C384" s="696">
        <v>89301074</v>
      </c>
      <c r="D384" s="697" t="s">
        <v>3238</v>
      </c>
      <c r="E384" s="698" t="s">
        <v>2151</v>
      </c>
      <c r="F384" s="696" t="s">
        <v>2133</v>
      </c>
      <c r="G384" s="696" t="s">
        <v>2250</v>
      </c>
      <c r="H384" s="696" t="s">
        <v>1438</v>
      </c>
      <c r="I384" s="696" t="s">
        <v>2481</v>
      </c>
      <c r="J384" s="696" t="s">
        <v>2482</v>
      </c>
      <c r="K384" s="696" t="s">
        <v>834</v>
      </c>
      <c r="L384" s="699">
        <v>216.16</v>
      </c>
      <c r="M384" s="699">
        <v>648.48</v>
      </c>
      <c r="N384" s="696">
        <v>3</v>
      </c>
      <c r="O384" s="700">
        <v>0.5</v>
      </c>
      <c r="P384" s="699"/>
      <c r="Q384" s="701">
        <v>0</v>
      </c>
      <c r="R384" s="696"/>
      <c r="S384" s="701">
        <v>0</v>
      </c>
      <c r="T384" s="700"/>
      <c r="U384" s="702">
        <v>0</v>
      </c>
    </row>
    <row r="385" spans="1:21" ht="14.4" customHeight="1" x14ac:dyDescent="0.3">
      <c r="A385" s="695">
        <v>7</v>
      </c>
      <c r="B385" s="696" t="s">
        <v>1978</v>
      </c>
      <c r="C385" s="696">
        <v>89301074</v>
      </c>
      <c r="D385" s="697" t="s">
        <v>3238</v>
      </c>
      <c r="E385" s="698" t="s">
        <v>2151</v>
      </c>
      <c r="F385" s="696" t="s">
        <v>2133</v>
      </c>
      <c r="G385" s="696" t="s">
        <v>2250</v>
      </c>
      <c r="H385" s="696" t="s">
        <v>1438</v>
      </c>
      <c r="I385" s="696" t="s">
        <v>2824</v>
      </c>
      <c r="J385" s="696" t="s">
        <v>2825</v>
      </c>
      <c r="K385" s="696" t="s">
        <v>2826</v>
      </c>
      <c r="L385" s="699">
        <v>162.13</v>
      </c>
      <c r="M385" s="699">
        <v>1297.04</v>
      </c>
      <c r="N385" s="696">
        <v>8</v>
      </c>
      <c r="O385" s="700">
        <v>2</v>
      </c>
      <c r="P385" s="699">
        <v>1297.04</v>
      </c>
      <c r="Q385" s="701">
        <v>1</v>
      </c>
      <c r="R385" s="696">
        <v>8</v>
      </c>
      <c r="S385" s="701">
        <v>1</v>
      </c>
      <c r="T385" s="700">
        <v>2</v>
      </c>
      <c r="U385" s="702">
        <v>1</v>
      </c>
    </row>
    <row r="386" spans="1:21" ht="14.4" customHeight="1" x14ac:dyDescent="0.3">
      <c r="A386" s="695">
        <v>7</v>
      </c>
      <c r="B386" s="696" t="s">
        <v>1978</v>
      </c>
      <c r="C386" s="696">
        <v>89301074</v>
      </c>
      <c r="D386" s="697" t="s">
        <v>3238</v>
      </c>
      <c r="E386" s="698" t="s">
        <v>2151</v>
      </c>
      <c r="F386" s="696" t="s">
        <v>2133</v>
      </c>
      <c r="G386" s="696" t="s">
        <v>2250</v>
      </c>
      <c r="H386" s="696" t="s">
        <v>547</v>
      </c>
      <c r="I386" s="696" t="s">
        <v>2251</v>
      </c>
      <c r="J386" s="696" t="s">
        <v>2252</v>
      </c>
      <c r="K386" s="696" t="s">
        <v>2253</v>
      </c>
      <c r="L386" s="699">
        <v>201.75</v>
      </c>
      <c r="M386" s="699">
        <v>201.75</v>
      </c>
      <c r="N386" s="696">
        <v>1</v>
      </c>
      <c r="O386" s="700">
        <v>1</v>
      </c>
      <c r="P386" s="699">
        <v>201.75</v>
      </c>
      <c r="Q386" s="701">
        <v>1</v>
      </c>
      <c r="R386" s="696">
        <v>1</v>
      </c>
      <c r="S386" s="701">
        <v>1</v>
      </c>
      <c r="T386" s="700">
        <v>1</v>
      </c>
      <c r="U386" s="702">
        <v>1</v>
      </c>
    </row>
    <row r="387" spans="1:21" ht="14.4" customHeight="1" x14ac:dyDescent="0.3">
      <c r="A387" s="695">
        <v>7</v>
      </c>
      <c r="B387" s="696" t="s">
        <v>1978</v>
      </c>
      <c r="C387" s="696">
        <v>89301074</v>
      </c>
      <c r="D387" s="697" t="s">
        <v>3238</v>
      </c>
      <c r="E387" s="698" t="s">
        <v>2151</v>
      </c>
      <c r="F387" s="696" t="s">
        <v>2133</v>
      </c>
      <c r="G387" s="696" t="s">
        <v>2341</v>
      </c>
      <c r="H387" s="696" t="s">
        <v>547</v>
      </c>
      <c r="I387" s="696" t="s">
        <v>2974</v>
      </c>
      <c r="J387" s="696" t="s">
        <v>2975</v>
      </c>
      <c r="K387" s="696" t="s">
        <v>2976</v>
      </c>
      <c r="L387" s="699">
        <v>0</v>
      </c>
      <c r="M387" s="699">
        <v>0</v>
      </c>
      <c r="N387" s="696">
        <v>1</v>
      </c>
      <c r="O387" s="700">
        <v>1</v>
      </c>
      <c r="P387" s="699">
        <v>0</v>
      </c>
      <c r="Q387" s="701"/>
      <c r="R387" s="696">
        <v>1</v>
      </c>
      <c r="S387" s="701">
        <v>1</v>
      </c>
      <c r="T387" s="700">
        <v>1</v>
      </c>
      <c r="U387" s="702">
        <v>1</v>
      </c>
    </row>
    <row r="388" spans="1:21" ht="14.4" customHeight="1" x14ac:dyDescent="0.3">
      <c r="A388" s="695">
        <v>7</v>
      </c>
      <c r="B388" s="696" t="s">
        <v>1978</v>
      </c>
      <c r="C388" s="696">
        <v>89301074</v>
      </c>
      <c r="D388" s="697" t="s">
        <v>3238</v>
      </c>
      <c r="E388" s="698" t="s">
        <v>2151</v>
      </c>
      <c r="F388" s="696" t="s">
        <v>2133</v>
      </c>
      <c r="G388" s="696" t="s">
        <v>2364</v>
      </c>
      <c r="H388" s="696" t="s">
        <v>547</v>
      </c>
      <c r="I388" s="696" t="s">
        <v>2630</v>
      </c>
      <c r="J388" s="696" t="s">
        <v>2631</v>
      </c>
      <c r="K388" s="696" t="s">
        <v>2632</v>
      </c>
      <c r="L388" s="699">
        <v>0</v>
      </c>
      <c r="M388" s="699">
        <v>0</v>
      </c>
      <c r="N388" s="696">
        <v>1</v>
      </c>
      <c r="O388" s="700">
        <v>0.5</v>
      </c>
      <c r="P388" s="699">
        <v>0</v>
      </c>
      <c r="Q388" s="701"/>
      <c r="R388" s="696">
        <v>1</v>
      </c>
      <c r="S388" s="701">
        <v>1</v>
      </c>
      <c r="T388" s="700">
        <v>0.5</v>
      </c>
      <c r="U388" s="702">
        <v>1</v>
      </c>
    </row>
    <row r="389" spans="1:21" ht="14.4" customHeight="1" x14ac:dyDescent="0.3">
      <c r="A389" s="695">
        <v>7</v>
      </c>
      <c r="B389" s="696" t="s">
        <v>1978</v>
      </c>
      <c r="C389" s="696">
        <v>89301074</v>
      </c>
      <c r="D389" s="697" t="s">
        <v>3238</v>
      </c>
      <c r="E389" s="698" t="s">
        <v>2151</v>
      </c>
      <c r="F389" s="696" t="s">
        <v>2133</v>
      </c>
      <c r="G389" s="696" t="s">
        <v>2364</v>
      </c>
      <c r="H389" s="696" t="s">
        <v>547</v>
      </c>
      <c r="I389" s="696" t="s">
        <v>2977</v>
      </c>
      <c r="J389" s="696" t="s">
        <v>2366</v>
      </c>
      <c r="K389" s="696" t="s">
        <v>2978</v>
      </c>
      <c r="L389" s="699">
        <v>0</v>
      </c>
      <c r="M389" s="699">
        <v>0</v>
      </c>
      <c r="N389" s="696">
        <v>3</v>
      </c>
      <c r="O389" s="700">
        <v>1</v>
      </c>
      <c r="P389" s="699"/>
      <c r="Q389" s="701"/>
      <c r="R389" s="696"/>
      <c r="S389" s="701">
        <v>0</v>
      </c>
      <c r="T389" s="700"/>
      <c r="U389" s="702">
        <v>0</v>
      </c>
    </row>
    <row r="390" spans="1:21" ht="14.4" customHeight="1" x14ac:dyDescent="0.3">
      <c r="A390" s="695">
        <v>7</v>
      </c>
      <c r="B390" s="696" t="s">
        <v>1978</v>
      </c>
      <c r="C390" s="696">
        <v>89301074</v>
      </c>
      <c r="D390" s="697" t="s">
        <v>3238</v>
      </c>
      <c r="E390" s="698" t="s">
        <v>2151</v>
      </c>
      <c r="F390" s="696" t="s">
        <v>2133</v>
      </c>
      <c r="G390" s="696" t="s">
        <v>2364</v>
      </c>
      <c r="H390" s="696" t="s">
        <v>547</v>
      </c>
      <c r="I390" s="696" t="s">
        <v>2365</v>
      </c>
      <c r="J390" s="696" t="s">
        <v>2366</v>
      </c>
      <c r="K390" s="696" t="s">
        <v>2367</v>
      </c>
      <c r="L390" s="699">
        <v>0</v>
      </c>
      <c r="M390" s="699">
        <v>0</v>
      </c>
      <c r="N390" s="696">
        <v>1</v>
      </c>
      <c r="O390" s="700">
        <v>0.5</v>
      </c>
      <c r="P390" s="699"/>
      <c r="Q390" s="701"/>
      <c r="R390" s="696"/>
      <c r="S390" s="701">
        <v>0</v>
      </c>
      <c r="T390" s="700"/>
      <c r="U390" s="702">
        <v>0</v>
      </c>
    </row>
    <row r="391" spans="1:21" ht="14.4" customHeight="1" x14ac:dyDescent="0.3">
      <c r="A391" s="695">
        <v>7</v>
      </c>
      <c r="B391" s="696" t="s">
        <v>1978</v>
      </c>
      <c r="C391" s="696">
        <v>89301074</v>
      </c>
      <c r="D391" s="697" t="s">
        <v>3238</v>
      </c>
      <c r="E391" s="698" t="s">
        <v>2151</v>
      </c>
      <c r="F391" s="696" t="s">
        <v>2133</v>
      </c>
      <c r="G391" s="696" t="s">
        <v>2364</v>
      </c>
      <c r="H391" s="696" t="s">
        <v>547</v>
      </c>
      <c r="I391" s="696" t="s">
        <v>2979</v>
      </c>
      <c r="J391" s="696" t="s">
        <v>2631</v>
      </c>
      <c r="K391" s="696" t="s">
        <v>2980</v>
      </c>
      <c r="L391" s="699">
        <v>0</v>
      </c>
      <c r="M391" s="699">
        <v>0</v>
      </c>
      <c r="N391" s="696">
        <v>1</v>
      </c>
      <c r="O391" s="700">
        <v>0.5</v>
      </c>
      <c r="P391" s="699">
        <v>0</v>
      </c>
      <c r="Q391" s="701"/>
      <c r="R391" s="696">
        <v>1</v>
      </c>
      <c r="S391" s="701">
        <v>1</v>
      </c>
      <c r="T391" s="700">
        <v>0.5</v>
      </c>
      <c r="U391" s="702">
        <v>1</v>
      </c>
    </row>
    <row r="392" spans="1:21" ht="14.4" customHeight="1" x14ac:dyDescent="0.3">
      <c r="A392" s="695">
        <v>7</v>
      </c>
      <c r="B392" s="696" t="s">
        <v>1978</v>
      </c>
      <c r="C392" s="696">
        <v>89301074</v>
      </c>
      <c r="D392" s="697" t="s">
        <v>3238</v>
      </c>
      <c r="E392" s="698" t="s">
        <v>2151</v>
      </c>
      <c r="F392" s="696" t="s">
        <v>2133</v>
      </c>
      <c r="G392" s="696" t="s">
        <v>2364</v>
      </c>
      <c r="H392" s="696" t="s">
        <v>547</v>
      </c>
      <c r="I392" s="696" t="s">
        <v>2836</v>
      </c>
      <c r="J392" s="696" t="s">
        <v>2832</v>
      </c>
      <c r="K392" s="696" t="s">
        <v>2837</v>
      </c>
      <c r="L392" s="699">
        <v>0</v>
      </c>
      <c r="M392" s="699">
        <v>0</v>
      </c>
      <c r="N392" s="696">
        <v>1</v>
      </c>
      <c r="O392" s="700">
        <v>1</v>
      </c>
      <c r="P392" s="699">
        <v>0</v>
      </c>
      <c r="Q392" s="701"/>
      <c r="R392" s="696">
        <v>1</v>
      </c>
      <c r="S392" s="701">
        <v>1</v>
      </c>
      <c r="T392" s="700">
        <v>1</v>
      </c>
      <c r="U392" s="702">
        <v>1</v>
      </c>
    </row>
    <row r="393" spans="1:21" ht="14.4" customHeight="1" x14ac:dyDescent="0.3">
      <c r="A393" s="695">
        <v>7</v>
      </c>
      <c r="B393" s="696" t="s">
        <v>1978</v>
      </c>
      <c r="C393" s="696">
        <v>89301074</v>
      </c>
      <c r="D393" s="697" t="s">
        <v>3238</v>
      </c>
      <c r="E393" s="698" t="s">
        <v>2151</v>
      </c>
      <c r="F393" s="696" t="s">
        <v>2133</v>
      </c>
      <c r="G393" s="696" t="s">
        <v>2364</v>
      </c>
      <c r="H393" s="696" t="s">
        <v>547</v>
      </c>
      <c r="I393" s="696" t="s">
        <v>2981</v>
      </c>
      <c r="J393" s="696" t="s">
        <v>2366</v>
      </c>
      <c r="K393" s="696" t="s">
        <v>2982</v>
      </c>
      <c r="L393" s="699">
        <v>0</v>
      </c>
      <c r="M393" s="699">
        <v>0</v>
      </c>
      <c r="N393" s="696">
        <v>2</v>
      </c>
      <c r="O393" s="700">
        <v>0.5</v>
      </c>
      <c r="P393" s="699">
        <v>0</v>
      </c>
      <c r="Q393" s="701"/>
      <c r="R393" s="696">
        <v>2</v>
      </c>
      <c r="S393" s="701">
        <v>1</v>
      </c>
      <c r="T393" s="700">
        <v>0.5</v>
      </c>
      <c r="U393" s="702">
        <v>1</v>
      </c>
    </row>
    <row r="394" spans="1:21" ht="14.4" customHeight="1" x14ac:dyDescent="0.3">
      <c r="A394" s="695">
        <v>7</v>
      </c>
      <c r="B394" s="696" t="s">
        <v>1978</v>
      </c>
      <c r="C394" s="696">
        <v>89301074</v>
      </c>
      <c r="D394" s="697" t="s">
        <v>3238</v>
      </c>
      <c r="E394" s="698" t="s">
        <v>2151</v>
      </c>
      <c r="F394" s="696" t="s">
        <v>2133</v>
      </c>
      <c r="G394" s="696" t="s">
        <v>2375</v>
      </c>
      <c r="H394" s="696" t="s">
        <v>547</v>
      </c>
      <c r="I394" s="696" t="s">
        <v>2376</v>
      </c>
      <c r="J394" s="696" t="s">
        <v>2377</v>
      </c>
      <c r="K394" s="696" t="s">
        <v>2378</v>
      </c>
      <c r="L394" s="699">
        <v>115.3</v>
      </c>
      <c r="M394" s="699">
        <v>230.6</v>
      </c>
      <c r="N394" s="696">
        <v>2</v>
      </c>
      <c r="O394" s="700">
        <v>1</v>
      </c>
      <c r="P394" s="699">
        <v>230.6</v>
      </c>
      <c r="Q394" s="701">
        <v>1</v>
      </c>
      <c r="R394" s="696">
        <v>2</v>
      </c>
      <c r="S394" s="701">
        <v>1</v>
      </c>
      <c r="T394" s="700">
        <v>1</v>
      </c>
      <c r="U394" s="702">
        <v>1</v>
      </c>
    </row>
    <row r="395" spans="1:21" ht="14.4" customHeight="1" x14ac:dyDescent="0.3">
      <c r="A395" s="695">
        <v>7</v>
      </c>
      <c r="B395" s="696" t="s">
        <v>1978</v>
      </c>
      <c r="C395" s="696">
        <v>89301074</v>
      </c>
      <c r="D395" s="697" t="s">
        <v>3238</v>
      </c>
      <c r="E395" s="698" t="s">
        <v>2151</v>
      </c>
      <c r="F395" s="696" t="s">
        <v>2133</v>
      </c>
      <c r="G395" s="696" t="s">
        <v>2633</v>
      </c>
      <c r="H395" s="696" t="s">
        <v>547</v>
      </c>
      <c r="I395" s="696" t="s">
        <v>2634</v>
      </c>
      <c r="J395" s="696" t="s">
        <v>2635</v>
      </c>
      <c r="K395" s="696" t="s">
        <v>2636</v>
      </c>
      <c r="L395" s="699">
        <v>25.8</v>
      </c>
      <c r="M395" s="699">
        <v>283.80000000000007</v>
      </c>
      <c r="N395" s="696">
        <v>11</v>
      </c>
      <c r="O395" s="700">
        <v>3</v>
      </c>
      <c r="P395" s="699">
        <v>77.400000000000006</v>
      </c>
      <c r="Q395" s="701">
        <v>0.27272727272727271</v>
      </c>
      <c r="R395" s="696">
        <v>3</v>
      </c>
      <c r="S395" s="701">
        <v>0.27272727272727271</v>
      </c>
      <c r="T395" s="700">
        <v>1</v>
      </c>
      <c r="U395" s="702">
        <v>0.33333333333333331</v>
      </c>
    </row>
    <row r="396" spans="1:21" ht="14.4" customHeight="1" x14ac:dyDescent="0.3">
      <c r="A396" s="695">
        <v>7</v>
      </c>
      <c r="B396" s="696" t="s">
        <v>1978</v>
      </c>
      <c r="C396" s="696">
        <v>89301074</v>
      </c>
      <c r="D396" s="697" t="s">
        <v>3238</v>
      </c>
      <c r="E396" s="698" t="s">
        <v>2151</v>
      </c>
      <c r="F396" s="696" t="s">
        <v>2133</v>
      </c>
      <c r="G396" s="696" t="s">
        <v>2633</v>
      </c>
      <c r="H396" s="696" t="s">
        <v>547</v>
      </c>
      <c r="I396" s="696" t="s">
        <v>2637</v>
      </c>
      <c r="J396" s="696" t="s">
        <v>2638</v>
      </c>
      <c r="K396" s="696" t="s">
        <v>2639</v>
      </c>
      <c r="L396" s="699">
        <v>77.42</v>
      </c>
      <c r="M396" s="699">
        <v>2167.7600000000002</v>
      </c>
      <c r="N396" s="696">
        <v>28</v>
      </c>
      <c r="O396" s="700">
        <v>6</v>
      </c>
      <c r="P396" s="699">
        <v>1083.8800000000001</v>
      </c>
      <c r="Q396" s="701">
        <v>0.5</v>
      </c>
      <c r="R396" s="696">
        <v>14</v>
      </c>
      <c r="S396" s="701">
        <v>0.5</v>
      </c>
      <c r="T396" s="700">
        <v>2.5</v>
      </c>
      <c r="U396" s="702">
        <v>0.41666666666666669</v>
      </c>
    </row>
    <row r="397" spans="1:21" ht="14.4" customHeight="1" x14ac:dyDescent="0.3">
      <c r="A397" s="695">
        <v>7</v>
      </c>
      <c r="B397" s="696" t="s">
        <v>1978</v>
      </c>
      <c r="C397" s="696">
        <v>89301074</v>
      </c>
      <c r="D397" s="697" t="s">
        <v>3238</v>
      </c>
      <c r="E397" s="698" t="s">
        <v>2151</v>
      </c>
      <c r="F397" s="696" t="s">
        <v>2133</v>
      </c>
      <c r="G397" s="696" t="s">
        <v>2593</v>
      </c>
      <c r="H397" s="696" t="s">
        <v>1438</v>
      </c>
      <c r="I397" s="696" t="s">
        <v>2848</v>
      </c>
      <c r="J397" s="696" t="s">
        <v>2849</v>
      </c>
      <c r="K397" s="696" t="s">
        <v>2406</v>
      </c>
      <c r="L397" s="699">
        <v>232.44</v>
      </c>
      <c r="M397" s="699">
        <v>464.88</v>
      </c>
      <c r="N397" s="696">
        <v>2</v>
      </c>
      <c r="O397" s="700">
        <v>1</v>
      </c>
      <c r="P397" s="699"/>
      <c r="Q397" s="701">
        <v>0</v>
      </c>
      <c r="R397" s="696"/>
      <c r="S397" s="701">
        <v>0</v>
      </c>
      <c r="T397" s="700"/>
      <c r="U397" s="702">
        <v>0</v>
      </c>
    </row>
    <row r="398" spans="1:21" ht="14.4" customHeight="1" x14ac:dyDescent="0.3">
      <c r="A398" s="695">
        <v>7</v>
      </c>
      <c r="B398" s="696" t="s">
        <v>1978</v>
      </c>
      <c r="C398" s="696">
        <v>89301074</v>
      </c>
      <c r="D398" s="697" t="s">
        <v>3238</v>
      </c>
      <c r="E398" s="698" t="s">
        <v>2151</v>
      </c>
      <c r="F398" s="696" t="s">
        <v>2133</v>
      </c>
      <c r="G398" s="696" t="s">
        <v>2434</v>
      </c>
      <c r="H398" s="696" t="s">
        <v>547</v>
      </c>
      <c r="I398" s="696" t="s">
        <v>2647</v>
      </c>
      <c r="J398" s="696" t="s">
        <v>2648</v>
      </c>
      <c r="K398" s="696" t="s">
        <v>2649</v>
      </c>
      <c r="L398" s="699">
        <v>629.07000000000005</v>
      </c>
      <c r="M398" s="699">
        <v>8806.98</v>
      </c>
      <c r="N398" s="696">
        <v>14</v>
      </c>
      <c r="O398" s="700">
        <v>3</v>
      </c>
      <c r="P398" s="699">
        <v>5032.5600000000004</v>
      </c>
      <c r="Q398" s="701">
        <v>0.57142857142857151</v>
      </c>
      <c r="R398" s="696">
        <v>8</v>
      </c>
      <c r="S398" s="701">
        <v>0.5714285714285714</v>
      </c>
      <c r="T398" s="700">
        <v>2</v>
      </c>
      <c r="U398" s="702">
        <v>0.66666666666666663</v>
      </c>
    </row>
    <row r="399" spans="1:21" ht="14.4" customHeight="1" x14ac:dyDescent="0.3">
      <c r="A399" s="695">
        <v>7</v>
      </c>
      <c r="B399" s="696" t="s">
        <v>1978</v>
      </c>
      <c r="C399" s="696">
        <v>89301074</v>
      </c>
      <c r="D399" s="697" t="s">
        <v>3238</v>
      </c>
      <c r="E399" s="698" t="s">
        <v>2151</v>
      </c>
      <c r="F399" s="696" t="s">
        <v>2133</v>
      </c>
      <c r="G399" s="696" t="s">
        <v>2434</v>
      </c>
      <c r="H399" s="696" t="s">
        <v>547</v>
      </c>
      <c r="I399" s="696" t="s">
        <v>2983</v>
      </c>
      <c r="J399" s="696" t="s">
        <v>2984</v>
      </c>
      <c r="K399" s="696" t="s">
        <v>2985</v>
      </c>
      <c r="L399" s="699">
        <v>0</v>
      </c>
      <c r="M399" s="699">
        <v>0</v>
      </c>
      <c r="N399" s="696">
        <v>6</v>
      </c>
      <c r="O399" s="700">
        <v>1</v>
      </c>
      <c r="P399" s="699">
        <v>0</v>
      </c>
      <c r="Q399" s="701"/>
      <c r="R399" s="696">
        <v>6</v>
      </c>
      <c r="S399" s="701">
        <v>1</v>
      </c>
      <c r="T399" s="700">
        <v>1</v>
      </c>
      <c r="U399" s="702">
        <v>1</v>
      </c>
    </row>
    <row r="400" spans="1:21" ht="14.4" customHeight="1" x14ac:dyDescent="0.3">
      <c r="A400" s="695">
        <v>7</v>
      </c>
      <c r="B400" s="696" t="s">
        <v>1978</v>
      </c>
      <c r="C400" s="696">
        <v>89301074</v>
      </c>
      <c r="D400" s="697" t="s">
        <v>3238</v>
      </c>
      <c r="E400" s="698" t="s">
        <v>2151</v>
      </c>
      <c r="F400" s="696" t="s">
        <v>2133</v>
      </c>
      <c r="G400" s="696" t="s">
        <v>2434</v>
      </c>
      <c r="H400" s="696" t="s">
        <v>547</v>
      </c>
      <c r="I400" s="696" t="s">
        <v>2850</v>
      </c>
      <c r="J400" s="696" t="s">
        <v>2851</v>
      </c>
      <c r="K400" s="696" t="s">
        <v>2852</v>
      </c>
      <c r="L400" s="699">
        <v>1416.79</v>
      </c>
      <c r="M400" s="699">
        <v>8500.74</v>
      </c>
      <c r="N400" s="696">
        <v>6</v>
      </c>
      <c r="O400" s="700">
        <v>1</v>
      </c>
      <c r="P400" s="699"/>
      <c r="Q400" s="701">
        <v>0</v>
      </c>
      <c r="R400" s="696"/>
      <c r="S400" s="701">
        <v>0</v>
      </c>
      <c r="T400" s="700"/>
      <c r="U400" s="702">
        <v>0</v>
      </c>
    </row>
    <row r="401" spans="1:21" ht="14.4" customHeight="1" x14ac:dyDescent="0.3">
      <c r="A401" s="695">
        <v>7</v>
      </c>
      <c r="B401" s="696" t="s">
        <v>1978</v>
      </c>
      <c r="C401" s="696">
        <v>89301074</v>
      </c>
      <c r="D401" s="697" t="s">
        <v>3238</v>
      </c>
      <c r="E401" s="698" t="s">
        <v>2151</v>
      </c>
      <c r="F401" s="696" t="s">
        <v>2133</v>
      </c>
      <c r="G401" s="696" t="s">
        <v>2434</v>
      </c>
      <c r="H401" s="696" t="s">
        <v>547</v>
      </c>
      <c r="I401" s="696" t="s">
        <v>2650</v>
      </c>
      <c r="J401" s="696" t="s">
        <v>2651</v>
      </c>
      <c r="K401" s="696" t="s">
        <v>2652</v>
      </c>
      <c r="L401" s="699">
        <v>5889.6</v>
      </c>
      <c r="M401" s="699">
        <v>11779.2</v>
      </c>
      <c r="N401" s="696">
        <v>2</v>
      </c>
      <c r="O401" s="700">
        <v>1</v>
      </c>
      <c r="P401" s="699"/>
      <c r="Q401" s="701">
        <v>0</v>
      </c>
      <c r="R401" s="696"/>
      <c r="S401" s="701">
        <v>0</v>
      </c>
      <c r="T401" s="700"/>
      <c r="U401" s="702">
        <v>0</v>
      </c>
    </row>
    <row r="402" spans="1:21" ht="14.4" customHeight="1" x14ac:dyDescent="0.3">
      <c r="A402" s="695">
        <v>7</v>
      </c>
      <c r="B402" s="696" t="s">
        <v>1978</v>
      </c>
      <c r="C402" s="696">
        <v>89301074</v>
      </c>
      <c r="D402" s="697" t="s">
        <v>3238</v>
      </c>
      <c r="E402" s="698" t="s">
        <v>2151</v>
      </c>
      <c r="F402" s="696" t="s">
        <v>2133</v>
      </c>
      <c r="G402" s="696" t="s">
        <v>2434</v>
      </c>
      <c r="H402" s="696" t="s">
        <v>547</v>
      </c>
      <c r="I402" s="696" t="s">
        <v>2986</v>
      </c>
      <c r="J402" s="696" t="s">
        <v>2987</v>
      </c>
      <c r="K402" s="696" t="s">
        <v>2652</v>
      </c>
      <c r="L402" s="699">
        <v>5891.32</v>
      </c>
      <c r="M402" s="699">
        <v>29456.6</v>
      </c>
      <c r="N402" s="696">
        <v>5</v>
      </c>
      <c r="O402" s="700">
        <v>2</v>
      </c>
      <c r="P402" s="699"/>
      <c r="Q402" s="701">
        <v>0</v>
      </c>
      <c r="R402" s="696"/>
      <c r="S402" s="701">
        <v>0</v>
      </c>
      <c r="T402" s="700"/>
      <c r="U402" s="702">
        <v>0</v>
      </c>
    </row>
    <row r="403" spans="1:21" ht="14.4" customHeight="1" x14ac:dyDescent="0.3">
      <c r="A403" s="695">
        <v>7</v>
      </c>
      <c r="B403" s="696" t="s">
        <v>1978</v>
      </c>
      <c r="C403" s="696">
        <v>89301074</v>
      </c>
      <c r="D403" s="697" t="s">
        <v>3238</v>
      </c>
      <c r="E403" s="698" t="s">
        <v>2151</v>
      </c>
      <c r="F403" s="696" t="s">
        <v>2133</v>
      </c>
      <c r="G403" s="696" t="s">
        <v>2434</v>
      </c>
      <c r="H403" s="696" t="s">
        <v>547</v>
      </c>
      <c r="I403" s="696" t="s">
        <v>2988</v>
      </c>
      <c r="J403" s="696" t="s">
        <v>2860</v>
      </c>
      <c r="K403" s="696" t="s">
        <v>2989</v>
      </c>
      <c r="L403" s="699">
        <v>4358.63</v>
      </c>
      <c r="M403" s="699">
        <v>8717.26</v>
      </c>
      <c r="N403" s="696">
        <v>2</v>
      </c>
      <c r="O403" s="700">
        <v>1</v>
      </c>
      <c r="P403" s="699"/>
      <c r="Q403" s="701">
        <v>0</v>
      </c>
      <c r="R403" s="696"/>
      <c r="S403" s="701">
        <v>0</v>
      </c>
      <c r="T403" s="700"/>
      <c r="U403" s="702">
        <v>0</v>
      </c>
    </row>
    <row r="404" spans="1:21" ht="14.4" customHeight="1" x14ac:dyDescent="0.3">
      <c r="A404" s="695">
        <v>7</v>
      </c>
      <c r="B404" s="696" t="s">
        <v>1978</v>
      </c>
      <c r="C404" s="696">
        <v>89301074</v>
      </c>
      <c r="D404" s="697" t="s">
        <v>3238</v>
      </c>
      <c r="E404" s="698" t="s">
        <v>2151</v>
      </c>
      <c r="F404" s="696" t="s">
        <v>2133</v>
      </c>
      <c r="G404" s="696" t="s">
        <v>2434</v>
      </c>
      <c r="H404" s="696" t="s">
        <v>547</v>
      </c>
      <c r="I404" s="696" t="s">
        <v>2988</v>
      </c>
      <c r="J404" s="696" t="s">
        <v>2860</v>
      </c>
      <c r="K404" s="696" t="s">
        <v>2989</v>
      </c>
      <c r="L404" s="699">
        <v>4351.1099999999997</v>
      </c>
      <c r="M404" s="699">
        <v>8702.2199999999993</v>
      </c>
      <c r="N404" s="696">
        <v>2</v>
      </c>
      <c r="O404" s="700">
        <v>1</v>
      </c>
      <c r="P404" s="699">
        <v>8702.2199999999993</v>
      </c>
      <c r="Q404" s="701">
        <v>1</v>
      </c>
      <c r="R404" s="696">
        <v>2</v>
      </c>
      <c r="S404" s="701">
        <v>1</v>
      </c>
      <c r="T404" s="700">
        <v>1</v>
      </c>
      <c r="U404" s="702">
        <v>1</v>
      </c>
    </row>
    <row r="405" spans="1:21" ht="14.4" customHeight="1" x14ac:dyDescent="0.3">
      <c r="A405" s="695">
        <v>7</v>
      </c>
      <c r="B405" s="696" t="s">
        <v>1978</v>
      </c>
      <c r="C405" s="696">
        <v>89301074</v>
      </c>
      <c r="D405" s="697" t="s">
        <v>3238</v>
      </c>
      <c r="E405" s="698" t="s">
        <v>2151</v>
      </c>
      <c r="F405" s="696" t="s">
        <v>2133</v>
      </c>
      <c r="G405" s="696" t="s">
        <v>2434</v>
      </c>
      <c r="H405" s="696" t="s">
        <v>547</v>
      </c>
      <c r="I405" s="696" t="s">
        <v>2865</v>
      </c>
      <c r="J405" s="696" t="s">
        <v>2866</v>
      </c>
      <c r="K405" s="696" t="s">
        <v>2867</v>
      </c>
      <c r="L405" s="699">
        <v>4352.3999999999996</v>
      </c>
      <c r="M405" s="699">
        <v>8704.7999999999993</v>
      </c>
      <c r="N405" s="696">
        <v>2</v>
      </c>
      <c r="O405" s="700">
        <v>1</v>
      </c>
      <c r="P405" s="699">
        <v>8704.7999999999993</v>
      </c>
      <c r="Q405" s="701">
        <v>1</v>
      </c>
      <c r="R405" s="696">
        <v>2</v>
      </c>
      <c r="S405" s="701">
        <v>1</v>
      </c>
      <c r="T405" s="700">
        <v>1</v>
      </c>
      <c r="U405" s="702">
        <v>1</v>
      </c>
    </row>
    <row r="406" spans="1:21" ht="14.4" customHeight="1" x14ac:dyDescent="0.3">
      <c r="A406" s="695">
        <v>7</v>
      </c>
      <c r="B406" s="696" t="s">
        <v>1978</v>
      </c>
      <c r="C406" s="696">
        <v>89301074</v>
      </c>
      <c r="D406" s="697" t="s">
        <v>3238</v>
      </c>
      <c r="E406" s="698" t="s">
        <v>2151</v>
      </c>
      <c r="F406" s="696" t="s">
        <v>2133</v>
      </c>
      <c r="G406" s="696" t="s">
        <v>2434</v>
      </c>
      <c r="H406" s="696" t="s">
        <v>547</v>
      </c>
      <c r="I406" s="696" t="s">
        <v>2653</v>
      </c>
      <c r="J406" s="696" t="s">
        <v>2654</v>
      </c>
      <c r="K406" s="696" t="s">
        <v>2655</v>
      </c>
      <c r="L406" s="699">
        <v>1629.03</v>
      </c>
      <c r="M406" s="699">
        <v>9774.18</v>
      </c>
      <c r="N406" s="696">
        <v>6</v>
      </c>
      <c r="O406" s="700">
        <v>1</v>
      </c>
      <c r="P406" s="699">
        <v>9774.18</v>
      </c>
      <c r="Q406" s="701">
        <v>1</v>
      </c>
      <c r="R406" s="696">
        <v>6</v>
      </c>
      <c r="S406" s="701">
        <v>1</v>
      </c>
      <c r="T406" s="700">
        <v>1</v>
      </c>
      <c r="U406" s="702">
        <v>1</v>
      </c>
    </row>
    <row r="407" spans="1:21" ht="14.4" customHeight="1" x14ac:dyDescent="0.3">
      <c r="A407" s="695">
        <v>7</v>
      </c>
      <c r="B407" s="696" t="s">
        <v>1978</v>
      </c>
      <c r="C407" s="696">
        <v>89301074</v>
      </c>
      <c r="D407" s="697" t="s">
        <v>3238</v>
      </c>
      <c r="E407" s="698" t="s">
        <v>2151</v>
      </c>
      <c r="F407" s="696" t="s">
        <v>2133</v>
      </c>
      <c r="G407" s="696" t="s">
        <v>2434</v>
      </c>
      <c r="H407" s="696" t="s">
        <v>547</v>
      </c>
      <c r="I407" s="696" t="s">
        <v>2659</v>
      </c>
      <c r="J407" s="696" t="s">
        <v>2660</v>
      </c>
      <c r="K407" s="696" t="s">
        <v>2661</v>
      </c>
      <c r="L407" s="699">
        <v>2787.72</v>
      </c>
      <c r="M407" s="699">
        <v>94782.48</v>
      </c>
      <c r="N407" s="696">
        <v>34</v>
      </c>
      <c r="O407" s="700">
        <v>5</v>
      </c>
      <c r="P407" s="699">
        <v>66905.279999999999</v>
      </c>
      <c r="Q407" s="701">
        <v>0.70588235294117652</v>
      </c>
      <c r="R407" s="696">
        <v>24</v>
      </c>
      <c r="S407" s="701">
        <v>0.70588235294117652</v>
      </c>
      <c r="T407" s="700">
        <v>3</v>
      </c>
      <c r="U407" s="702">
        <v>0.6</v>
      </c>
    </row>
    <row r="408" spans="1:21" ht="14.4" customHeight="1" x14ac:dyDescent="0.3">
      <c r="A408" s="695">
        <v>7</v>
      </c>
      <c r="B408" s="696" t="s">
        <v>1978</v>
      </c>
      <c r="C408" s="696">
        <v>89301074</v>
      </c>
      <c r="D408" s="697" t="s">
        <v>3238</v>
      </c>
      <c r="E408" s="698" t="s">
        <v>2151</v>
      </c>
      <c r="F408" s="696" t="s">
        <v>2133</v>
      </c>
      <c r="G408" s="696" t="s">
        <v>2434</v>
      </c>
      <c r="H408" s="696" t="s">
        <v>547</v>
      </c>
      <c r="I408" s="696" t="s">
        <v>2659</v>
      </c>
      <c r="J408" s="696" t="s">
        <v>2660</v>
      </c>
      <c r="K408" s="696" t="s">
        <v>2661</v>
      </c>
      <c r="L408" s="699">
        <v>2060.3000000000002</v>
      </c>
      <c r="M408" s="699">
        <v>24723.600000000002</v>
      </c>
      <c r="N408" s="696">
        <v>12</v>
      </c>
      <c r="O408" s="700">
        <v>2</v>
      </c>
      <c r="P408" s="699">
        <v>24723.600000000002</v>
      </c>
      <c r="Q408" s="701">
        <v>1</v>
      </c>
      <c r="R408" s="696">
        <v>12</v>
      </c>
      <c r="S408" s="701">
        <v>1</v>
      </c>
      <c r="T408" s="700">
        <v>2</v>
      </c>
      <c r="U408" s="702">
        <v>1</v>
      </c>
    </row>
    <row r="409" spans="1:21" ht="14.4" customHeight="1" x14ac:dyDescent="0.3">
      <c r="A409" s="695">
        <v>7</v>
      </c>
      <c r="B409" s="696" t="s">
        <v>1978</v>
      </c>
      <c r="C409" s="696">
        <v>89301074</v>
      </c>
      <c r="D409" s="697" t="s">
        <v>3238</v>
      </c>
      <c r="E409" s="698" t="s">
        <v>2151</v>
      </c>
      <c r="F409" s="696" t="s">
        <v>2133</v>
      </c>
      <c r="G409" s="696" t="s">
        <v>2434</v>
      </c>
      <c r="H409" s="696" t="s">
        <v>547</v>
      </c>
      <c r="I409" s="696" t="s">
        <v>2662</v>
      </c>
      <c r="J409" s="696" t="s">
        <v>2663</v>
      </c>
      <c r="K409" s="696" t="s">
        <v>2664</v>
      </c>
      <c r="L409" s="699">
        <v>1545.22</v>
      </c>
      <c r="M409" s="699">
        <v>12361.76</v>
      </c>
      <c r="N409" s="696">
        <v>8</v>
      </c>
      <c r="O409" s="700">
        <v>2</v>
      </c>
      <c r="P409" s="699">
        <v>9271.32</v>
      </c>
      <c r="Q409" s="701">
        <v>0.75</v>
      </c>
      <c r="R409" s="696">
        <v>6</v>
      </c>
      <c r="S409" s="701">
        <v>0.75</v>
      </c>
      <c r="T409" s="700">
        <v>1</v>
      </c>
      <c r="U409" s="702">
        <v>0.5</v>
      </c>
    </row>
    <row r="410" spans="1:21" ht="14.4" customHeight="1" x14ac:dyDescent="0.3">
      <c r="A410" s="695">
        <v>7</v>
      </c>
      <c r="B410" s="696" t="s">
        <v>1978</v>
      </c>
      <c r="C410" s="696">
        <v>89301074</v>
      </c>
      <c r="D410" s="697" t="s">
        <v>3238</v>
      </c>
      <c r="E410" s="698" t="s">
        <v>2151</v>
      </c>
      <c r="F410" s="696" t="s">
        <v>2133</v>
      </c>
      <c r="G410" s="696" t="s">
        <v>2434</v>
      </c>
      <c r="H410" s="696" t="s">
        <v>547</v>
      </c>
      <c r="I410" s="696" t="s">
        <v>2662</v>
      </c>
      <c r="J410" s="696" t="s">
        <v>2663</v>
      </c>
      <c r="K410" s="696" t="s">
        <v>2664</v>
      </c>
      <c r="L410" s="699">
        <v>2332.38</v>
      </c>
      <c r="M410" s="699">
        <v>95627.58</v>
      </c>
      <c r="N410" s="696">
        <v>41</v>
      </c>
      <c r="O410" s="700">
        <v>9</v>
      </c>
      <c r="P410" s="699">
        <v>72303.78</v>
      </c>
      <c r="Q410" s="701">
        <v>0.75609756097560976</v>
      </c>
      <c r="R410" s="696">
        <v>31</v>
      </c>
      <c r="S410" s="701">
        <v>0.75609756097560976</v>
      </c>
      <c r="T410" s="700">
        <v>7</v>
      </c>
      <c r="U410" s="702">
        <v>0.77777777777777779</v>
      </c>
    </row>
    <row r="411" spans="1:21" ht="14.4" customHeight="1" x14ac:dyDescent="0.3">
      <c r="A411" s="695">
        <v>7</v>
      </c>
      <c r="B411" s="696" t="s">
        <v>1978</v>
      </c>
      <c r="C411" s="696">
        <v>89301074</v>
      </c>
      <c r="D411" s="697" t="s">
        <v>3238</v>
      </c>
      <c r="E411" s="698" t="s">
        <v>2151</v>
      </c>
      <c r="F411" s="696" t="s">
        <v>2133</v>
      </c>
      <c r="G411" s="696" t="s">
        <v>2434</v>
      </c>
      <c r="H411" s="696" t="s">
        <v>547</v>
      </c>
      <c r="I411" s="696" t="s">
        <v>2868</v>
      </c>
      <c r="J411" s="696" t="s">
        <v>2869</v>
      </c>
      <c r="K411" s="696" t="s">
        <v>2870</v>
      </c>
      <c r="L411" s="699">
        <v>880.88</v>
      </c>
      <c r="M411" s="699">
        <v>42282.240000000005</v>
      </c>
      <c r="N411" s="696">
        <v>48</v>
      </c>
      <c r="O411" s="700">
        <v>10</v>
      </c>
      <c r="P411" s="699">
        <v>23783.760000000002</v>
      </c>
      <c r="Q411" s="701">
        <v>0.5625</v>
      </c>
      <c r="R411" s="696">
        <v>27</v>
      </c>
      <c r="S411" s="701">
        <v>0.5625</v>
      </c>
      <c r="T411" s="700">
        <v>7</v>
      </c>
      <c r="U411" s="702">
        <v>0.7</v>
      </c>
    </row>
    <row r="412" spans="1:21" ht="14.4" customHeight="1" x14ac:dyDescent="0.3">
      <c r="A412" s="695">
        <v>7</v>
      </c>
      <c r="B412" s="696" t="s">
        <v>1978</v>
      </c>
      <c r="C412" s="696">
        <v>89301074</v>
      </c>
      <c r="D412" s="697" t="s">
        <v>3238</v>
      </c>
      <c r="E412" s="698" t="s">
        <v>2151</v>
      </c>
      <c r="F412" s="696" t="s">
        <v>2133</v>
      </c>
      <c r="G412" s="696" t="s">
        <v>2434</v>
      </c>
      <c r="H412" s="696" t="s">
        <v>547</v>
      </c>
      <c r="I412" s="696" t="s">
        <v>2868</v>
      </c>
      <c r="J412" s="696" t="s">
        <v>2869</v>
      </c>
      <c r="K412" s="696" t="s">
        <v>2870</v>
      </c>
      <c r="L412" s="699">
        <v>515.07000000000005</v>
      </c>
      <c r="M412" s="699">
        <v>17512.379999999997</v>
      </c>
      <c r="N412" s="696">
        <v>34</v>
      </c>
      <c r="O412" s="700">
        <v>8</v>
      </c>
      <c r="P412" s="699">
        <v>17512.379999999997</v>
      </c>
      <c r="Q412" s="701">
        <v>1</v>
      </c>
      <c r="R412" s="696">
        <v>34</v>
      </c>
      <c r="S412" s="701">
        <v>1</v>
      </c>
      <c r="T412" s="700">
        <v>8</v>
      </c>
      <c r="U412" s="702">
        <v>1</v>
      </c>
    </row>
    <row r="413" spans="1:21" ht="14.4" customHeight="1" x14ac:dyDescent="0.3">
      <c r="A413" s="695">
        <v>7</v>
      </c>
      <c r="B413" s="696" t="s">
        <v>1978</v>
      </c>
      <c r="C413" s="696">
        <v>89301074</v>
      </c>
      <c r="D413" s="697" t="s">
        <v>3238</v>
      </c>
      <c r="E413" s="698" t="s">
        <v>2151</v>
      </c>
      <c r="F413" s="696" t="s">
        <v>2133</v>
      </c>
      <c r="G413" s="696" t="s">
        <v>2434</v>
      </c>
      <c r="H413" s="696" t="s">
        <v>547</v>
      </c>
      <c r="I413" s="696" t="s">
        <v>2665</v>
      </c>
      <c r="J413" s="696" t="s">
        <v>2666</v>
      </c>
      <c r="K413" s="696" t="s">
        <v>2667</v>
      </c>
      <c r="L413" s="699">
        <v>1629.03</v>
      </c>
      <c r="M413" s="699">
        <v>27693.51</v>
      </c>
      <c r="N413" s="696">
        <v>17</v>
      </c>
      <c r="O413" s="700">
        <v>5</v>
      </c>
      <c r="P413" s="699">
        <v>27693.51</v>
      </c>
      <c r="Q413" s="701">
        <v>1</v>
      </c>
      <c r="R413" s="696">
        <v>17</v>
      </c>
      <c r="S413" s="701">
        <v>1</v>
      </c>
      <c r="T413" s="700">
        <v>5</v>
      </c>
      <c r="U413" s="702">
        <v>1</v>
      </c>
    </row>
    <row r="414" spans="1:21" ht="14.4" customHeight="1" x14ac:dyDescent="0.3">
      <c r="A414" s="695">
        <v>7</v>
      </c>
      <c r="B414" s="696" t="s">
        <v>1978</v>
      </c>
      <c r="C414" s="696">
        <v>89301074</v>
      </c>
      <c r="D414" s="697" t="s">
        <v>3238</v>
      </c>
      <c r="E414" s="698" t="s">
        <v>2151</v>
      </c>
      <c r="F414" s="696" t="s">
        <v>2133</v>
      </c>
      <c r="G414" s="696" t="s">
        <v>2434</v>
      </c>
      <c r="H414" s="696" t="s">
        <v>547</v>
      </c>
      <c r="I414" s="696" t="s">
        <v>2665</v>
      </c>
      <c r="J414" s="696" t="s">
        <v>2666</v>
      </c>
      <c r="K414" s="696" t="s">
        <v>2667</v>
      </c>
      <c r="L414" s="699">
        <v>1030.1500000000001</v>
      </c>
      <c r="M414" s="699">
        <v>6180.9000000000005</v>
      </c>
      <c r="N414" s="696">
        <v>6</v>
      </c>
      <c r="O414" s="700">
        <v>1</v>
      </c>
      <c r="P414" s="699">
        <v>6180.9000000000005</v>
      </c>
      <c r="Q414" s="701">
        <v>1</v>
      </c>
      <c r="R414" s="696">
        <v>6</v>
      </c>
      <c r="S414" s="701">
        <v>1</v>
      </c>
      <c r="T414" s="700">
        <v>1</v>
      </c>
      <c r="U414" s="702">
        <v>1</v>
      </c>
    </row>
    <row r="415" spans="1:21" ht="14.4" customHeight="1" x14ac:dyDescent="0.3">
      <c r="A415" s="695">
        <v>7</v>
      </c>
      <c r="B415" s="696" t="s">
        <v>1978</v>
      </c>
      <c r="C415" s="696">
        <v>89301074</v>
      </c>
      <c r="D415" s="697" t="s">
        <v>3238</v>
      </c>
      <c r="E415" s="698" t="s">
        <v>2151</v>
      </c>
      <c r="F415" s="696" t="s">
        <v>2133</v>
      </c>
      <c r="G415" s="696" t="s">
        <v>2434</v>
      </c>
      <c r="H415" s="696" t="s">
        <v>547</v>
      </c>
      <c r="I415" s="696" t="s">
        <v>2871</v>
      </c>
      <c r="J415" s="696" t="s">
        <v>2872</v>
      </c>
      <c r="K415" s="696" t="s">
        <v>2873</v>
      </c>
      <c r="L415" s="699">
        <v>1063.3900000000001</v>
      </c>
      <c r="M415" s="699">
        <v>2126.7800000000002</v>
      </c>
      <c r="N415" s="696">
        <v>2</v>
      </c>
      <c r="O415" s="700">
        <v>1</v>
      </c>
      <c r="P415" s="699">
        <v>2126.7800000000002</v>
      </c>
      <c r="Q415" s="701">
        <v>1</v>
      </c>
      <c r="R415" s="696">
        <v>2</v>
      </c>
      <c r="S415" s="701">
        <v>1</v>
      </c>
      <c r="T415" s="700">
        <v>1</v>
      </c>
      <c r="U415" s="702">
        <v>1</v>
      </c>
    </row>
    <row r="416" spans="1:21" ht="14.4" customHeight="1" x14ac:dyDescent="0.3">
      <c r="A416" s="695">
        <v>7</v>
      </c>
      <c r="B416" s="696" t="s">
        <v>1978</v>
      </c>
      <c r="C416" s="696">
        <v>89301074</v>
      </c>
      <c r="D416" s="697" t="s">
        <v>3238</v>
      </c>
      <c r="E416" s="698" t="s">
        <v>2151</v>
      </c>
      <c r="F416" s="696" t="s">
        <v>2133</v>
      </c>
      <c r="G416" s="696" t="s">
        <v>2434</v>
      </c>
      <c r="H416" s="696" t="s">
        <v>547</v>
      </c>
      <c r="I416" s="696" t="s">
        <v>2874</v>
      </c>
      <c r="J416" s="696" t="s">
        <v>2875</v>
      </c>
      <c r="K416" s="696" t="s">
        <v>2876</v>
      </c>
      <c r="L416" s="699">
        <v>1675.86</v>
      </c>
      <c r="M416" s="699">
        <v>10055.16</v>
      </c>
      <c r="N416" s="696">
        <v>6</v>
      </c>
      <c r="O416" s="700">
        <v>1</v>
      </c>
      <c r="P416" s="699">
        <v>10055.16</v>
      </c>
      <c r="Q416" s="701">
        <v>1</v>
      </c>
      <c r="R416" s="696">
        <v>6</v>
      </c>
      <c r="S416" s="701">
        <v>1</v>
      </c>
      <c r="T416" s="700">
        <v>1</v>
      </c>
      <c r="U416" s="702">
        <v>1</v>
      </c>
    </row>
    <row r="417" spans="1:21" ht="14.4" customHeight="1" x14ac:dyDescent="0.3">
      <c r="A417" s="695">
        <v>7</v>
      </c>
      <c r="B417" s="696" t="s">
        <v>1978</v>
      </c>
      <c r="C417" s="696">
        <v>89301074</v>
      </c>
      <c r="D417" s="697" t="s">
        <v>3238</v>
      </c>
      <c r="E417" s="698" t="s">
        <v>2151</v>
      </c>
      <c r="F417" s="696" t="s">
        <v>2133</v>
      </c>
      <c r="G417" s="696" t="s">
        <v>2434</v>
      </c>
      <c r="H417" s="696" t="s">
        <v>547</v>
      </c>
      <c r="I417" s="696" t="s">
        <v>2990</v>
      </c>
      <c r="J417" s="696" t="s">
        <v>2991</v>
      </c>
      <c r="K417" s="696" t="s">
        <v>2992</v>
      </c>
      <c r="L417" s="699">
        <v>2787.72</v>
      </c>
      <c r="M417" s="699">
        <v>16726.32</v>
      </c>
      <c r="N417" s="696">
        <v>6</v>
      </c>
      <c r="O417" s="700">
        <v>1</v>
      </c>
      <c r="P417" s="699"/>
      <c r="Q417" s="701">
        <v>0</v>
      </c>
      <c r="R417" s="696"/>
      <c r="S417" s="701">
        <v>0</v>
      </c>
      <c r="T417" s="700"/>
      <c r="U417" s="702">
        <v>0</v>
      </c>
    </row>
    <row r="418" spans="1:21" ht="14.4" customHeight="1" x14ac:dyDescent="0.3">
      <c r="A418" s="695">
        <v>7</v>
      </c>
      <c r="B418" s="696" t="s">
        <v>1978</v>
      </c>
      <c r="C418" s="696">
        <v>89301074</v>
      </c>
      <c r="D418" s="697" t="s">
        <v>3238</v>
      </c>
      <c r="E418" s="698" t="s">
        <v>2151</v>
      </c>
      <c r="F418" s="696" t="s">
        <v>2133</v>
      </c>
      <c r="G418" s="696" t="s">
        <v>2434</v>
      </c>
      <c r="H418" s="696" t="s">
        <v>547</v>
      </c>
      <c r="I418" s="696" t="s">
        <v>2993</v>
      </c>
      <c r="J418" s="696" t="s">
        <v>2994</v>
      </c>
      <c r="K418" s="696" t="s">
        <v>2995</v>
      </c>
      <c r="L418" s="699">
        <v>0</v>
      </c>
      <c r="M418" s="699">
        <v>0</v>
      </c>
      <c r="N418" s="696">
        <v>3</v>
      </c>
      <c r="O418" s="700">
        <v>1</v>
      </c>
      <c r="P418" s="699"/>
      <c r="Q418" s="701"/>
      <c r="R418" s="696"/>
      <c r="S418" s="701">
        <v>0</v>
      </c>
      <c r="T418" s="700"/>
      <c r="U418" s="702">
        <v>0</v>
      </c>
    </row>
    <row r="419" spans="1:21" ht="14.4" customHeight="1" x14ac:dyDescent="0.3">
      <c r="A419" s="695">
        <v>7</v>
      </c>
      <c r="B419" s="696" t="s">
        <v>1978</v>
      </c>
      <c r="C419" s="696">
        <v>89301074</v>
      </c>
      <c r="D419" s="697" t="s">
        <v>3238</v>
      </c>
      <c r="E419" s="698" t="s">
        <v>2151</v>
      </c>
      <c r="F419" s="696" t="s">
        <v>2133</v>
      </c>
      <c r="G419" s="696" t="s">
        <v>2434</v>
      </c>
      <c r="H419" s="696" t="s">
        <v>547</v>
      </c>
      <c r="I419" s="696" t="s">
        <v>2996</v>
      </c>
      <c r="J419" s="696" t="s">
        <v>2997</v>
      </c>
      <c r="K419" s="696" t="s">
        <v>2998</v>
      </c>
      <c r="L419" s="699">
        <v>0</v>
      </c>
      <c r="M419" s="699">
        <v>0</v>
      </c>
      <c r="N419" s="696">
        <v>1</v>
      </c>
      <c r="O419" s="700">
        <v>1</v>
      </c>
      <c r="P419" s="699">
        <v>0</v>
      </c>
      <c r="Q419" s="701"/>
      <c r="R419" s="696">
        <v>1</v>
      </c>
      <c r="S419" s="701">
        <v>1</v>
      </c>
      <c r="T419" s="700">
        <v>1</v>
      </c>
      <c r="U419" s="702">
        <v>1</v>
      </c>
    </row>
    <row r="420" spans="1:21" ht="14.4" customHeight="1" x14ac:dyDescent="0.3">
      <c r="A420" s="695">
        <v>7</v>
      </c>
      <c r="B420" s="696" t="s">
        <v>1978</v>
      </c>
      <c r="C420" s="696">
        <v>89301074</v>
      </c>
      <c r="D420" s="697" t="s">
        <v>3238</v>
      </c>
      <c r="E420" s="698" t="s">
        <v>2151</v>
      </c>
      <c r="F420" s="696" t="s">
        <v>2133</v>
      </c>
      <c r="G420" s="696" t="s">
        <v>2680</v>
      </c>
      <c r="H420" s="696" t="s">
        <v>547</v>
      </c>
      <c r="I420" s="696" t="s">
        <v>2999</v>
      </c>
      <c r="J420" s="696" t="s">
        <v>3000</v>
      </c>
      <c r="K420" s="696" t="s">
        <v>3001</v>
      </c>
      <c r="L420" s="699">
        <v>999.6</v>
      </c>
      <c r="M420" s="699">
        <v>3998.4</v>
      </c>
      <c r="N420" s="696">
        <v>4</v>
      </c>
      <c r="O420" s="700">
        <v>1</v>
      </c>
      <c r="P420" s="699">
        <v>1999.2</v>
      </c>
      <c r="Q420" s="701">
        <v>0.5</v>
      </c>
      <c r="R420" s="696">
        <v>2</v>
      </c>
      <c r="S420" s="701">
        <v>0.5</v>
      </c>
      <c r="T420" s="700">
        <v>0.5</v>
      </c>
      <c r="U420" s="702">
        <v>0.5</v>
      </c>
    </row>
    <row r="421" spans="1:21" ht="14.4" customHeight="1" x14ac:dyDescent="0.3">
      <c r="A421" s="695">
        <v>7</v>
      </c>
      <c r="B421" s="696" t="s">
        <v>1978</v>
      </c>
      <c r="C421" s="696">
        <v>89301074</v>
      </c>
      <c r="D421" s="697" t="s">
        <v>3238</v>
      </c>
      <c r="E421" s="698" t="s">
        <v>2151</v>
      </c>
      <c r="F421" s="696" t="s">
        <v>2133</v>
      </c>
      <c r="G421" s="696" t="s">
        <v>2680</v>
      </c>
      <c r="H421" s="696" t="s">
        <v>547</v>
      </c>
      <c r="I421" s="696" t="s">
        <v>3002</v>
      </c>
      <c r="J421" s="696" t="s">
        <v>3003</v>
      </c>
      <c r="K421" s="696" t="s">
        <v>2688</v>
      </c>
      <c r="L421" s="699">
        <v>887.05</v>
      </c>
      <c r="M421" s="699">
        <v>2661.1499999999996</v>
      </c>
      <c r="N421" s="696">
        <v>3</v>
      </c>
      <c r="O421" s="700">
        <v>1</v>
      </c>
      <c r="P421" s="699"/>
      <c r="Q421" s="701">
        <v>0</v>
      </c>
      <c r="R421" s="696"/>
      <c r="S421" s="701">
        <v>0</v>
      </c>
      <c r="T421" s="700"/>
      <c r="U421" s="702">
        <v>0</v>
      </c>
    </row>
    <row r="422" spans="1:21" ht="14.4" customHeight="1" x14ac:dyDescent="0.3">
      <c r="A422" s="695">
        <v>7</v>
      </c>
      <c r="B422" s="696" t="s">
        <v>1978</v>
      </c>
      <c r="C422" s="696">
        <v>89301074</v>
      </c>
      <c r="D422" s="697" t="s">
        <v>3238</v>
      </c>
      <c r="E422" s="698" t="s">
        <v>2151</v>
      </c>
      <c r="F422" s="696" t="s">
        <v>2133</v>
      </c>
      <c r="G422" s="696" t="s">
        <v>2680</v>
      </c>
      <c r="H422" s="696" t="s">
        <v>1438</v>
      </c>
      <c r="I422" s="696" t="s">
        <v>2879</v>
      </c>
      <c r="J422" s="696" t="s">
        <v>2880</v>
      </c>
      <c r="K422" s="696" t="s">
        <v>2881</v>
      </c>
      <c r="L422" s="699">
        <v>561.54</v>
      </c>
      <c r="M422" s="699">
        <v>2246.16</v>
      </c>
      <c r="N422" s="696">
        <v>4</v>
      </c>
      <c r="O422" s="700">
        <v>1.5</v>
      </c>
      <c r="P422" s="699">
        <v>561.54</v>
      </c>
      <c r="Q422" s="701">
        <v>0.25</v>
      </c>
      <c r="R422" s="696">
        <v>1</v>
      </c>
      <c r="S422" s="701">
        <v>0.25</v>
      </c>
      <c r="T422" s="700"/>
      <c r="U422" s="702">
        <v>0</v>
      </c>
    </row>
    <row r="423" spans="1:21" ht="14.4" customHeight="1" x14ac:dyDescent="0.3">
      <c r="A423" s="695">
        <v>7</v>
      </c>
      <c r="B423" s="696" t="s">
        <v>1978</v>
      </c>
      <c r="C423" s="696">
        <v>89301074</v>
      </c>
      <c r="D423" s="697" t="s">
        <v>3238</v>
      </c>
      <c r="E423" s="698" t="s">
        <v>2151</v>
      </c>
      <c r="F423" s="696" t="s">
        <v>2133</v>
      </c>
      <c r="G423" s="696" t="s">
        <v>2680</v>
      </c>
      <c r="H423" s="696" t="s">
        <v>1438</v>
      </c>
      <c r="I423" s="696" t="s">
        <v>2684</v>
      </c>
      <c r="J423" s="696" t="s">
        <v>2685</v>
      </c>
      <c r="K423" s="696" t="s">
        <v>2686</v>
      </c>
      <c r="L423" s="699">
        <v>443.52</v>
      </c>
      <c r="M423" s="699">
        <v>887.04</v>
      </c>
      <c r="N423" s="696">
        <v>2</v>
      </c>
      <c r="O423" s="700">
        <v>0.5</v>
      </c>
      <c r="P423" s="699">
        <v>887.04</v>
      </c>
      <c r="Q423" s="701">
        <v>1</v>
      </c>
      <c r="R423" s="696">
        <v>2</v>
      </c>
      <c r="S423" s="701">
        <v>1</v>
      </c>
      <c r="T423" s="700">
        <v>0.5</v>
      </c>
      <c r="U423" s="702">
        <v>1</v>
      </c>
    </row>
    <row r="424" spans="1:21" ht="14.4" customHeight="1" x14ac:dyDescent="0.3">
      <c r="A424" s="695">
        <v>7</v>
      </c>
      <c r="B424" s="696" t="s">
        <v>1978</v>
      </c>
      <c r="C424" s="696">
        <v>89301074</v>
      </c>
      <c r="D424" s="697" t="s">
        <v>3238</v>
      </c>
      <c r="E424" s="698" t="s">
        <v>2151</v>
      </c>
      <c r="F424" s="696" t="s">
        <v>2133</v>
      </c>
      <c r="G424" s="696" t="s">
        <v>2680</v>
      </c>
      <c r="H424" s="696" t="s">
        <v>1438</v>
      </c>
      <c r="I424" s="696" t="s">
        <v>2687</v>
      </c>
      <c r="J424" s="696" t="s">
        <v>2685</v>
      </c>
      <c r="K424" s="696" t="s">
        <v>2688</v>
      </c>
      <c r="L424" s="699">
        <v>887.05</v>
      </c>
      <c r="M424" s="699">
        <v>28385.599999999999</v>
      </c>
      <c r="N424" s="696">
        <v>32</v>
      </c>
      <c r="O424" s="700">
        <v>12</v>
      </c>
      <c r="P424" s="699">
        <v>9757.5499999999993</v>
      </c>
      <c r="Q424" s="701">
        <v>0.34375</v>
      </c>
      <c r="R424" s="696">
        <v>11</v>
      </c>
      <c r="S424" s="701">
        <v>0.34375</v>
      </c>
      <c r="T424" s="700">
        <v>5</v>
      </c>
      <c r="U424" s="702">
        <v>0.41666666666666669</v>
      </c>
    </row>
    <row r="425" spans="1:21" ht="14.4" customHeight="1" x14ac:dyDescent="0.3">
      <c r="A425" s="695">
        <v>7</v>
      </c>
      <c r="B425" s="696" t="s">
        <v>1978</v>
      </c>
      <c r="C425" s="696">
        <v>89301074</v>
      </c>
      <c r="D425" s="697" t="s">
        <v>3238</v>
      </c>
      <c r="E425" s="698" t="s">
        <v>2151</v>
      </c>
      <c r="F425" s="696" t="s">
        <v>2133</v>
      </c>
      <c r="G425" s="696" t="s">
        <v>2680</v>
      </c>
      <c r="H425" s="696" t="s">
        <v>1438</v>
      </c>
      <c r="I425" s="696" t="s">
        <v>2689</v>
      </c>
      <c r="J425" s="696" t="s">
        <v>2690</v>
      </c>
      <c r="K425" s="696" t="s">
        <v>2691</v>
      </c>
      <c r="L425" s="699">
        <v>499.8</v>
      </c>
      <c r="M425" s="699">
        <v>1999.2</v>
      </c>
      <c r="N425" s="696">
        <v>4</v>
      </c>
      <c r="O425" s="700">
        <v>1</v>
      </c>
      <c r="P425" s="699"/>
      <c r="Q425" s="701">
        <v>0</v>
      </c>
      <c r="R425" s="696"/>
      <c r="S425" s="701">
        <v>0</v>
      </c>
      <c r="T425" s="700"/>
      <c r="U425" s="702">
        <v>0</v>
      </c>
    </row>
    <row r="426" spans="1:21" ht="14.4" customHeight="1" x14ac:dyDescent="0.3">
      <c r="A426" s="695">
        <v>7</v>
      </c>
      <c r="B426" s="696" t="s">
        <v>1978</v>
      </c>
      <c r="C426" s="696">
        <v>89301074</v>
      </c>
      <c r="D426" s="697" t="s">
        <v>3238</v>
      </c>
      <c r="E426" s="698" t="s">
        <v>2151</v>
      </c>
      <c r="F426" s="696" t="s">
        <v>2133</v>
      </c>
      <c r="G426" s="696" t="s">
        <v>2680</v>
      </c>
      <c r="H426" s="696" t="s">
        <v>547</v>
      </c>
      <c r="I426" s="696" t="s">
        <v>3004</v>
      </c>
      <c r="J426" s="696" t="s">
        <v>3005</v>
      </c>
      <c r="K426" s="696" t="s">
        <v>3006</v>
      </c>
      <c r="L426" s="699">
        <v>0</v>
      </c>
      <c r="M426" s="699">
        <v>0</v>
      </c>
      <c r="N426" s="696">
        <v>2</v>
      </c>
      <c r="O426" s="700">
        <v>0.5</v>
      </c>
      <c r="P426" s="699"/>
      <c r="Q426" s="701"/>
      <c r="R426" s="696"/>
      <c r="S426" s="701">
        <v>0</v>
      </c>
      <c r="T426" s="700"/>
      <c r="U426" s="702">
        <v>0</v>
      </c>
    </row>
    <row r="427" spans="1:21" ht="14.4" customHeight="1" x14ac:dyDescent="0.3">
      <c r="A427" s="695">
        <v>7</v>
      </c>
      <c r="B427" s="696" t="s">
        <v>1978</v>
      </c>
      <c r="C427" s="696">
        <v>89301074</v>
      </c>
      <c r="D427" s="697" t="s">
        <v>3238</v>
      </c>
      <c r="E427" s="698" t="s">
        <v>2151</v>
      </c>
      <c r="F427" s="696" t="s">
        <v>2133</v>
      </c>
      <c r="G427" s="696" t="s">
        <v>3007</v>
      </c>
      <c r="H427" s="696" t="s">
        <v>547</v>
      </c>
      <c r="I427" s="696" t="s">
        <v>761</v>
      </c>
      <c r="J427" s="696" t="s">
        <v>762</v>
      </c>
      <c r="K427" s="696" t="s">
        <v>3008</v>
      </c>
      <c r="L427" s="699">
        <v>163.9</v>
      </c>
      <c r="M427" s="699">
        <v>327.8</v>
      </c>
      <c r="N427" s="696">
        <v>2</v>
      </c>
      <c r="O427" s="700">
        <v>1</v>
      </c>
      <c r="P427" s="699">
        <v>327.8</v>
      </c>
      <c r="Q427" s="701">
        <v>1</v>
      </c>
      <c r="R427" s="696">
        <v>2</v>
      </c>
      <c r="S427" s="701">
        <v>1</v>
      </c>
      <c r="T427" s="700">
        <v>1</v>
      </c>
      <c r="U427" s="702">
        <v>1</v>
      </c>
    </row>
    <row r="428" spans="1:21" ht="14.4" customHeight="1" x14ac:dyDescent="0.3">
      <c r="A428" s="695">
        <v>7</v>
      </c>
      <c r="B428" s="696" t="s">
        <v>1978</v>
      </c>
      <c r="C428" s="696">
        <v>89301074</v>
      </c>
      <c r="D428" s="697" t="s">
        <v>3238</v>
      </c>
      <c r="E428" s="698" t="s">
        <v>2151</v>
      </c>
      <c r="F428" s="696" t="s">
        <v>2133</v>
      </c>
      <c r="G428" s="696" t="s">
        <v>2882</v>
      </c>
      <c r="H428" s="696" t="s">
        <v>547</v>
      </c>
      <c r="I428" s="696" t="s">
        <v>2883</v>
      </c>
      <c r="J428" s="696" t="s">
        <v>2884</v>
      </c>
      <c r="K428" s="696" t="s">
        <v>740</v>
      </c>
      <c r="L428" s="699">
        <v>33.36</v>
      </c>
      <c r="M428" s="699">
        <v>166.8</v>
      </c>
      <c r="N428" s="696">
        <v>5</v>
      </c>
      <c r="O428" s="700">
        <v>3.5</v>
      </c>
      <c r="P428" s="699">
        <v>66.72</v>
      </c>
      <c r="Q428" s="701">
        <v>0.39999999999999997</v>
      </c>
      <c r="R428" s="696">
        <v>2</v>
      </c>
      <c r="S428" s="701">
        <v>0.4</v>
      </c>
      <c r="T428" s="700">
        <v>0.5</v>
      </c>
      <c r="U428" s="702">
        <v>0.14285714285714285</v>
      </c>
    </row>
    <row r="429" spans="1:21" ht="14.4" customHeight="1" x14ac:dyDescent="0.3">
      <c r="A429" s="695">
        <v>7</v>
      </c>
      <c r="B429" s="696" t="s">
        <v>1978</v>
      </c>
      <c r="C429" s="696">
        <v>89301074</v>
      </c>
      <c r="D429" s="697" t="s">
        <v>3238</v>
      </c>
      <c r="E429" s="698" t="s">
        <v>2151</v>
      </c>
      <c r="F429" s="696" t="s">
        <v>2133</v>
      </c>
      <c r="G429" s="696" t="s">
        <v>2317</v>
      </c>
      <c r="H429" s="696" t="s">
        <v>547</v>
      </c>
      <c r="I429" s="696" t="s">
        <v>2885</v>
      </c>
      <c r="J429" s="696" t="s">
        <v>2886</v>
      </c>
      <c r="K429" s="696" t="s">
        <v>2320</v>
      </c>
      <c r="L429" s="699">
        <v>86.16</v>
      </c>
      <c r="M429" s="699">
        <v>172.32</v>
      </c>
      <c r="N429" s="696">
        <v>2</v>
      </c>
      <c r="O429" s="700">
        <v>1.5</v>
      </c>
      <c r="P429" s="699">
        <v>172.32</v>
      </c>
      <c r="Q429" s="701">
        <v>1</v>
      </c>
      <c r="R429" s="696">
        <v>2</v>
      </c>
      <c r="S429" s="701">
        <v>1</v>
      </c>
      <c r="T429" s="700">
        <v>1.5</v>
      </c>
      <c r="U429" s="702">
        <v>1</v>
      </c>
    </row>
    <row r="430" spans="1:21" ht="14.4" customHeight="1" x14ac:dyDescent="0.3">
      <c r="A430" s="695">
        <v>7</v>
      </c>
      <c r="B430" s="696" t="s">
        <v>1978</v>
      </c>
      <c r="C430" s="696">
        <v>89301074</v>
      </c>
      <c r="D430" s="697" t="s">
        <v>3238</v>
      </c>
      <c r="E430" s="698" t="s">
        <v>2151</v>
      </c>
      <c r="F430" s="696" t="s">
        <v>2133</v>
      </c>
      <c r="G430" s="696" t="s">
        <v>2317</v>
      </c>
      <c r="H430" s="696" t="s">
        <v>547</v>
      </c>
      <c r="I430" s="696" t="s">
        <v>3009</v>
      </c>
      <c r="J430" s="696" t="s">
        <v>2886</v>
      </c>
      <c r="K430" s="696" t="s">
        <v>2230</v>
      </c>
      <c r="L430" s="699">
        <v>0</v>
      </c>
      <c r="M430" s="699">
        <v>0</v>
      </c>
      <c r="N430" s="696">
        <v>1</v>
      </c>
      <c r="O430" s="700">
        <v>0.5</v>
      </c>
      <c r="P430" s="699"/>
      <c r="Q430" s="701"/>
      <c r="R430" s="696"/>
      <c r="S430" s="701">
        <v>0</v>
      </c>
      <c r="T430" s="700"/>
      <c r="U430" s="702">
        <v>0</v>
      </c>
    </row>
    <row r="431" spans="1:21" ht="14.4" customHeight="1" x14ac:dyDescent="0.3">
      <c r="A431" s="695">
        <v>7</v>
      </c>
      <c r="B431" s="696" t="s">
        <v>1978</v>
      </c>
      <c r="C431" s="696">
        <v>89301074</v>
      </c>
      <c r="D431" s="697" t="s">
        <v>3238</v>
      </c>
      <c r="E431" s="698" t="s">
        <v>2151</v>
      </c>
      <c r="F431" s="696" t="s">
        <v>2133</v>
      </c>
      <c r="G431" s="696" t="s">
        <v>2692</v>
      </c>
      <c r="H431" s="696" t="s">
        <v>547</v>
      </c>
      <c r="I431" s="696" t="s">
        <v>2887</v>
      </c>
      <c r="J431" s="696" t="s">
        <v>2888</v>
      </c>
      <c r="K431" s="696" t="s">
        <v>2889</v>
      </c>
      <c r="L431" s="699">
        <v>305.12</v>
      </c>
      <c r="M431" s="699">
        <v>305.12</v>
      </c>
      <c r="N431" s="696">
        <v>1</v>
      </c>
      <c r="O431" s="700"/>
      <c r="P431" s="699"/>
      <c r="Q431" s="701">
        <v>0</v>
      </c>
      <c r="R431" s="696"/>
      <c r="S431" s="701">
        <v>0</v>
      </c>
      <c r="T431" s="700"/>
      <c r="U431" s="702"/>
    </row>
    <row r="432" spans="1:21" ht="14.4" customHeight="1" x14ac:dyDescent="0.3">
      <c r="A432" s="695">
        <v>7</v>
      </c>
      <c r="B432" s="696" t="s">
        <v>1978</v>
      </c>
      <c r="C432" s="696">
        <v>89301074</v>
      </c>
      <c r="D432" s="697" t="s">
        <v>3238</v>
      </c>
      <c r="E432" s="698" t="s">
        <v>2151</v>
      </c>
      <c r="F432" s="696" t="s">
        <v>2133</v>
      </c>
      <c r="G432" s="696" t="s">
        <v>2692</v>
      </c>
      <c r="H432" s="696" t="s">
        <v>547</v>
      </c>
      <c r="I432" s="696" t="s">
        <v>2893</v>
      </c>
      <c r="J432" s="696" t="s">
        <v>2894</v>
      </c>
      <c r="K432" s="696" t="s">
        <v>2895</v>
      </c>
      <c r="L432" s="699">
        <v>474.91</v>
      </c>
      <c r="M432" s="699">
        <v>474.91</v>
      </c>
      <c r="N432" s="696">
        <v>1</v>
      </c>
      <c r="O432" s="700">
        <v>1</v>
      </c>
      <c r="P432" s="699">
        <v>474.91</v>
      </c>
      <c r="Q432" s="701">
        <v>1</v>
      </c>
      <c r="R432" s="696">
        <v>1</v>
      </c>
      <c r="S432" s="701">
        <v>1</v>
      </c>
      <c r="T432" s="700">
        <v>1</v>
      </c>
      <c r="U432" s="702">
        <v>1</v>
      </c>
    </row>
    <row r="433" spans="1:21" ht="14.4" customHeight="1" x14ac:dyDescent="0.3">
      <c r="A433" s="695">
        <v>7</v>
      </c>
      <c r="B433" s="696" t="s">
        <v>1978</v>
      </c>
      <c r="C433" s="696">
        <v>89301074</v>
      </c>
      <c r="D433" s="697" t="s">
        <v>3238</v>
      </c>
      <c r="E433" s="698" t="s">
        <v>2151</v>
      </c>
      <c r="F433" s="696" t="s">
        <v>2133</v>
      </c>
      <c r="G433" s="696" t="s">
        <v>2692</v>
      </c>
      <c r="H433" s="696" t="s">
        <v>547</v>
      </c>
      <c r="I433" s="696" t="s">
        <v>3010</v>
      </c>
      <c r="J433" s="696" t="s">
        <v>2694</v>
      </c>
      <c r="K433" s="696" t="s">
        <v>3011</v>
      </c>
      <c r="L433" s="699">
        <v>1753.54</v>
      </c>
      <c r="M433" s="699">
        <v>10521.24</v>
      </c>
      <c r="N433" s="696">
        <v>6</v>
      </c>
      <c r="O433" s="700">
        <v>3</v>
      </c>
      <c r="P433" s="699">
        <v>5260.62</v>
      </c>
      <c r="Q433" s="701">
        <v>0.5</v>
      </c>
      <c r="R433" s="696">
        <v>3</v>
      </c>
      <c r="S433" s="701">
        <v>0.5</v>
      </c>
      <c r="T433" s="700">
        <v>2</v>
      </c>
      <c r="U433" s="702">
        <v>0.66666666666666663</v>
      </c>
    </row>
    <row r="434" spans="1:21" ht="14.4" customHeight="1" x14ac:dyDescent="0.3">
      <c r="A434" s="695">
        <v>7</v>
      </c>
      <c r="B434" s="696" t="s">
        <v>1978</v>
      </c>
      <c r="C434" s="696">
        <v>89301074</v>
      </c>
      <c r="D434" s="697" t="s">
        <v>3238</v>
      </c>
      <c r="E434" s="698" t="s">
        <v>2151</v>
      </c>
      <c r="F434" s="696" t="s">
        <v>2133</v>
      </c>
      <c r="G434" s="696" t="s">
        <v>2902</v>
      </c>
      <c r="H434" s="696" t="s">
        <v>547</v>
      </c>
      <c r="I434" s="696" t="s">
        <v>1125</v>
      </c>
      <c r="J434" s="696" t="s">
        <v>1126</v>
      </c>
      <c r="K434" s="696" t="s">
        <v>3012</v>
      </c>
      <c r="L434" s="699">
        <v>31.84</v>
      </c>
      <c r="M434" s="699">
        <v>31.84</v>
      </c>
      <c r="N434" s="696">
        <v>1</v>
      </c>
      <c r="O434" s="700">
        <v>0.5</v>
      </c>
      <c r="P434" s="699">
        <v>31.84</v>
      </c>
      <c r="Q434" s="701">
        <v>1</v>
      </c>
      <c r="R434" s="696">
        <v>1</v>
      </c>
      <c r="S434" s="701">
        <v>1</v>
      </c>
      <c r="T434" s="700">
        <v>0.5</v>
      </c>
      <c r="U434" s="702">
        <v>1</v>
      </c>
    </row>
    <row r="435" spans="1:21" ht="14.4" customHeight="1" x14ac:dyDescent="0.3">
      <c r="A435" s="695">
        <v>7</v>
      </c>
      <c r="B435" s="696" t="s">
        <v>1978</v>
      </c>
      <c r="C435" s="696">
        <v>89301074</v>
      </c>
      <c r="D435" s="697" t="s">
        <v>3238</v>
      </c>
      <c r="E435" s="698" t="s">
        <v>2151</v>
      </c>
      <c r="F435" s="696" t="s">
        <v>2133</v>
      </c>
      <c r="G435" s="696" t="s">
        <v>2902</v>
      </c>
      <c r="H435" s="696" t="s">
        <v>547</v>
      </c>
      <c r="I435" s="696" t="s">
        <v>951</v>
      </c>
      <c r="J435" s="696" t="s">
        <v>952</v>
      </c>
      <c r="K435" s="696" t="s">
        <v>2903</v>
      </c>
      <c r="L435" s="699">
        <v>63.67</v>
      </c>
      <c r="M435" s="699">
        <v>127.34</v>
      </c>
      <c r="N435" s="696">
        <v>2</v>
      </c>
      <c r="O435" s="700">
        <v>1.5</v>
      </c>
      <c r="P435" s="699">
        <v>63.67</v>
      </c>
      <c r="Q435" s="701">
        <v>0.5</v>
      </c>
      <c r="R435" s="696">
        <v>1</v>
      </c>
      <c r="S435" s="701">
        <v>0.5</v>
      </c>
      <c r="T435" s="700">
        <v>0.5</v>
      </c>
      <c r="U435" s="702">
        <v>0.33333333333333331</v>
      </c>
    </row>
    <row r="436" spans="1:21" ht="14.4" customHeight="1" x14ac:dyDescent="0.3">
      <c r="A436" s="695">
        <v>7</v>
      </c>
      <c r="B436" s="696" t="s">
        <v>1978</v>
      </c>
      <c r="C436" s="696">
        <v>89301074</v>
      </c>
      <c r="D436" s="697" t="s">
        <v>3238</v>
      </c>
      <c r="E436" s="698" t="s">
        <v>2151</v>
      </c>
      <c r="F436" s="696" t="s">
        <v>2133</v>
      </c>
      <c r="G436" s="696" t="s">
        <v>3013</v>
      </c>
      <c r="H436" s="696" t="s">
        <v>547</v>
      </c>
      <c r="I436" s="696" t="s">
        <v>3014</v>
      </c>
      <c r="J436" s="696" t="s">
        <v>982</v>
      </c>
      <c r="K436" s="696" t="s">
        <v>3015</v>
      </c>
      <c r="L436" s="699">
        <v>26.17</v>
      </c>
      <c r="M436" s="699">
        <v>52.34</v>
      </c>
      <c r="N436" s="696">
        <v>2</v>
      </c>
      <c r="O436" s="700">
        <v>0.5</v>
      </c>
      <c r="P436" s="699"/>
      <c r="Q436" s="701">
        <v>0</v>
      </c>
      <c r="R436" s="696"/>
      <c r="S436" s="701">
        <v>0</v>
      </c>
      <c r="T436" s="700"/>
      <c r="U436" s="702">
        <v>0</v>
      </c>
    </row>
    <row r="437" spans="1:21" ht="14.4" customHeight="1" x14ac:dyDescent="0.3">
      <c r="A437" s="695">
        <v>7</v>
      </c>
      <c r="B437" s="696" t="s">
        <v>1978</v>
      </c>
      <c r="C437" s="696">
        <v>89301074</v>
      </c>
      <c r="D437" s="697" t="s">
        <v>3238</v>
      </c>
      <c r="E437" s="698" t="s">
        <v>2151</v>
      </c>
      <c r="F437" s="696" t="s">
        <v>2133</v>
      </c>
      <c r="G437" s="696" t="s">
        <v>2696</v>
      </c>
      <c r="H437" s="696" t="s">
        <v>547</v>
      </c>
      <c r="I437" s="696" t="s">
        <v>2904</v>
      </c>
      <c r="J437" s="696" t="s">
        <v>2905</v>
      </c>
      <c r="K437" s="696" t="s">
        <v>2906</v>
      </c>
      <c r="L437" s="699">
        <v>71.2</v>
      </c>
      <c r="M437" s="699">
        <v>142.4</v>
      </c>
      <c r="N437" s="696">
        <v>2</v>
      </c>
      <c r="O437" s="700">
        <v>0.5</v>
      </c>
      <c r="P437" s="699"/>
      <c r="Q437" s="701">
        <v>0</v>
      </c>
      <c r="R437" s="696"/>
      <c r="S437" s="701">
        <v>0</v>
      </c>
      <c r="T437" s="700"/>
      <c r="U437" s="702">
        <v>0</v>
      </c>
    </row>
    <row r="438" spans="1:21" ht="14.4" customHeight="1" x14ac:dyDescent="0.3">
      <c r="A438" s="695">
        <v>7</v>
      </c>
      <c r="B438" s="696" t="s">
        <v>1978</v>
      </c>
      <c r="C438" s="696">
        <v>89301074</v>
      </c>
      <c r="D438" s="697" t="s">
        <v>3238</v>
      </c>
      <c r="E438" s="698" t="s">
        <v>2151</v>
      </c>
      <c r="F438" s="696" t="s">
        <v>2133</v>
      </c>
      <c r="G438" s="696" t="s">
        <v>2696</v>
      </c>
      <c r="H438" s="696" t="s">
        <v>547</v>
      </c>
      <c r="I438" s="696" t="s">
        <v>2697</v>
      </c>
      <c r="J438" s="696" t="s">
        <v>2698</v>
      </c>
      <c r="K438" s="696" t="s">
        <v>2699</v>
      </c>
      <c r="L438" s="699">
        <v>144.01</v>
      </c>
      <c r="M438" s="699">
        <v>288.02</v>
      </c>
      <c r="N438" s="696">
        <v>2</v>
      </c>
      <c r="O438" s="700">
        <v>1</v>
      </c>
      <c r="P438" s="699">
        <v>288.02</v>
      </c>
      <c r="Q438" s="701">
        <v>1</v>
      </c>
      <c r="R438" s="696">
        <v>2</v>
      </c>
      <c r="S438" s="701">
        <v>1</v>
      </c>
      <c r="T438" s="700">
        <v>1</v>
      </c>
      <c r="U438" s="702">
        <v>1</v>
      </c>
    </row>
    <row r="439" spans="1:21" ht="14.4" customHeight="1" x14ac:dyDescent="0.3">
      <c r="A439" s="695">
        <v>7</v>
      </c>
      <c r="B439" s="696" t="s">
        <v>1978</v>
      </c>
      <c r="C439" s="696">
        <v>89301074</v>
      </c>
      <c r="D439" s="697" t="s">
        <v>3238</v>
      </c>
      <c r="E439" s="698" t="s">
        <v>2151</v>
      </c>
      <c r="F439" s="696" t="s">
        <v>2133</v>
      </c>
      <c r="G439" s="696" t="s">
        <v>2700</v>
      </c>
      <c r="H439" s="696" t="s">
        <v>547</v>
      </c>
      <c r="I439" s="696" t="s">
        <v>3016</v>
      </c>
      <c r="J439" s="696" t="s">
        <v>2702</v>
      </c>
      <c r="K439" s="696" t="s">
        <v>3017</v>
      </c>
      <c r="L439" s="699">
        <v>0</v>
      </c>
      <c r="M439" s="699">
        <v>0</v>
      </c>
      <c r="N439" s="696">
        <v>1</v>
      </c>
      <c r="O439" s="700">
        <v>1</v>
      </c>
      <c r="P439" s="699">
        <v>0</v>
      </c>
      <c r="Q439" s="701"/>
      <c r="R439" s="696">
        <v>1</v>
      </c>
      <c r="S439" s="701">
        <v>1</v>
      </c>
      <c r="T439" s="700">
        <v>1</v>
      </c>
      <c r="U439" s="702">
        <v>1</v>
      </c>
    </row>
    <row r="440" spans="1:21" ht="14.4" customHeight="1" x14ac:dyDescent="0.3">
      <c r="A440" s="695">
        <v>7</v>
      </c>
      <c r="B440" s="696" t="s">
        <v>1978</v>
      </c>
      <c r="C440" s="696">
        <v>89301074</v>
      </c>
      <c r="D440" s="697" t="s">
        <v>3238</v>
      </c>
      <c r="E440" s="698" t="s">
        <v>2151</v>
      </c>
      <c r="F440" s="696" t="s">
        <v>2133</v>
      </c>
      <c r="G440" s="696" t="s">
        <v>3018</v>
      </c>
      <c r="H440" s="696" t="s">
        <v>547</v>
      </c>
      <c r="I440" s="696" t="s">
        <v>3019</v>
      </c>
      <c r="J440" s="696" t="s">
        <v>3020</v>
      </c>
      <c r="K440" s="696" t="s">
        <v>3021</v>
      </c>
      <c r="L440" s="699">
        <v>0</v>
      </c>
      <c r="M440" s="699">
        <v>0</v>
      </c>
      <c r="N440" s="696">
        <v>10</v>
      </c>
      <c r="O440" s="700">
        <v>5</v>
      </c>
      <c r="P440" s="699">
        <v>0</v>
      </c>
      <c r="Q440" s="701"/>
      <c r="R440" s="696">
        <v>3</v>
      </c>
      <c r="S440" s="701">
        <v>0.3</v>
      </c>
      <c r="T440" s="700">
        <v>1.5</v>
      </c>
      <c r="U440" s="702">
        <v>0.3</v>
      </c>
    </row>
    <row r="441" spans="1:21" ht="14.4" customHeight="1" x14ac:dyDescent="0.3">
      <c r="A441" s="695">
        <v>7</v>
      </c>
      <c r="B441" s="696" t="s">
        <v>1978</v>
      </c>
      <c r="C441" s="696">
        <v>89301074</v>
      </c>
      <c r="D441" s="697" t="s">
        <v>3238</v>
      </c>
      <c r="E441" s="698" t="s">
        <v>2151</v>
      </c>
      <c r="F441" s="696" t="s">
        <v>2133</v>
      </c>
      <c r="G441" s="696" t="s">
        <v>3018</v>
      </c>
      <c r="H441" s="696" t="s">
        <v>547</v>
      </c>
      <c r="I441" s="696" t="s">
        <v>3022</v>
      </c>
      <c r="J441" s="696" t="s">
        <v>3023</v>
      </c>
      <c r="K441" s="696" t="s">
        <v>3024</v>
      </c>
      <c r="L441" s="699">
        <v>0</v>
      </c>
      <c r="M441" s="699">
        <v>0</v>
      </c>
      <c r="N441" s="696">
        <v>2</v>
      </c>
      <c r="O441" s="700">
        <v>1</v>
      </c>
      <c r="P441" s="699"/>
      <c r="Q441" s="701"/>
      <c r="R441" s="696"/>
      <c r="S441" s="701">
        <v>0</v>
      </c>
      <c r="T441" s="700"/>
      <c r="U441" s="702">
        <v>0</v>
      </c>
    </row>
    <row r="442" spans="1:21" ht="14.4" customHeight="1" x14ac:dyDescent="0.3">
      <c r="A442" s="695">
        <v>7</v>
      </c>
      <c r="B442" s="696" t="s">
        <v>1978</v>
      </c>
      <c r="C442" s="696">
        <v>89301074</v>
      </c>
      <c r="D442" s="697" t="s">
        <v>3238</v>
      </c>
      <c r="E442" s="698" t="s">
        <v>2151</v>
      </c>
      <c r="F442" s="696" t="s">
        <v>2133</v>
      </c>
      <c r="G442" s="696" t="s">
        <v>2326</v>
      </c>
      <c r="H442" s="696" t="s">
        <v>1438</v>
      </c>
      <c r="I442" s="696" t="s">
        <v>3025</v>
      </c>
      <c r="J442" s="696" t="s">
        <v>3026</v>
      </c>
      <c r="K442" s="696" t="s">
        <v>1458</v>
      </c>
      <c r="L442" s="699">
        <v>137.74</v>
      </c>
      <c r="M442" s="699">
        <v>413.22</v>
      </c>
      <c r="N442" s="696">
        <v>3</v>
      </c>
      <c r="O442" s="700">
        <v>0.5</v>
      </c>
      <c r="P442" s="699"/>
      <c r="Q442" s="701">
        <v>0</v>
      </c>
      <c r="R442" s="696"/>
      <c r="S442" s="701">
        <v>0</v>
      </c>
      <c r="T442" s="700"/>
      <c r="U442" s="702">
        <v>0</v>
      </c>
    </row>
    <row r="443" spans="1:21" ht="14.4" customHeight="1" x14ac:dyDescent="0.3">
      <c r="A443" s="695">
        <v>7</v>
      </c>
      <c r="B443" s="696" t="s">
        <v>1978</v>
      </c>
      <c r="C443" s="696">
        <v>89301074</v>
      </c>
      <c r="D443" s="697" t="s">
        <v>3238</v>
      </c>
      <c r="E443" s="698" t="s">
        <v>2151</v>
      </c>
      <c r="F443" s="696" t="s">
        <v>2133</v>
      </c>
      <c r="G443" s="696" t="s">
        <v>3027</v>
      </c>
      <c r="H443" s="696" t="s">
        <v>547</v>
      </c>
      <c r="I443" s="696" t="s">
        <v>3028</v>
      </c>
      <c r="J443" s="696" t="s">
        <v>3029</v>
      </c>
      <c r="K443" s="696" t="s">
        <v>3030</v>
      </c>
      <c r="L443" s="699">
        <v>1638.59</v>
      </c>
      <c r="M443" s="699">
        <v>16385.899999999998</v>
      </c>
      <c r="N443" s="696">
        <v>10</v>
      </c>
      <c r="O443" s="700">
        <v>2</v>
      </c>
      <c r="P443" s="699"/>
      <c r="Q443" s="701">
        <v>0</v>
      </c>
      <c r="R443" s="696"/>
      <c r="S443" s="701">
        <v>0</v>
      </c>
      <c r="T443" s="700"/>
      <c r="U443" s="702">
        <v>0</v>
      </c>
    </row>
    <row r="444" spans="1:21" ht="14.4" customHeight="1" x14ac:dyDescent="0.3">
      <c r="A444" s="695">
        <v>7</v>
      </c>
      <c r="B444" s="696" t="s">
        <v>1978</v>
      </c>
      <c r="C444" s="696">
        <v>89301074</v>
      </c>
      <c r="D444" s="697" t="s">
        <v>3238</v>
      </c>
      <c r="E444" s="698" t="s">
        <v>2151</v>
      </c>
      <c r="F444" s="696" t="s">
        <v>2133</v>
      </c>
      <c r="G444" s="696" t="s">
        <v>3031</v>
      </c>
      <c r="H444" s="696" t="s">
        <v>547</v>
      </c>
      <c r="I444" s="696" t="s">
        <v>3032</v>
      </c>
      <c r="J444" s="696" t="s">
        <v>3033</v>
      </c>
      <c r="K444" s="696" t="s">
        <v>3034</v>
      </c>
      <c r="L444" s="699">
        <v>65.89</v>
      </c>
      <c r="M444" s="699">
        <v>131.78</v>
      </c>
      <c r="N444" s="696">
        <v>2</v>
      </c>
      <c r="O444" s="700">
        <v>1</v>
      </c>
      <c r="P444" s="699">
        <v>131.78</v>
      </c>
      <c r="Q444" s="701">
        <v>1</v>
      </c>
      <c r="R444" s="696">
        <v>2</v>
      </c>
      <c r="S444" s="701">
        <v>1</v>
      </c>
      <c r="T444" s="700">
        <v>1</v>
      </c>
      <c r="U444" s="702">
        <v>1</v>
      </c>
    </row>
    <row r="445" spans="1:21" ht="14.4" customHeight="1" x14ac:dyDescent="0.3">
      <c r="A445" s="695">
        <v>7</v>
      </c>
      <c r="B445" s="696" t="s">
        <v>1978</v>
      </c>
      <c r="C445" s="696">
        <v>89301074</v>
      </c>
      <c r="D445" s="697" t="s">
        <v>3238</v>
      </c>
      <c r="E445" s="698" t="s">
        <v>2151</v>
      </c>
      <c r="F445" s="696" t="s">
        <v>2133</v>
      </c>
      <c r="G445" s="696" t="s">
        <v>2498</v>
      </c>
      <c r="H445" s="696" t="s">
        <v>1438</v>
      </c>
      <c r="I445" s="696" t="s">
        <v>2716</v>
      </c>
      <c r="J445" s="696" t="s">
        <v>2500</v>
      </c>
      <c r="K445" s="696" t="s">
        <v>2717</v>
      </c>
      <c r="L445" s="699">
        <v>193.26</v>
      </c>
      <c r="M445" s="699">
        <v>773.04</v>
      </c>
      <c r="N445" s="696">
        <v>4</v>
      </c>
      <c r="O445" s="700">
        <v>1.5</v>
      </c>
      <c r="P445" s="699">
        <v>579.78</v>
      </c>
      <c r="Q445" s="701">
        <v>0.75</v>
      </c>
      <c r="R445" s="696">
        <v>3</v>
      </c>
      <c r="S445" s="701">
        <v>0.75</v>
      </c>
      <c r="T445" s="700">
        <v>1</v>
      </c>
      <c r="U445" s="702">
        <v>0.66666666666666663</v>
      </c>
    </row>
    <row r="446" spans="1:21" ht="14.4" customHeight="1" x14ac:dyDescent="0.3">
      <c r="A446" s="695">
        <v>7</v>
      </c>
      <c r="B446" s="696" t="s">
        <v>1978</v>
      </c>
      <c r="C446" s="696">
        <v>89301074</v>
      </c>
      <c r="D446" s="697" t="s">
        <v>3238</v>
      </c>
      <c r="E446" s="698" t="s">
        <v>2151</v>
      </c>
      <c r="F446" s="696" t="s">
        <v>2133</v>
      </c>
      <c r="G446" s="696" t="s">
        <v>2722</v>
      </c>
      <c r="H446" s="696" t="s">
        <v>547</v>
      </c>
      <c r="I446" s="696" t="s">
        <v>2723</v>
      </c>
      <c r="J446" s="696" t="s">
        <v>1905</v>
      </c>
      <c r="K446" s="696" t="s">
        <v>2619</v>
      </c>
      <c r="L446" s="699">
        <v>70.02</v>
      </c>
      <c r="M446" s="699">
        <v>210.06</v>
      </c>
      <c r="N446" s="696">
        <v>3</v>
      </c>
      <c r="O446" s="700">
        <v>1.5</v>
      </c>
      <c r="P446" s="699">
        <v>140.04</v>
      </c>
      <c r="Q446" s="701">
        <v>0.66666666666666663</v>
      </c>
      <c r="R446" s="696">
        <v>2</v>
      </c>
      <c r="S446" s="701">
        <v>0.66666666666666663</v>
      </c>
      <c r="T446" s="700">
        <v>0.5</v>
      </c>
      <c r="U446" s="702">
        <v>0.33333333333333331</v>
      </c>
    </row>
    <row r="447" spans="1:21" ht="14.4" customHeight="1" x14ac:dyDescent="0.3">
      <c r="A447" s="695">
        <v>7</v>
      </c>
      <c r="B447" s="696" t="s">
        <v>1978</v>
      </c>
      <c r="C447" s="696">
        <v>89301074</v>
      </c>
      <c r="D447" s="697" t="s">
        <v>3238</v>
      </c>
      <c r="E447" s="698" t="s">
        <v>2151</v>
      </c>
      <c r="F447" s="696" t="s">
        <v>2133</v>
      </c>
      <c r="G447" s="696" t="s">
        <v>2722</v>
      </c>
      <c r="H447" s="696" t="s">
        <v>547</v>
      </c>
      <c r="I447" s="696" t="s">
        <v>3035</v>
      </c>
      <c r="J447" s="696" t="s">
        <v>1905</v>
      </c>
      <c r="K447" s="696" t="s">
        <v>2619</v>
      </c>
      <c r="L447" s="699">
        <v>70.02</v>
      </c>
      <c r="M447" s="699">
        <v>70.02</v>
      </c>
      <c r="N447" s="696">
        <v>1</v>
      </c>
      <c r="O447" s="700">
        <v>1</v>
      </c>
      <c r="P447" s="699">
        <v>70.02</v>
      </c>
      <c r="Q447" s="701">
        <v>1</v>
      </c>
      <c r="R447" s="696">
        <v>1</v>
      </c>
      <c r="S447" s="701">
        <v>1</v>
      </c>
      <c r="T447" s="700">
        <v>1</v>
      </c>
      <c r="U447" s="702">
        <v>1</v>
      </c>
    </row>
    <row r="448" spans="1:21" ht="14.4" customHeight="1" x14ac:dyDescent="0.3">
      <c r="A448" s="695">
        <v>7</v>
      </c>
      <c r="B448" s="696" t="s">
        <v>1978</v>
      </c>
      <c r="C448" s="696">
        <v>89301074</v>
      </c>
      <c r="D448" s="697" t="s">
        <v>3238</v>
      </c>
      <c r="E448" s="698" t="s">
        <v>2151</v>
      </c>
      <c r="F448" s="696" t="s">
        <v>2133</v>
      </c>
      <c r="G448" s="696" t="s">
        <v>3036</v>
      </c>
      <c r="H448" s="696" t="s">
        <v>1438</v>
      </c>
      <c r="I448" s="696" t="s">
        <v>3037</v>
      </c>
      <c r="J448" s="696" t="s">
        <v>3038</v>
      </c>
      <c r="K448" s="696" t="s">
        <v>3039</v>
      </c>
      <c r="L448" s="699">
        <v>418.37</v>
      </c>
      <c r="M448" s="699">
        <v>418.37</v>
      </c>
      <c r="N448" s="696">
        <v>1</v>
      </c>
      <c r="O448" s="700">
        <v>0.5</v>
      </c>
      <c r="P448" s="699">
        <v>418.37</v>
      </c>
      <c r="Q448" s="701">
        <v>1</v>
      </c>
      <c r="R448" s="696">
        <v>1</v>
      </c>
      <c r="S448" s="701">
        <v>1</v>
      </c>
      <c r="T448" s="700">
        <v>0.5</v>
      </c>
      <c r="U448" s="702">
        <v>1</v>
      </c>
    </row>
    <row r="449" spans="1:21" ht="14.4" customHeight="1" x14ac:dyDescent="0.3">
      <c r="A449" s="695">
        <v>7</v>
      </c>
      <c r="B449" s="696" t="s">
        <v>1978</v>
      </c>
      <c r="C449" s="696">
        <v>89301074</v>
      </c>
      <c r="D449" s="697" t="s">
        <v>3238</v>
      </c>
      <c r="E449" s="698" t="s">
        <v>2151</v>
      </c>
      <c r="F449" s="696" t="s">
        <v>2133</v>
      </c>
      <c r="G449" s="696" t="s">
        <v>2438</v>
      </c>
      <c r="H449" s="696" t="s">
        <v>547</v>
      </c>
      <c r="I449" s="696" t="s">
        <v>2911</v>
      </c>
      <c r="J449" s="696" t="s">
        <v>2449</v>
      </c>
      <c r="K449" s="696" t="s">
        <v>2450</v>
      </c>
      <c r="L449" s="699">
        <v>407.64</v>
      </c>
      <c r="M449" s="699">
        <v>3668.7599999999998</v>
      </c>
      <c r="N449" s="696">
        <v>9</v>
      </c>
      <c r="O449" s="700">
        <v>1</v>
      </c>
      <c r="P449" s="699">
        <v>3668.7599999999998</v>
      </c>
      <c r="Q449" s="701">
        <v>1</v>
      </c>
      <c r="R449" s="696">
        <v>9</v>
      </c>
      <c r="S449" s="701">
        <v>1</v>
      </c>
      <c r="T449" s="700">
        <v>1</v>
      </c>
      <c r="U449" s="702">
        <v>1</v>
      </c>
    </row>
    <row r="450" spans="1:21" ht="14.4" customHeight="1" x14ac:dyDescent="0.3">
      <c r="A450" s="695">
        <v>7</v>
      </c>
      <c r="B450" s="696" t="s">
        <v>1978</v>
      </c>
      <c r="C450" s="696">
        <v>89301074</v>
      </c>
      <c r="D450" s="697" t="s">
        <v>3238</v>
      </c>
      <c r="E450" s="698" t="s">
        <v>2151</v>
      </c>
      <c r="F450" s="696" t="s">
        <v>2133</v>
      </c>
      <c r="G450" s="696" t="s">
        <v>2438</v>
      </c>
      <c r="H450" s="696" t="s">
        <v>547</v>
      </c>
      <c r="I450" s="696" t="s">
        <v>2726</v>
      </c>
      <c r="J450" s="696" t="s">
        <v>2727</v>
      </c>
      <c r="K450" s="696" t="s">
        <v>834</v>
      </c>
      <c r="L450" s="699">
        <v>105.85</v>
      </c>
      <c r="M450" s="699">
        <v>317.54999999999995</v>
      </c>
      <c r="N450" s="696">
        <v>3</v>
      </c>
      <c r="O450" s="700">
        <v>2</v>
      </c>
      <c r="P450" s="699"/>
      <c r="Q450" s="701">
        <v>0</v>
      </c>
      <c r="R450" s="696"/>
      <c r="S450" s="701">
        <v>0</v>
      </c>
      <c r="T450" s="700"/>
      <c r="U450" s="702">
        <v>0</v>
      </c>
    </row>
    <row r="451" spans="1:21" ht="14.4" customHeight="1" x14ac:dyDescent="0.3">
      <c r="A451" s="695">
        <v>7</v>
      </c>
      <c r="B451" s="696" t="s">
        <v>1978</v>
      </c>
      <c r="C451" s="696">
        <v>89301074</v>
      </c>
      <c r="D451" s="697" t="s">
        <v>3238</v>
      </c>
      <c r="E451" s="698" t="s">
        <v>2151</v>
      </c>
      <c r="F451" s="696" t="s">
        <v>2133</v>
      </c>
      <c r="G451" s="696" t="s">
        <v>2913</v>
      </c>
      <c r="H451" s="696" t="s">
        <v>547</v>
      </c>
      <c r="I451" s="696" t="s">
        <v>2914</v>
      </c>
      <c r="J451" s="696" t="s">
        <v>2915</v>
      </c>
      <c r="K451" s="696" t="s">
        <v>2916</v>
      </c>
      <c r="L451" s="699">
        <v>0</v>
      </c>
      <c r="M451" s="699">
        <v>0</v>
      </c>
      <c r="N451" s="696">
        <v>7</v>
      </c>
      <c r="O451" s="700">
        <v>2.5</v>
      </c>
      <c r="P451" s="699">
        <v>0</v>
      </c>
      <c r="Q451" s="701"/>
      <c r="R451" s="696">
        <v>4</v>
      </c>
      <c r="S451" s="701">
        <v>0.5714285714285714</v>
      </c>
      <c r="T451" s="700">
        <v>1.5</v>
      </c>
      <c r="U451" s="702">
        <v>0.6</v>
      </c>
    </row>
    <row r="452" spans="1:21" ht="14.4" customHeight="1" x14ac:dyDescent="0.3">
      <c r="A452" s="695">
        <v>7</v>
      </c>
      <c r="B452" s="696" t="s">
        <v>1978</v>
      </c>
      <c r="C452" s="696">
        <v>89301074</v>
      </c>
      <c r="D452" s="697" t="s">
        <v>3238</v>
      </c>
      <c r="E452" s="698" t="s">
        <v>2151</v>
      </c>
      <c r="F452" s="696" t="s">
        <v>2133</v>
      </c>
      <c r="G452" s="696" t="s">
        <v>2913</v>
      </c>
      <c r="H452" s="696" t="s">
        <v>547</v>
      </c>
      <c r="I452" s="696" t="s">
        <v>3040</v>
      </c>
      <c r="J452" s="696" t="s">
        <v>2915</v>
      </c>
      <c r="K452" s="696" t="s">
        <v>2916</v>
      </c>
      <c r="L452" s="699">
        <v>140.59</v>
      </c>
      <c r="M452" s="699">
        <v>562.36</v>
      </c>
      <c r="N452" s="696">
        <v>4</v>
      </c>
      <c r="O452" s="700">
        <v>2</v>
      </c>
      <c r="P452" s="699">
        <v>421.77</v>
      </c>
      <c r="Q452" s="701">
        <v>0.75</v>
      </c>
      <c r="R452" s="696">
        <v>3</v>
      </c>
      <c r="S452" s="701">
        <v>0.75</v>
      </c>
      <c r="T452" s="700">
        <v>1.5</v>
      </c>
      <c r="U452" s="702">
        <v>0.75</v>
      </c>
    </row>
    <row r="453" spans="1:21" ht="14.4" customHeight="1" x14ac:dyDescent="0.3">
      <c r="A453" s="695">
        <v>7</v>
      </c>
      <c r="B453" s="696" t="s">
        <v>1978</v>
      </c>
      <c r="C453" s="696">
        <v>89301074</v>
      </c>
      <c r="D453" s="697" t="s">
        <v>3238</v>
      </c>
      <c r="E453" s="698" t="s">
        <v>2151</v>
      </c>
      <c r="F453" s="696" t="s">
        <v>2133</v>
      </c>
      <c r="G453" s="696" t="s">
        <v>2233</v>
      </c>
      <c r="H453" s="696" t="s">
        <v>1438</v>
      </c>
      <c r="I453" s="696" t="s">
        <v>2397</v>
      </c>
      <c r="J453" s="696" t="s">
        <v>2235</v>
      </c>
      <c r="K453" s="696" t="s">
        <v>2398</v>
      </c>
      <c r="L453" s="699">
        <v>96.63</v>
      </c>
      <c r="M453" s="699">
        <v>579.78</v>
      </c>
      <c r="N453" s="696">
        <v>6</v>
      </c>
      <c r="O453" s="700">
        <v>1.5</v>
      </c>
      <c r="P453" s="699"/>
      <c r="Q453" s="701">
        <v>0</v>
      </c>
      <c r="R453" s="696"/>
      <c r="S453" s="701">
        <v>0</v>
      </c>
      <c r="T453" s="700"/>
      <c r="U453" s="702">
        <v>0</v>
      </c>
    </row>
    <row r="454" spans="1:21" ht="14.4" customHeight="1" x14ac:dyDescent="0.3">
      <c r="A454" s="695">
        <v>7</v>
      </c>
      <c r="B454" s="696" t="s">
        <v>1978</v>
      </c>
      <c r="C454" s="696">
        <v>89301074</v>
      </c>
      <c r="D454" s="697" t="s">
        <v>3238</v>
      </c>
      <c r="E454" s="698" t="s">
        <v>2151</v>
      </c>
      <c r="F454" s="696" t="s">
        <v>2133</v>
      </c>
      <c r="G454" s="696" t="s">
        <v>2233</v>
      </c>
      <c r="H454" s="696" t="s">
        <v>547</v>
      </c>
      <c r="I454" s="696" t="s">
        <v>2234</v>
      </c>
      <c r="J454" s="696" t="s">
        <v>2235</v>
      </c>
      <c r="K454" s="696" t="s">
        <v>2236</v>
      </c>
      <c r="L454" s="699">
        <v>96.63</v>
      </c>
      <c r="M454" s="699">
        <v>193.26</v>
      </c>
      <c r="N454" s="696">
        <v>2</v>
      </c>
      <c r="O454" s="700">
        <v>1</v>
      </c>
      <c r="P454" s="699">
        <v>96.63</v>
      </c>
      <c r="Q454" s="701">
        <v>0.5</v>
      </c>
      <c r="R454" s="696">
        <v>1</v>
      </c>
      <c r="S454" s="701">
        <v>0.5</v>
      </c>
      <c r="T454" s="700">
        <v>0.5</v>
      </c>
      <c r="U454" s="702">
        <v>0.5</v>
      </c>
    </row>
    <row r="455" spans="1:21" ht="14.4" customHeight="1" x14ac:dyDescent="0.3">
      <c r="A455" s="695">
        <v>7</v>
      </c>
      <c r="B455" s="696" t="s">
        <v>1978</v>
      </c>
      <c r="C455" s="696">
        <v>89301074</v>
      </c>
      <c r="D455" s="697" t="s">
        <v>3238</v>
      </c>
      <c r="E455" s="698" t="s">
        <v>2151</v>
      </c>
      <c r="F455" s="696" t="s">
        <v>2133</v>
      </c>
      <c r="G455" s="696" t="s">
        <v>2233</v>
      </c>
      <c r="H455" s="696" t="s">
        <v>547</v>
      </c>
      <c r="I455" s="696" t="s">
        <v>2917</v>
      </c>
      <c r="J455" s="696" t="s">
        <v>2918</v>
      </c>
      <c r="K455" s="696" t="s">
        <v>2919</v>
      </c>
      <c r="L455" s="699">
        <v>96.63</v>
      </c>
      <c r="M455" s="699">
        <v>193.26</v>
      </c>
      <c r="N455" s="696">
        <v>2</v>
      </c>
      <c r="O455" s="700">
        <v>1</v>
      </c>
      <c r="P455" s="699">
        <v>193.26</v>
      </c>
      <c r="Q455" s="701">
        <v>1</v>
      </c>
      <c r="R455" s="696">
        <v>2</v>
      </c>
      <c r="S455" s="701">
        <v>1</v>
      </c>
      <c r="T455" s="700">
        <v>1</v>
      </c>
      <c r="U455" s="702">
        <v>1</v>
      </c>
    </row>
    <row r="456" spans="1:21" ht="14.4" customHeight="1" x14ac:dyDescent="0.3">
      <c r="A456" s="695">
        <v>7</v>
      </c>
      <c r="B456" s="696" t="s">
        <v>1978</v>
      </c>
      <c r="C456" s="696">
        <v>89301074</v>
      </c>
      <c r="D456" s="697" t="s">
        <v>3238</v>
      </c>
      <c r="E456" s="698" t="s">
        <v>2151</v>
      </c>
      <c r="F456" s="696" t="s">
        <v>2133</v>
      </c>
      <c r="G456" s="696" t="s">
        <v>2262</v>
      </c>
      <c r="H456" s="696" t="s">
        <v>547</v>
      </c>
      <c r="I456" s="696" t="s">
        <v>2399</v>
      </c>
      <c r="J456" s="696" t="s">
        <v>2400</v>
      </c>
      <c r="K456" s="696" t="s">
        <v>728</v>
      </c>
      <c r="L456" s="699">
        <v>314.89999999999998</v>
      </c>
      <c r="M456" s="699">
        <v>314.89999999999998</v>
      </c>
      <c r="N456" s="696">
        <v>1</v>
      </c>
      <c r="O456" s="700">
        <v>0.5</v>
      </c>
      <c r="P456" s="699"/>
      <c r="Q456" s="701">
        <v>0</v>
      </c>
      <c r="R456" s="696"/>
      <c r="S456" s="701">
        <v>0</v>
      </c>
      <c r="T456" s="700"/>
      <c r="U456" s="702">
        <v>0</v>
      </c>
    </row>
    <row r="457" spans="1:21" ht="14.4" customHeight="1" x14ac:dyDescent="0.3">
      <c r="A457" s="695">
        <v>7</v>
      </c>
      <c r="B457" s="696" t="s">
        <v>1978</v>
      </c>
      <c r="C457" s="696">
        <v>89301074</v>
      </c>
      <c r="D457" s="697" t="s">
        <v>3238</v>
      </c>
      <c r="E457" s="698" t="s">
        <v>2151</v>
      </c>
      <c r="F457" s="696" t="s">
        <v>2133</v>
      </c>
      <c r="G457" s="696" t="s">
        <v>3041</v>
      </c>
      <c r="H457" s="696" t="s">
        <v>1438</v>
      </c>
      <c r="I457" s="696" t="s">
        <v>3042</v>
      </c>
      <c r="J457" s="696" t="s">
        <v>3043</v>
      </c>
      <c r="K457" s="696" t="s">
        <v>3044</v>
      </c>
      <c r="L457" s="699">
        <v>1359.61</v>
      </c>
      <c r="M457" s="699">
        <v>4078.83</v>
      </c>
      <c r="N457" s="696">
        <v>3</v>
      </c>
      <c r="O457" s="700">
        <v>1</v>
      </c>
      <c r="P457" s="699"/>
      <c r="Q457" s="701">
        <v>0</v>
      </c>
      <c r="R457" s="696"/>
      <c r="S457" s="701">
        <v>0</v>
      </c>
      <c r="T457" s="700"/>
      <c r="U457" s="702">
        <v>0</v>
      </c>
    </row>
    <row r="458" spans="1:21" ht="14.4" customHeight="1" x14ac:dyDescent="0.3">
      <c r="A458" s="695">
        <v>7</v>
      </c>
      <c r="B458" s="696" t="s">
        <v>1978</v>
      </c>
      <c r="C458" s="696">
        <v>89301074</v>
      </c>
      <c r="D458" s="697" t="s">
        <v>3238</v>
      </c>
      <c r="E458" s="698" t="s">
        <v>2151</v>
      </c>
      <c r="F458" s="696" t="s">
        <v>2133</v>
      </c>
      <c r="G458" s="696" t="s">
        <v>3041</v>
      </c>
      <c r="H458" s="696" t="s">
        <v>1438</v>
      </c>
      <c r="I458" s="696" t="s">
        <v>3045</v>
      </c>
      <c r="J458" s="696" t="s">
        <v>3046</v>
      </c>
      <c r="K458" s="696" t="s">
        <v>3047</v>
      </c>
      <c r="L458" s="699">
        <v>1359.61</v>
      </c>
      <c r="M458" s="699">
        <v>1359.61</v>
      </c>
      <c r="N458" s="696">
        <v>1</v>
      </c>
      <c r="O458" s="700">
        <v>0.5</v>
      </c>
      <c r="P458" s="699"/>
      <c r="Q458" s="701">
        <v>0</v>
      </c>
      <c r="R458" s="696"/>
      <c r="S458" s="701">
        <v>0</v>
      </c>
      <c r="T458" s="700"/>
      <c r="U458" s="702">
        <v>0</v>
      </c>
    </row>
    <row r="459" spans="1:21" ht="14.4" customHeight="1" x14ac:dyDescent="0.3">
      <c r="A459" s="695">
        <v>7</v>
      </c>
      <c r="B459" s="696" t="s">
        <v>1978</v>
      </c>
      <c r="C459" s="696">
        <v>89301074</v>
      </c>
      <c r="D459" s="697" t="s">
        <v>3238</v>
      </c>
      <c r="E459" s="698" t="s">
        <v>2151</v>
      </c>
      <c r="F459" s="696" t="s">
        <v>2133</v>
      </c>
      <c r="G459" s="696" t="s">
        <v>2734</v>
      </c>
      <c r="H459" s="696" t="s">
        <v>547</v>
      </c>
      <c r="I459" s="696" t="s">
        <v>2738</v>
      </c>
      <c r="J459" s="696" t="s">
        <v>2736</v>
      </c>
      <c r="K459" s="696" t="s">
        <v>2739</v>
      </c>
      <c r="L459" s="699">
        <v>3507.07</v>
      </c>
      <c r="M459" s="699">
        <v>42084.840000000004</v>
      </c>
      <c r="N459" s="696">
        <v>12</v>
      </c>
      <c r="O459" s="700">
        <v>4</v>
      </c>
      <c r="P459" s="699">
        <v>24549.49</v>
      </c>
      <c r="Q459" s="701">
        <v>0.58333333333333337</v>
      </c>
      <c r="R459" s="696">
        <v>7</v>
      </c>
      <c r="S459" s="701">
        <v>0.58333333333333337</v>
      </c>
      <c r="T459" s="700">
        <v>2</v>
      </c>
      <c r="U459" s="702">
        <v>0.5</v>
      </c>
    </row>
    <row r="460" spans="1:21" ht="14.4" customHeight="1" x14ac:dyDescent="0.3">
      <c r="A460" s="695">
        <v>7</v>
      </c>
      <c r="B460" s="696" t="s">
        <v>1978</v>
      </c>
      <c r="C460" s="696">
        <v>89301074</v>
      </c>
      <c r="D460" s="697" t="s">
        <v>3238</v>
      </c>
      <c r="E460" s="698" t="s">
        <v>2151</v>
      </c>
      <c r="F460" s="696" t="s">
        <v>2133</v>
      </c>
      <c r="G460" s="696" t="s">
        <v>2734</v>
      </c>
      <c r="H460" s="696" t="s">
        <v>547</v>
      </c>
      <c r="I460" s="696" t="s">
        <v>2740</v>
      </c>
      <c r="J460" s="696" t="s">
        <v>2741</v>
      </c>
      <c r="K460" s="696" t="s">
        <v>2742</v>
      </c>
      <c r="L460" s="699">
        <v>474.91</v>
      </c>
      <c r="M460" s="699">
        <v>2849.46</v>
      </c>
      <c r="N460" s="696">
        <v>6</v>
      </c>
      <c r="O460" s="700">
        <v>2</v>
      </c>
      <c r="P460" s="699">
        <v>2849.46</v>
      </c>
      <c r="Q460" s="701">
        <v>1</v>
      </c>
      <c r="R460" s="696">
        <v>6</v>
      </c>
      <c r="S460" s="701">
        <v>1</v>
      </c>
      <c r="T460" s="700">
        <v>2</v>
      </c>
      <c r="U460" s="702">
        <v>1</v>
      </c>
    </row>
    <row r="461" spans="1:21" ht="14.4" customHeight="1" x14ac:dyDescent="0.3">
      <c r="A461" s="695">
        <v>7</v>
      </c>
      <c r="B461" s="696" t="s">
        <v>1978</v>
      </c>
      <c r="C461" s="696">
        <v>89301074</v>
      </c>
      <c r="D461" s="697" t="s">
        <v>3238</v>
      </c>
      <c r="E461" s="698" t="s">
        <v>2151</v>
      </c>
      <c r="F461" s="696" t="s">
        <v>2133</v>
      </c>
      <c r="G461" s="696" t="s">
        <v>2734</v>
      </c>
      <c r="H461" s="696" t="s">
        <v>547</v>
      </c>
      <c r="I461" s="696" t="s">
        <v>2920</v>
      </c>
      <c r="J461" s="696" t="s">
        <v>2741</v>
      </c>
      <c r="K461" s="696" t="s">
        <v>2921</v>
      </c>
      <c r="L461" s="699">
        <v>949.83</v>
      </c>
      <c r="M461" s="699">
        <v>36093.54</v>
      </c>
      <c r="N461" s="696">
        <v>38</v>
      </c>
      <c r="O461" s="700">
        <v>10</v>
      </c>
      <c r="P461" s="699">
        <v>29444.730000000003</v>
      </c>
      <c r="Q461" s="701">
        <v>0.81578947368421062</v>
      </c>
      <c r="R461" s="696">
        <v>31</v>
      </c>
      <c r="S461" s="701">
        <v>0.81578947368421051</v>
      </c>
      <c r="T461" s="700">
        <v>8</v>
      </c>
      <c r="U461" s="702">
        <v>0.8</v>
      </c>
    </row>
    <row r="462" spans="1:21" ht="14.4" customHeight="1" x14ac:dyDescent="0.3">
      <c r="A462" s="695">
        <v>7</v>
      </c>
      <c r="B462" s="696" t="s">
        <v>1978</v>
      </c>
      <c r="C462" s="696">
        <v>89301074</v>
      </c>
      <c r="D462" s="697" t="s">
        <v>3238</v>
      </c>
      <c r="E462" s="698" t="s">
        <v>2151</v>
      </c>
      <c r="F462" s="696" t="s">
        <v>2133</v>
      </c>
      <c r="G462" s="696" t="s">
        <v>2734</v>
      </c>
      <c r="H462" s="696" t="s">
        <v>547</v>
      </c>
      <c r="I462" s="696" t="s">
        <v>2922</v>
      </c>
      <c r="J462" s="696" t="s">
        <v>2923</v>
      </c>
      <c r="K462" s="696" t="s">
        <v>2924</v>
      </c>
      <c r="L462" s="699">
        <v>305.12</v>
      </c>
      <c r="M462" s="699">
        <v>1220.48</v>
      </c>
      <c r="N462" s="696">
        <v>4</v>
      </c>
      <c r="O462" s="700">
        <v>1</v>
      </c>
      <c r="P462" s="699">
        <v>1220.48</v>
      </c>
      <c r="Q462" s="701">
        <v>1</v>
      </c>
      <c r="R462" s="696">
        <v>4</v>
      </c>
      <c r="S462" s="701">
        <v>1</v>
      </c>
      <c r="T462" s="700">
        <v>1</v>
      </c>
      <c r="U462" s="702">
        <v>1</v>
      </c>
    </row>
    <row r="463" spans="1:21" ht="14.4" customHeight="1" x14ac:dyDescent="0.3">
      <c r="A463" s="695">
        <v>7</v>
      </c>
      <c r="B463" s="696" t="s">
        <v>1978</v>
      </c>
      <c r="C463" s="696">
        <v>89301074</v>
      </c>
      <c r="D463" s="697" t="s">
        <v>3238</v>
      </c>
      <c r="E463" s="698" t="s">
        <v>2151</v>
      </c>
      <c r="F463" s="696" t="s">
        <v>2133</v>
      </c>
      <c r="G463" s="696" t="s">
        <v>2734</v>
      </c>
      <c r="H463" s="696" t="s">
        <v>547</v>
      </c>
      <c r="I463" s="696" t="s">
        <v>2743</v>
      </c>
      <c r="J463" s="696" t="s">
        <v>2744</v>
      </c>
      <c r="K463" s="696" t="s">
        <v>2745</v>
      </c>
      <c r="L463" s="699">
        <v>876.77</v>
      </c>
      <c r="M463" s="699">
        <v>5260.62</v>
      </c>
      <c r="N463" s="696">
        <v>6</v>
      </c>
      <c r="O463" s="700">
        <v>1</v>
      </c>
      <c r="P463" s="699">
        <v>5260.62</v>
      </c>
      <c r="Q463" s="701">
        <v>1</v>
      </c>
      <c r="R463" s="696">
        <v>6</v>
      </c>
      <c r="S463" s="701">
        <v>1</v>
      </c>
      <c r="T463" s="700">
        <v>1</v>
      </c>
      <c r="U463" s="702">
        <v>1</v>
      </c>
    </row>
    <row r="464" spans="1:21" ht="14.4" customHeight="1" x14ac:dyDescent="0.3">
      <c r="A464" s="695">
        <v>7</v>
      </c>
      <c r="B464" s="696" t="s">
        <v>1978</v>
      </c>
      <c r="C464" s="696">
        <v>89301074</v>
      </c>
      <c r="D464" s="697" t="s">
        <v>3238</v>
      </c>
      <c r="E464" s="698" t="s">
        <v>2151</v>
      </c>
      <c r="F464" s="696" t="s">
        <v>2133</v>
      </c>
      <c r="G464" s="696" t="s">
        <v>2734</v>
      </c>
      <c r="H464" s="696" t="s">
        <v>547</v>
      </c>
      <c r="I464" s="696" t="s">
        <v>3048</v>
      </c>
      <c r="J464" s="696" t="s">
        <v>2744</v>
      </c>
      <c r="K464" s="696" t="s">
        <v>3049</v>
      </c>
      <c r="L464" s="699">
        <v>1753.54</v>
      </c>
      <c r="M464" s="699">
        <v>70141.600000000006</v>
      </c>
      <c r="N464" s="696">
        <v>40</v>
      </c>
      <c r="O464" s="700">
        <v>11</v>
      </c>
      <c r="P464" s="699">
        <v>50852.660000000011</v>
      </c>
      <c r="Q464" s="701">
        <v>0.72500000000000009</v>
      </c>
      <c r="R464" s="696">
        <v>29</v>
      </c>
      <c r="S464" s="701">
        <v>0.72499999999999998</v>
      </c>
      <c r="T464" s="700">
        <v>7</v>
      </c>
      <c r="U464" s="702">
        <v>0.63636363636363635</v>
      </c>
    </row>
    <row r="465" spans="1:21" ht="14.4" customHeight="1" x14ac:dyDescent="0.3">
      <c r="A465" s="695">
        <v>7</v>
      </c>
      <c r="B465" s="696" t="s">
        <v>1978</v>
      </c>
      <c r="C465" s="696">
        <v>89301074</v>
      </c>
      <c r="D465" s="697" t="s">
        <v>3238</v>
      </c>
      <c r="E465" s="698" t="s">
        <v>2151</v>
      </c>
      <c r="F465" s="696" t="s">
        <v>2133</v>
      </c>
      <c r="G465" s="696" t="s">
        <v>2734</v>
      </c>
      <c r="H465" s="696" t="s">
        <v>547</v>
      </c>
      <c r="I465" s="696" t="s">
        <v>3050</v>
      </c>
      <c r="J465" s="696" t="s">
        <v>2936</v>
      </c>
      <c r="K465" s="696" t="s">
        <v>2924</v>
      </c>
      <c r="L465" s="699">
        <v>305.12</v>
      </c>
      <c r="M465" s="699">
        <v>6102.4000000000005</v>
      </c>
      <c r="N465" s="696">
        <v>20</v>
      </c>
      <c r="O465" s="700">
        <v>5</v>
      </c>
      <c r="P465" s="699">
        <v>4271.68</v>
      </c>
      <c r="Q465" s="701">
        <v>0.7</v>
      </c>
      <c r="R465" s="696">
        <v>14</v>
      </c>
      <c r="S465" s="701">
        <v>0.7</v>
      </c>
      <c r="T465" s="700">
        <v>4</v>
      </c>
      <c r="U465" s="702">
        <v>0.8</v>
      </c>
    </row>
    <row r="466" spans="1:21" ht="14.4" customHeight="1" x14ac:dyDescent="0.3">
      <c r="A466" s="695">
        <v>7</v>
      </c>
      <c r="B466" s="696" t="s">
        <v>1978</v>
      </c>
      <c r="C466" s="696">
        <v>89301074</v>
      </c>
      <c r="D466" s="697" t="s">
        <v>3238</v>
      </c>
      <c r="E466" s="698" t="s">
        <v>2151</v>
      </c>
      <c r="F466" s="696" t="s">
        <v>2133</v>
      </c>
      <c r="G466" s="696" t="s">
        <v>2734</v>
      </c>
      <c r="H466" s="696" t="s">
        <v>547</v>
      </c>
      <c r="I466" s="696" t="s">
        <v>3051</v>
      </c>
      <c r="J466" s="696" t="s">
        <v>2936</v>
      </c>
      <c r="K466" s="696" t="s">
        <v>3052</v>
      </c>
      <c r="L466" s="699">
        <v>610.23</v>
      </c>
      <c r="M466" s="699">
        <v>2440.92</v>
      </c>
      <c r="N466" s="696">
        <v>4</v>
      </c>
      <c r="O466" s="700">
        <v>1</v>
      </c>
      <c r="P466" s="699"/>
      <c r="Q466" s="701">
        <v>0</v>
      </c>
      <c r="R466" s="696"/>
      <c r="S466" s="701">
        <v>0</v>
      </c>
      <c r="T466" s="700"/>
      <c r="U466" s="702">
        <v>0</v>
      </c>
    </row>
    <row r="467" spans="1:21" ht="14.4" customHeight="1" x14ac:dyDescent="0.3">
      <c r="A467" s="695">
        <v>7</v>
      </c>
      <c r="B467" s="696" t="s">
        <v>1978</v>
      </c>
      <c r="C467" s="696">
        <v>89301074</v>
      </c>
      <c r="D467" s="697" t="s">
        <v>3238</v>
      </c>
      <c r="E467" s="698" t="s">
        <v>2151</v>
      </c>
      <c r="F467" s="696" t="s">
        <v>2133</v>
      </c>
      <c r="G467" s="696" t="s">
        <v>2734</v>
      </c>
      <c r="H467" s="696" t="s">
        <v>547</v>
      </c>
      <c r="I467" s="696" t="s">
        <v>2925</v>
      </c>
      <c r="J467" s="696" t="s">
        <v>2926</v>
      </c>
      <c r="K467" s="696" t="s">
        <v>2742</v>
      </c>
      <c r="L467" s="699">
        <v>474.91</v>
      </c>
      <c r="M467" s="699">
        <v>1899.64</v>
      </c>
      <c r="N467" s="696">
        <v>4</v>
      </c>
      <c r="O467" s="700">
        <v>2</v>
      </c>
      <c r="P467" s="699">
        <v>1899.64</v>
      </c>
      <c r="Q467" s="701">
        <v>1</v>
      </c>
      <c r="R467" s="696">
        <v>4</v>
      </c>
      <c r="S467" s="701">
        <v>1</v>
      </c>
      <c r="T467" s="700">
        <v>2</v>
      </c>
      <c r="U467" s="702">
        <v>1</v>
      </c>
    </row>
    <row r="468" spans="1:21" ht="14.4" customHeight="1" x14ac:dyDescent="0.3">
      <c r="A468" s="695">
        <v>7</v>
      </c>
      <c r="B468" s="696" t="s">
        <v>1978</v>
      </c>
      <c r="C468" s="696">
        <v>89301074</v>
      </c>
      <c r="D468" s="697" t="s">
        <v>3238</v>
      </c>
      <c r="E468" s="698" t="s">
        <v>2151</v>
      </c>
      <c r="F468" s="696" t="s">
        <v>2133</v>
      </c>
      <c r="G468" s="696" t="s">
        <v>2734</v>
      </c>
      <c r="H468" s="696" t="s">
        <v>547</v>
      </c>
      <c r="I468" s="696" t="s">
        <v>3053</v>
      </c>
      <c r="J468" s="696" t="s">
        <v>2926</v>
      </c>
      <c r="K468" s="696" t="s">
        <v>2921</v>
      </c>
      <c r="L468" s="699">
        <v>949.83</v>
      </c>
      <c r="M468" s="699">
        <v>3799.32</v>
      </c>
      <c r="N468" s="696">
        <v>4</v>
      </c>
      <c r="O468" s="700">
        <v>1</v>
      </c>
      <c r="P468" s="699"/>
      <c r="Q468" s="701">
        <v>0</v>
      </c>
      <c r="R468" s="696"/>
      <c r="S468" s="701">
        <v>0</v>
      </c>
      <c r="T468" s="700"/>
      <c r="U468" s="702">
        <v>0</v>
      </c>
    </row>
    <row r="469" spans="1:21" ht="14.4" customHeight="1" x14ac:dyDescent="0.3">
      <c r="A469" s="695">
        <v>7</v>
      </c>
      <c r="B469" s="696" t="s">
        <v>1978</v>
      </c>
      <c r="C469" s="696">
        <v>89301074</v>
      </c>
      <c r="D469" s="697" t="s">
        <v>3238</v>
      </c>
      <c r="E469" s="698" t="s">
        <v>2151</v>
      </c>
      <c r="F469" s="696" t="s">
        <v>2133</v>
      </c>
      <c r="G469" s="696" t="s">
        <v>2734</v>
      </c>
      <c r="H469" s="696" t="s">
        <v>547</v>
      </c>
      <c r="I469" s="696" t="s">
        <v>3054</v>
      </c>
      <c r="J469" s="696" t="s">
        <v>2736</v>
      </c>
      <c r="K469" s="696" t="s">
        <v>3055</v>
      </c>
      <c r="L469" s="699">
        <v>0</v>
      </c>
      <c r="M469" s="699">
        <v>0</v>
      </c>
      <c r="N469" s="696">
        <v>3</v>
      </c>
      <c r="O469" s="700">
        <v>1</v>
      </c>
      <c r="P469" s="699">
        <v>0</v>
      </c>
      <c r="Q469" s="701"/>
      <c r="R469" s="696">
        <v>3</v>
      </c>
      <c r="S469" s="701">
        <v>1</v>
      </c>
      <c r="T469" s="700">
        <v>1</v>
      </c>
      <c r="U469" s="702">
        <v>1</v>
      </c>
    </row>
    <row r="470" spans="1:21" ht="14.4" customHeight="1" x14ac:dyDescent="0.3">
      <c r="A470" s="695">
        <v>7</v>
      </c>
      <c r="B470" s="696" t="s">
        <v>1978</v>
      </c>
      <c r="C470" s="696">
        <v>89301074</v>
      </c>
      <c r="D470" s="697" t="s">
        <v>3238</v>
      </c>
      <c r="E470" s="698" t="s">
        <v>2151</v>
      </c>
      <c r="F470" s="696" t="s">
        <v>2133</v>
      </c>
      <c r="G470" s="696" t="s">
        <v>2734</v>
      </c>
      <c r="H470" s="696" t="s">
        <v>547</v>
      </c>
      <c r="I470" s="696" t="s">
        <v>3056</v>
      </c>
      <c r="J470" s="696" t="s">
        <v>3057</v>
      </c>
      <c r="K470" s="696" t="s">
        <v>2742</v>
      </c>
      <c r="L470" s="699">
        <v>0</v>
      </c>
      <c r="M470" s="699">
        <v>0</v>
      </c>
      <c r="N470" s="696">
        <v>4</v>
      </c>
      <c r="O470" s="700">
        <v>1</v>
      </c>
      <c r="P470" s="699">
        <v>0</v>
      </c>
      <c r="Q470" s="701"/>
      <c r="R470" s="696">
        <v>4</v>
      </c>
      <c r="S470" s="701">
        <v>1</v>
      </c>
      <c r="T470" s="700">
        <v>1</v>
      </c>
      <c r="U470" s="702">
        <v>1</v>
      </c>
    </row>
    <row r="471" spans="1:21" ht="14.4" customHeight="1" x14ac:dyDescent="0.3">
      <c r="A471" s="695">
        <v>7</v>
      </c>
      <c r="B471" s="696" t="s">
        <v>1978</v>
      </c>
      <c r="C471" s="696">
        <v>89301074</v>
      </c>
      <c r="D471" s="697" t="s">
        <v>3238</v>
      </c>
      <c r="E471" s="698" t="s">
        <v>2151</v>
      </c>
      <c r="F471" s="696" t="s">
        <v>2133</v>
      </c>
      <c r="G471" s="696" t="s">
        <v>2748</v>
      </c>
      <c r="H471" s="696" t="s">
        <v>547</v>
      </c>
      <c r="I471" s="696" t="s">
        <v>2755</v>
      </c>
      <c r="J471" s="696" t="s">
        <v>2756</v>
      </c>
      <c r="K471" s="696" t="s">
        <v>2757</v>
      </c>
      <c r="L471" s="699">
        <v>3858.27</v>
      </c>
      <c r="M471" s="699">
        <v>46299.24</v>
      </c>
      <c r="N471" s="696">
        <v>12</v>
      </c>
      <c r="O471" s="700">
        <v>4</v>
      </c>
      <c r="P471" s="699">
        <v>27007.89</v>
      </c>
      <c r="Q471" s="701">
        <v>0.58333333333333337</v>
      </c>
      <c r="R471" s="696">
        <v>7</v>
      </c>
      <c r="S471" s="701">
        <v>0.58333333333333337</v>
      </c>
      <c r="T471" s="700">
        <v>2</v>
      </c>
      <c r="U471" s="702">
        <v>0.5</v>
      </c>
    </row>
    <row r="472" spans="1:21" ht="14.4" customHeight="1" x14ac:dyDescent="0.3">
      <c r="A472" s="695">
        <v>7</v>
      </c>
      <c r="B472" s="696" t="s">
        <v>1978</v>
      </c>
      <c r="C472" s="696">
        <v>89301074</v>
      </c>
      <c r="D472" s="697" t="s">
        <v>3238</v>
      </c>
      <c r="E472" s="698" t="s">
        <v>2151</v>
      </c>
      <c r="F472" s="696" t="s">
        <v>2133</v>
      </c>
      <c r="G472" s="696" t="s">
        <v>2748</v>
      </c>
      <c r="H472" s="696" t="s">
        <v>547</v>
      </c>
      <c r="I472" s="696" t="s">
        <v>3058</v>
      </c>
      <c r="J472" s="696" t="s">
        <v>2756</v>
      </c>
      <c r="K472" s="696" t="s">
        <v>3059</v>
      </c>
      <c r="L472" s="699">
        <v>0</v>
      </c>
      <c r="M472" s="699">
        <v>0</v>
      </c>
      <c r="N472" s="696">
        <v>1</v>
      </c>
      <c r="O472" s="700">
        <v>1</v>
      </c>
      <c r="P472" s="699"/>
      <c r="Q472" s="701"/>
      <c r="R472" s="696"/>
      <c r="S472" s="701">
        <v>0</v>
      </c>
      <c r="T472" s="700"/>
      <c r="U472" s="702">
        <v>0</v>
      </c>
    </row>
    <row r="473" spans="1:21" ht="14.4" customHeight="1" x14ac:dyDescent="0.3">
      <c r="A473" s="695">
        <v>7</v>
      </c>
      <c r="B473" s="696" t="s">
        <v>1978</v>
      </c>
      <c r="C473" s="696">
        <v>89301074</v>
      </c>
      <c r="D473" s="697" t="s">
        <v>3238</v>
      </c>
      <c r="E473" s="698" t="s">
        <v>2151</v>
      </c>
      <c r="F473" s="696" t="s">
        <v>2133</v>
      </c>
      <c r="G473" s="696" t="s">
        <v>2748</v>
      </c>
      <c r="H473" s="696" t="s">
        <v>547</v>
      </c>
      <c r="I473" s="696" t="s">
        <v>3060</v>
      </c>
      <c r="J473" s="696" t="s">
        <v>2750</v>
      </c>
      <c r="K473" s="696" t="s">
        <v>3061</v>
      </c>
      <c r="L473" s="699">
        <v>0</v>
      </c>
      <c r="M473" s="699">
        <v>0</v>
      </c>
      <c r="N473" s="696">
        <v>3</v>
      </c>
      <c r="O473" s="700">
        <v>1</v>
      </c>
      <c r="P473" s="699">
        <v>0</v>
      </c>
      <c r="Q473" s="701"/>
      <c r="R473" s="696">
        <v>3</v>
      </c>
      <c r="S473" s="701">
        <v>1</v>
      </c>
      <c r="T473" s="700">
        <v>1</v>
      </c>
      <c r="U473" s="702">
        <v>1</v>
      </c>
    </row>
    <row r="474" spans="1:21" ht="14.4" customHeight="1" x14ac:dyDescent="0.3">
      <c r="A474" s="695">
        <v>7</v>
      </c>
      <c r="B474" s="696" t="s">
        <v>1978</v>
      </c>
      <c r="C474" s="696">
        <v>89301074</v>
      </c>
      <c r="D474" s="697" t="s">
        <v>3238</v>
      </c>
      <c r="E474" s="698" t="s">
        <v>2151</v>
      </c>
      <c r="F474" s="696" t="s">
        <v>2133</v>
      </c>
      <c r="G474" s="696" t="s">
        <v>2748</v>
      </c>
      <c r="H474" s="696" t="s">
        <v>547</v>
      </c>
      <c r="I474" s="696" t="s">
        <v>3062</v>
      </c>
      <c r="J474" s="696" t="s">
        <v>2756</v>
      </c>
      <c r="K474" s="696" t="s">
        <v>3063</v>
      </c>
      <c r="L474" s="699">
        <v>0</v>
      </c>
      <c r="M474" s="699">
        <v>0</v>
      </c>
      <c r="N474" s="696">
        <v>12</v>
      </c>
      <c r="O474" s="700">
        <v>2</v>
      </c>
      <c r="P474" s="699">
        <v>0</v>
      </c>
      <c r="Q474" s="701"/>
      <c r="R474" s="696">
        <v>6</v>
      </c>
      <c r="S474" s="701">
        <v>0.5</v>
      </c>
      <c r="T474" s="700">
        <v>1</v>
      </c>
      <c r="U474" s="702">
        <v>0.5</v>
      </c>
    </row>
    <row r="475" spans="1:21" ht="14.4" customHeight="1" x14ac:dyDescent="0.3">
      <c r="A475" s="695">
        <v>7</v>
      </c>
      <c r="B475" s="696" t="s">
        <v>1978</v>
      </c>
      <c r="C475" s="696">
        <v>89301074</v>
      </c>
      <c r="D475" s="697" t="s">
        <v>3238</v>
      </c>
      <c r="E475" s="698" t="s">
        <v>2151</v>
      </c>
      <c r="F475" s="696" t="s">
        <v>2133</v>
      </c>
      <c r="G475" s="696" t="s">
        <v>2748</v>
      </c>
      <c r="H475" s="696" t="s">
        <v>547</v>
      </c>
      <c r="I475" s="696" t="s">
        <v>2760</v>
      </c>
      <c r="J475" s="696" t="s">
        <v>2756</v>
      </c>
      <c r="K475" s="696" t="s">
        <v>2761</v>
      </c>
      <c r="L475" s="699">
        <v>0</v>
      </c>
      <c r="M475" s="699">
        <v>0</v>
      </c>
      <c r="N475" s="696">
        <v>2</v>
      </c>
      <c r="O475" s="700">
        <v>1</v>
      </c>
      <c r="P475" s="699"/>
      <c r="Q475" s="701"/>
      <c r="R475" s="696"/>
      <c r="S475" s="701">
        <v>0</v>
      </c>
      <c r="T475" s="700"/>
      <c r="U475" s="702">
        <v>0</v>
      </c>
    </row>
    <row r="476" spans="1:21" ht="14.4" customHeight="1" x14ac:dyDescent="0.3">
      <c r="A476" s="695">
        <v>7</v>
      </c>
      <c r="B476" s="696" t="s">
        <v>1978</v>
      </c>
      <c r="C476" s="696">
        <v>89301074</v>
      </c>
      <c r="D476" s="697" t="s">
        <v>3238</v>
      </c>
      <c r="E476" s="698" t="s">
        <v>2151</v>
      </c>
      <c r="F476" s="696" t="s">
        <v>2133</v>
      </c>
      <c r="G476" s="696" t="s">
        <v>2237</v>
      </c>
      <c r="H476" s="696" t="s">
        <v>547</v>
      </c>
      <c r="I476" s="696" t="s">
        <v>2938</v>
      </c>
      <c r="J476" s="696" t="s">
        <v>739</v>
      </c>
      <c r="K476" s="696" t="s">
        <v>2939</v>
      </c>
      <c r="L476" s="699">
        <v>113.37</v>
      </c>
      <c r="M476" s="699">
        <v>2720.88</v>
      </c>
      <c r="N476" s="696">
        <v>24</v>
      </c>
      <c r="O476" s="700">
        <v>7.5</v>
      </c>
      <c r="P476" s="699">
        <v>1247.0700000000002</v>
      </c>
      <c r="Q476" s="701">
        <v>0.45833333333333337</v>
      </c>
      <c r="R476" s="696">
        <v>11</v>
      </c>
      <c r="S476" s="701">
        <v>0.45833333333333331</v>
      </c>
      <c r="T476" s="700">
        <v>3.5</v>
      </c>
      <c r="U476" s="702">
        <v>0.46666666666666667</v>
      </c>
    </row>
    <row r="477" spans="1:21" ht="14.4" customHeight="1" x14ac:dyDescent="0.3">
      <c r="A477" s="695">
        <v>7</v>
      </c>
      <c r="B477" s="696" t="s">
        <v>1978</v>
      </c>
      <c r="C477" s="696">
        <v>89301074</v>
      </c>
      <c r="D477" s="697" t="s">
        <v>3238</v>
      </c>
      <c r="E477" s="698" t="s">
        <v>2151</v>
      </c>
      <c r="F477" s="696" t="s">
        <v>2133</v>
      </c>
      <c r="G477" s="696" t="s">
        <v>2271</v>
      </c>
      <c r="H477" s="696" t="s">
        <v>547</v>
      </c>
      <c r="I477" s="696" t="s">
        <v>2766</v>
      </c>
      <c r="J477" s="696" t="s">
        <v>2767</v>
      </c>
      <c r="K477" s="696" t="s">
        <v>2768</v>
      </c>
      <c r="L477" s="699">
        <v>22.88</v>
      </c>
      <c r="M477" s="699">
        <v>160.16</v>
      </c>
      <c r="N477" s="696">
        <v>7</v>
      </c>
      <c r="O477" s="700">
        <v>2</v>
      </c>
      <c r="P477" s="699">
        <v>45.76</v>
      </c>
      <c r="Q477" s="701">
        <v>0.2857142857142857</v>
      </c>
      <c r="R477" s="696">
        <v>2</v>
      </c>
      <c r="S477" s="701">
        <v>0.2857142857142857</v>
      </c>
      <c r="T477" s="700">
        <v>0.5</v>
      </c>
      <c r="U477" s="702">
        <v>0.25</v>
      </c>
    </row>
    <row r="478" spans="1:21" ht="14.4" customHeight="1" x14ac:dyDescent="0.3">
      <c r="A478" s="695">
        <v>7</v>
      </c>
      <c r="B478" s="696" t="s">
        <v>1978</v>
      </c>
      <c r="C478" s="696">
        <v>89301074</v>
      </c>
      <c r="D478" s="697" t="s">
        <v>3238</v>
      </c>
      <c r="E478" s="698" t="s">
        <v>2151</v>
      </c>
      <c r="F478" s="696" t="s">
        <v>2133</v>
      </c>
      <c r="G478" s="696" t="s">
        <v>2271</v>
      </c>
      <c r="H478" s="696" t="s">
        <v>547</v>
      </c>
      <c r="I478" s="696" t="s">
        <v>1071</v>
      </c>
      <c r="J478" s="696" t="s">
        <v>2272</v>
      </c>
      <c r="K478" s="696" t="s">
        <v>2273</v>
      </c>
      <c r="L478" s="699">
        <v>91.52</v>
      </c>
      <c r="M478" s="699">
        <v>1281.28</v>
      </c>
      <c r="N478" s="696">
        <v>14</v>
      </c>
      <c r="O478" s="700">
        <v>4</v>
      </c>
      <c r="P478" s="699">
        <v>1006.72</v>
      </c>
      <c r="Q478" s="701">
        <v>0.7857142857142857</v>
      </c>
      <c r="R478" s="696">
        <v>11</v>
      </c>
      <c r="S478" s="701">
        <v>0.7857142857142857</v>
      </c>
      <c r="T478" s="700">
        <v>3</v>
      </c>
      <c r="U478" s="702">
        <v>0.75</v>
      </c>
    </row>
    <row r="479" spans="1:21" ht="14.4" customHeight="1" x14ac:dyDescent="0.3">
      <c r="A479" s="695">
        <v>7</v>
      </c>
      <c r="B479" s="696" t="s">
        <v>1978</v>
      </c>
      <c r="C479" s="696">
        <v>89301074</v>
      </c>
      <c r="D479" s="697" t="s">
        <v>3238</v>
      </c>
      <c r="E479" s="698" t="s">
        <v>2151</v>
      </c>
      <c r="F479" s="696" t="s">
        <v>2133</v>
      </c>
      <c r="G479" s="696" t="s">
        <v>2769</v>
      </c>
      <c r="H479" s="696" t="s">
        <v>1438</v>
      </c>
      <c r="I479" s="696" t="s">
        <v>2770</v>
      </c>
      <c r="J479" s="696" t="s">
        <v>2771</v>
      </c>
      <c r="K479" s="696" t="s">
        <v>2772</v>
      </c>
      <c r="L479" s="699">
        <v>1344.66</v>
      </c>
      <c r="M479" s="699">
        <v>4033.9800000000005</v>
      </c>
      <c r="N479" s="696">
        <v>3</v>
      </c>
      <c r="O479" s="700">
        <v>1.5</v>
      </c>
      <c r="P479" s="699">
        <v>1344.66</v>
      </c>
      <c r="Q479" s="701">
        <v>0.33333333333333331</v>
      </c>
      <c r="R479" s="696">
        <v>1</v>
      </c>
      <c r="S479" s="701">
        <v>0.33333333333333331</v>
      </c>
      <c r="T479" s="700">
        <v>0.5</v>
      </c>
      <c r="U479" s="702">
        <v>0.33333333333333331</v>
      </c>
    </row>
    <row r="480" spans="1:21" ht="14.4" customHeight="1" x14ac:dyDescent="0.3">
      <c r="A480" s="695">
        <v>7</v>
      </c>
      <c r="B480" s="696" t="s">
        <v>1978</v>
      </c>
      <c r="C480" s="696">
        <v>89301074</v>
      </c>
      <c r="D480" s="697" t="s">
        <v>3238</v>
      </c>
      <c r="E480" s="698" t="s">
        <v>2151</v>
      </c>
      <c r="F480" s="696" t="s">
        <v>2133</v>
      </c>
      <c r="G480" s="696" t="s">
        <v>2769</v>
      </c>
      <c r="H480" s="696" t="s">
        <v>1438</v>
      </c>
      <c r="I480" s="696" t="s">
        <v>2773</v>
      </c>
      <c r="J480" s="696" t="s">
        <v>2774</v>
      </c>
      <c r="K480" s="696" t="s">
        <v>2775</v>
      </c>
      <c r="L480" s="699">
        <v>1793.46</v>
      </c>
      <c r="M480" s="699">
        <v>43043.040000000001</v>
      </c>
      <c r="N480" s="696">
        <v>24</v>
      </c>
      <c r="O480" s="700">
        <v>5.5</v>
      </c>
      <c r="P480" s="699">
        <v>23314.98</v>
      </c>
      <c r="Q480" s="701">
        <v>0.54166666666666663</v>
      </c>
      <c r="R480" s="696">
        <v>13</v>
      </c>
      <c r="S480" s="701">
        <v>0.54166666666666663</v>
      </c>
      <c r="T480" s="700">
        <v>2.5</v>
      </c>
      <c r="U480" s="702">
        <v>0.45454545454545453</v>
      </c>
    </row>
    <row r="481" spans="1:21" ht="14.4" customHeight="1" x14ac:dyDescent="0.3">
      <c r="A481" s="695">
        <v>7</v>
      </c>
      <c r="B481" s="696" t="s">
        <v>1978</v>
      </c>
      <c r="C481" s="696">
        <v>89301074</v>
      </c>
      <c r="D481" s="697" t="s">
        <v>3238</v>
      </c>
      <c r="E481" s="698" t="s">
        <v>2151</v>
      </c>
      <c r="F481" s="696" t="s">
        <v>2133</v>
      </c>
      <c r="G481" s="696" t="s">
        <v>2198</v>
      </c>
      <c r="H481" s="696" t="s">
        <v>547</v>
      </c>
      <c r="I481" s="696" t="s">
        <v>742</v>
      </c>
      <c r="J481" s="696" t="s">
        <v>2199</v>
      </c>
      <c r="K481" s="696" t="s">
        <v>2200</v>
      </c>
      <c r="L481" s="699">
        <v>0</v>
      </c>
      <c r="M481" s="699">
        <v>0</v>
      </c>
      <c r="N481" s="696">
        <v>14</v>
      </c>
      <c r="O481" s="700">
        <v>4.5</v>
      </c>
      <c r="P481" s="699">
        <v>0</v>
      </c>
      <c r="Q481" s="701"/>
      <c r="R481" s="696">
        <v>12</v>
      </c>
      <c r="S481" s="701">
        <v>0.8571428571428571</v>
      </c>
      <c r="T481" s="700">
        <v>4</v>
      </c>
      <c r="U481" s="702">
        <v>0.88888888888888884</v>
      </c>
    </row>
    <row r="482" spans="1:21" ht="14.4" customHeight="1" x14ac:dyDescent="0.3">
      <c r="A482" s="695">
        <v>7</v>
      </c>
      <c r="B482" s="696" t="s">
        <v>1978</v>
      </c>
      <c r="C482" s="696">
        <v>89301074</v>
      </c>
      <c r="D482" s="697" t="s">
        <v>3238</v>
      </c>
      <c r="E482" s="698" t="s">
        <v>2151</v>
      </c>
      <c r="F482" s="696" t="s">
        <v>2133</v>
      </c>
      <c r="G482" s="696" t="s">
        <v>2278</v>
      </c>
      <c r="H482" s="696" t="s">
        <v>547</v>
      </c>
      <c r="I482" s="696" t="s">
        <v>3064</v>
      </c>
      <c r="J482" s="696" t="s">
        <v>2283</v>
      </c>
      <c r="K482" s="696" t="s">
        <v>3065</v>
      </c>
      <c r="L482" s="699">
        <v>0</v>
      </c>
      <c r="M482" s="699">
        <v>0</v>
      </c>
      <c r="N482" s="696">
        <v>2</v>
      </c>
      <c r="O482" s="700">
        <v>2</v>
      </c>
      <c r="P482" s="699">
        <v>0</v>
      </c>
      <c r="Q482" s="701"/>
      <c r="R482" s="696">
        <v>2</v>
      </c>
      <c r="S482" s="701">
        <v>1</v>
      </c>
      <c r="T482" s="700">
        <v>2</v>
      </c>
      <c r="U482" s="702">
        <v>1</v>
      </c>
    </row>
    <row r="483" spans="1:21" ht="14.4" customHeight="1" x14ac:dyDescent="0.3">
      <c r="A483" s="695">
        <v>7</v>
      </c>
      <c r="B483" s="696" t="s">
        <v>1978</v>
      </c>
      <c r="C483" s="696">
        <v>89301074</v>
      </c>
      <c r="D483" s="697" t="s">
        <v>3238</v>
      </c>
      <c r="E483" s="698" t="s">
        <v>2151</v>
      </c>
      <c r="F483" s="696" t="s">
        <v>2133</v>
      </c>
      <c r="G483" s="696" t="s">
        <v>2278</v>
      </c>
      <c r="H483" s="696" t="s">
        <v>547</v>
      </c>
      <c r="I483" s="696" t="s">
        <v>3066</v>
      </c>
      <c r="J483" s="696" t="s">
        <v>3067</v>
      </c>
      <c r="K483" s="696" t="s">
        <v>3068</v>
      </c>
      <c r="L483" s="699">
        <v>126.26</v>
      </c>
      <c r="M483" s="699">
        <v>126.26</v>
      </c>
      <c r="N483" s="696">
        <v>1</v>
      </c>
      <c r="O483" s="700">
        <v>0.5</v>
      </c>
      <c r="P483" s="699">
        <v>126.26</v>
      </c>
      <c r="Q483" s="701">
        <v>1</v>
      </c>
      <c r="R483" s="696">
        <v>1</v>
      </c>
      <c r="S483" s="701">
        <v>1</v>
      </c>
      <c r="T483" s="700">
        <v>0.5</v>
      </c>
      <c r="U483" s="702">
        <v>1</v>
      </c>
    </row>
    <row r="484" spans="1:21" ht="14.4" customHeight="1" x14ac:dyDescent="0.3">
      <c r="A484" s="695">
        <v>7</v>
      </c>
      <c r="B484" s="696" t="s">
        <v>1978</v>
      </c>
      <c r="C484" s="696">
        <v>89301074</v>
      </c>
      <c r="D484" s="697" t="s">
        <v>3238</v>
      </c>
      <c r="E484" s="698" t="s">
        <v>2151</v>
      </c>
      <c r="F484" s="696" t="s">
        <v>2133</v>
      </c>
      <c r="G484" s="696" t="s">
        <v>2451</v>
      </c>
      <c r="H484" s="696" t="s">
        <v>547</v>
      </c>
      <c r="I484" s="696" t="s">
        <v>2947</v>
      </c>
      <c r="J484" s="696" t="s">
        <v>2783</v>
      </c>
      <c r="K484" s="696" t="s">
        <v>2948</v>
      </c>
      <c r="L484" s="699">
        <v>1315.15</v>
      </c>
      <c r="M484" s="699">
        <v>5260.6</v>
      </c>
      <c r="N484" s="696">
        <v>4</v>
      </c>
      <c r="O484" s="700">
        <v>2</v>
      </c>
      <c r="P484" s="699"/>
      <c r="Q484" s="701">
        <v>0</v>
      </c>
      <c r="R484" s="696"/>
      <c r="S484" s="701">
        <v>0</v>
      </c>
      <c r="T484" s="700"/>
      <c r="U484" s="702">
        <v>0</v>
      </c>
    </row>
    <row r="485" spans="1:21" ht="14.4" customHeight="1" x14ac:dyDescent="0.3">
      <c r="A485" s="695">
        <v>7</v>
      </c>
      <c r="B485" s="696" t="s">
        <v>1978</v>
      </c>
      <c r="C485" s="696">
        <v>89301074</v>
      </c>
      <c r="D485" s="697" t="s">
        <v>3238</v>
      </c>
      <c r="E485" s="698" t="s">
        <v>2151</v>
      </c>
      <c r="F485" s="696" t="s">
        <v>2133</v>
      </c>
      <c r="G485" s="696" t="s">
        <v>2451</v>
      </c>
      <c r="H485" s="696" t="s">
        <v>547</v>
      </c>
      <c r="I485" s="696" t="s">
        <v>2452</v>
      </c>
      <c r="J485" s="696" t="s">
        <v>2453</v>
      </c>
      <c r="K485" s="696" t="s">
        <v>2454</v>
      </c>
      <c r="L485" s="699">
        <v>1753.54</v>
      </c>
      <c r="M485" s="699">
        <v>10521.24</v>
      </c>
      <c r="N485" s="696">
        <v>6</v>
      </c>
      <c r="O485" s="700">
        <v>2</v>
      </c>
      <c r="P485" s="699">
        <v>10521.24</v>
      </c>
      <c r="Q485" s="701">
        <v>1</v>
      </c>
      <c r="R485" s="696">
        <v>6</v>
      </c>
      <c r="S485" s="701">
        <v>1</v>
      </c>
      <c r="T485" s="700">
        <v>2</v>
      </c>
      <c r="U485" s="702">
        <v>1</v>
      </c>
    </row>
    <row r="486" spans="1:21" ht="14.4" customHeight="1" x14ac:dyDescent="0.3">
      <c r="A486" s="695">
        <v>7</v>
      </c>
      <c r="B486" s="696" t="s">
        <v>1978</v>
      </c>
      <c r="C486" s="696">
        <v>89301074</v>
      </c>
      <c r="D486" s="697" t="s">
        <v>3238</v>
      </c>
      <c r="E486" s="698" t="s">
        <v>2151</v>
      </c>
      <c r="F486" s="696" t="s">
        <v>2133</v>
      </c>
      <c r="G486" s="696" t="s">
        <v>2451</v>
      </c>
      <c r="H486" s="696" t="s">
        <v>547</v>
      </c>
      <c r="I486" s="696" t="s">
        <v>3069</v>
      </c>
      <c r="J486" s="696" t="s">
        <v>2786</v>
      </c>
      <c r="K486" s="696" t="s">
        <v>2614</v>
      </c>
      <c r="L486" s="699">
        <v>0</v>
      </c>
      <c r="M486" s="699">
        <v>0</v>
      </c>
      <c r="N486" s="696">
        <v>1</v>
      </c>
      <c r="O486" s="700">
        <v>1</v>
      </c>
      <c r="P486" s="699">
        <v>0</v>
      </c>
      <c r="Q486" s="701"/>
      <c r="R486" s="696">
        <v>1</v>
      </c>
      <c r="S486" s="701">
        <v>1</v>
      </c>
      <c r="T486" s="700">
        <v>1</v>
      </c>
      <c r="U486" s="702">
        <v>1</v>
      </c>
    </row>
    <row r="487" spans="1:21" ht="14.4" customHeight="1" x14ac:dyDescent="0.3">
      <c r="A487" s="695">
        <v>7</v>
      </c>
      <c r="B487" s="696" t="s">
        <v>1978</v>
      </c>
      <c r="C487" s="696">
        <v>89301074</v>
      </c>
      <c r="D487" s="697" t="s">
        <v>3238</v>
      </c>
      <c r="E487" s="698" t="s">
        <v>2151</v>
      </c>
      <c r="F487" s="696" t="s">
        <v>2133</v>
      </c>
      <c r="G487" s="696" t="s">
        <v>2451</v>
      </c>
      <c r="H487" s="696" t="s">
        <v>547</v>
      </c>
      <c r="I487" s="696" t="s">
        <v>3070</v>
      </c>
      <c r="J487" s="696" t="s">
        <v>2453</v>
      </c>
      <c r="K487" s="696" t="s">
        <v>3071</v>
      </c>
      <c r="L487" s="699">
        <v>0</v>
      </c>
      <c r="M487" s="699">
        <v>0</v>
      </c>
      <c r="N487" s="696">
        <v>1</v>
      </c>
      <c r="O487" s="700">
        <v>1</v>
      </c>
      <c r="P487" s="699"/>
      <c r="Q487" s="701"/>
      <c r="R487" s="696"/>
      <c r="S487" s="701">
        <v>0</v>
      </c>
      <c r="T487" s="700"/>
      <c r="U487" s="702">
        <v>0</v>
      </c>
    </row>
    <row r="488" spans="1:21" ht="14.4" customHeight="1" x14ac:dyDescent="0.3">
      <c r="A488" s="695">
        <v>7</v>
      </c>
      <c r="B488" s="696" t="s">
        <v>1978</v>
      </c>
      <c r="C488" s="696">
        <v>89301074</v>
      </c>
      <c r="D488" s="697" t="s">
        <v>3238</v>
      </c>
      <c r="E488" s="698" t="s">
        <v>2151</v>
      </c>
      <c r="F488" s="696" t="s">
        <v>2133</v>
      </c>
      <c r="G488" s="696" t="s">
        <v>2451</v>
      </c>
      <c r="H488" s="696" t="s">
        <v>547</v>
      </c>
      <c r="I488" s="696" t="s">
        <v>2779</v>
      </c>
      <c r="J488" s="696" t="s">
        <v>2780</v>
      </c>
      <c r="K488" s="696" t="s">
        <v>2781</v>
      </c>
      <c r="L488" s="699">
        <v>0</v>
      </c>
      <c r="M488" s="699">
        <v>0</v>
      </c>
      <c r="N488" s="696">
        <v>1</v>
      </c>
      <c r="O488" s="700">
        <v>1</v>
      </c>
      <c r="P488" s="699">
        <v>0</v>
      </c>
      <c r="Q488" s="701"/>
      <c r="R488" s="696">
        <v>1</v>
      </c>
      <c r="S488" s="701">
        <v>1</v>
      </c>
      <c r="T488" s="700">
        <v>1</v>
      </c>
      <c r="U488" s="702">
        <v>1</v>
      </c>
    </row>
    <row r="489" spans="1:21" ht="14.4" customHeight="1" x14ac:dyDescent="0.3">
      <c r="A489" s="695">
        <v>7</v>
      </c>
      <c r="B489" s="696" t="s">
        <v>1978</v>
      </c>
      <c r="C489" s="696">
        <v>89301074</v>
      </c>
      <c r="D489" s="697" t="s">
        <v>3238</v>
      </c>
      <c r="E489" s="698" t="s">
        <v>2151</v>
      </c>
      <c r="F489" s="696" t="s">
        <v>2133</v>
      </c>
      <c r="G489" s="696" t="s">
        <v>2451</v>
      </c>
      <c r="H489" s="696" t="s">
        <v>547</v>
      </c>
      <c r="I489" s="696" t="s">
        <v>2949</v>
      </c>
      <c r="J489" s="696" t="s">
        <v>2783</v>
      </c>
      <c r="K489" s="696" t="s">
        <v>2287</v>
      </c>
      <c r="L489" s="699">
        <v>657.58</v>
      </c>
      <c r="M489" s="699">
        <v>1315.16</v>
      </c>
      <c r="N489" s="696">
        <v>2</v>
      </c>
      <c r="O489" s="700">
        <v>1</v>
      </c>
      <c r="P489" s="699">
        <v>1315.16</v>
      </c>
      <c r="Q489" s="701">
        <v>1</v>
      </c>
      <c r="R489" s="696">
        <v>2</v>
      </c>
      <c r="S489" s="701">
        <v>1</v>
      </c>
      <c r="T489" s="700">
        <v>1</v>
      </c>
      <c r="U489" s="702">
        <v>1</v>
      </c>
    </row>
    <row r="490" spans="1:21" ht="14.4" customHeight="1" x14ac:dyDescent="0.3">
      <c r="A490" s="695">
        <v>7</v>
      </c>
      <c r="B490" s="696" t="s">
        <v>1978</v>
      </c>
      <c r="C490" s="696">
        <v>89301074</v>
      </c>
      <c r="D490" s="697" t="s">
        <v>3238</v>
      </c>
      <c r="E490" s="698" t="s">
        <v>2151</v>
      </c>
      <c r="F490" s="696" t="s">
        <v>2133</v>
      </c>
      <c r="G490" s="696" t="s">
        <v>2451</v>
      </c>
      <c r="H490" s="696" t="s">
        <v>547</v>
      </c>
      <c r="I490" s="696" t="s">
        <v>3072</v>
      </c>
      <c r="J490" s="696" t="s">
        <v>2453</v>
      </c>
      <c r="K490" s="696" t="s">
        <v>3073</v>
      </c>
      <c r="L490" s="699">
        <v>0</v>
      </c>
      <c r="M490" s="699">
        <v>0</v>
      </c>
      <c r="N490" s="696">
        <v>2</v>
      </c>
      <c r="O490" s="700">
        <v>1</v>
      </c>
      <c r="P490" s="699">
        <v>0</v>
      </c>
      <c r="Q490" s="701"/>
      <c r="R490" s="696">
        <v>2</v>
      </c>
      <c r="S490" s="701">
        <v>1</v>
      </c>
      <c r="T490" s="700">
        <v>1</v>
      </c>
      <c r="U490" s="702">
        <v>1</v>
      </c>
    </row>
    <row r="491" spans="1:21" ht="14.4" customHeight="1" x14ac:dyDescent="0.3">
      <c r="A491" s="695">
        <v>7</v>
      </c>
      <c r="B491" s="696" t="s">
        <v>1978</v>
      </c>
      <c r="C491" s="696">
        <v>89301074</v>
      </c>
      <c r="D491" s="697" t="s">
        <v>3238</v>
      </c>
      <c r="E491" s="698" t="s">
        <v>2151</v>
      </c>
      <c r="F491" s="696" t="s">
        <v>2133</v>
      </c>
      <c r="G491" s="696" t="s">
        <v>2201</v>
      </c>
      <c r="H491" s="696" t="s">
        <v>1438</v>
      </c>
      <c r="I491" s="696" t="s">
        <v>2795</v>
      </c>
      <c r="J491" s="696" t="s">
        <v>2796</v>
      </c>
      <c r="K491" s="696" t="s">
        <v>2287</v>
      </c>
      <c r="L491" s="699">
        <v>147.36000000000001</v>
      </c>
      <c r="M491" s="699">
        <v>3094.5600000000004</v>
      </c>
      <c r="N491" s="696">
        <v>21</v>
      </c>
      <c r="O491" s="700">
        <v>3</v>
      </c>
      <c r="P491" s="699">
        <v>2210.4</v>
      </c>
      <c r="Q491" s="701">
        <v>0.71428571428571419</v>
      </c>
      <c r="R491" s="696">
        <v>15</v>
      </c>
      <c r="S491" s="701">
        <v>0.7142857142857143</v>
      </c>
      <c r="T491" s="700">
        <v>2.5</v>
      </c>
      <c r="U491" s="702">
        <v>0.83333333333333337</v>
      </c>
    </row>
    <row r="492" spans="1:21" ht="14.4" customHeight="1" x14ac:dyDescent="0.3">
      <c r="A492" s="695">
        <v>7</v>
      </c>
      <c r="B492" s="696" t="s">
        <v>1978</v>
      </c>
      <c r="C492" s="696">
        <v>89301074</v>
      </c>
      <c r="D492" s="697" t="s">
        <v>3238</v>
      </c>
      <c r="E492" s="698" t="s">
        <v>2151</v>
      </c>
      <c r="F492" s="696" t="s">
        <v>2133</v>
      </c>
      <c r="G492" s="696" t="s">
        <v>2201</v>
      </c>
      <c r="H492" s="696" t="s">
        <v>1438</v>
      </c>
      <c r="I492" s="696" t="s">
        <v>2457</v>
      </c>
      <c r="J492" s="696" t="s">
        <v>2458</v>
      </c>
      <c r="K492" s="696" t="s">
        <v>2441</v>
      </c>
      <c r="L492" s="699">
        <v>196.46</v>
      </c>
      <c r="M492" s="699">
        <v>2357.52</v>
      </c>
      <c r="N492" s="696">
        <v>12</v>
      </c>
      <c r="O492" s="700">
        <v>1.5</v>
      </c>
      <c r="P492" s="699">
        <v>1178.76</v>
      </c>
      <c r="Q492" s="701">
        <v>0.5</v>
      </c>
      <c r="R492" s="696">
        <v>6</v>
      </c>
      <c r="S492" s="701">
        <v>0.5</v>
      </c>
      <c r="T492" s="700">
        <v>0.5</v>
      </c>
      <c r="U492" s="702">
        <v>0.33333333333333331</v>
      </c>
    </row>
    <row r="493" spans="1:21" ht="14.4" customHeight="1" x14ac:dyDescent="0.3">
      <c r="A493" s="695">
        <v>7</v>
      </c>
      <c r="B493" s="696" t="s">
        <v>1978</v>
      </c>
      <c r="C493" s="696">
        <v>89301074</v>
      </c>
      <c r="D493" s="697" t="s">
        <v>3238</v>
      </c>
      <c r="E493" s="698" t="s">
        <v>2151</v>
      </c>
      <c r="F493" s="696" t="s">
        <v>2133</v>
      </c>
      <c r="G493" s="696" t="s">
        <v>2201</v>
      </c>
      <c r="H493" s="696" t="s">
        <v>1438</v>
      </c>
      <c r="I493" s="696" t="s">
        <v>2797</v>
      </c>
      <c r="J493" s="696" t="s">
        <v>2203</v>
      </c>
      <c r="K493" s="696" t="s">
        <v>2450</v>
      </c>
      <c r="L493" s="699">
        <v>98.23</v>
      </c>
      <c r="M493" s="699">
        <v>196.46</v>
      </c>
      <c r="N493" s="696">
        <v>2</v>
      </c>
      <c r="O493" s="700">
        <v>1</v>
      </c>
      <c r="P493" s="699"/>
      <c r="Q493" s="701">
        <v>0</v>
      </c>
      <c r="R493" s="696"/>
      <c r="S493" s="701">
        <v>0</v>
      </c>
      <c r="T493" s="700"/>
      <c r="U493" s="702">
        <v>0</v>
      </c>
    </row>
    <row r="494" spans="1:21" ht="14.4" customHeight="1" x14ac:dyDescent="0.3">
      <c r="A494" s="695">
        <v>7</v>
      </c>
      <c r="B494" s="696" t="s">
        <v>1978</v>
      </c>
      <c r="C494" s="696">
        <v>89301074</v>
      </c>
      <c r="D494" s="697" t="s">
        <v>3238</v>
      </c>
      <c r="E494" s="698" t="s">
        <v>2151</v>
      </c>
      <c r="F494" s="696" t="s">
        <v>2133</v>
      </c>
      <c r="G494" s="696" t="s">
        <v>2201</v>
      </c>
      <c r="H494" s="696" t="s">
        <v>1438</v>
      </c>
      <c r="I494" s="696" t="s">
        <v>2202</v>
      </c>
      <c r="J494" s="696" t="s">
        <v>2203</v>
      </c>
      <c r="K494" s="696" t="s">
        <v>2204</v>
      </c>
      <c r="L494" s="699">
        <v>163.72999999999999</v>
      </c>
      <c r="M494" s="699">
        <v>2947.14</v>
      </c>
      <c r="N494" s="696">
        <v>18</v>
      </c>
      <c r="O494" s="700">
        <v>4.5</v>
      </c>
      <c r="P494" s="699">
        <v>491.18999999999994</v>
      </c>
      <c r="Q494" s="701">
        <v>0.16666666666666666</v>
      </c>
      <c r="R494" s="696">
        <v>3</v>
      </c>
      <c r="S494" s="701">
        <v>0.16666666666666666</v>
      </c>
      <c r="T494" s="700">
        <v>1</v>
      </c>
      <c r="U494" s="702">
        <v>0.22222222222222221</v>
      </c>
    </row>
    <row r="495" spans="1:21" ht="14.4" customHeight="1" x14ac:dyDescent="0.3">
      <c r="A495" s="695">
        <v>7</v>
      </c>
      <c r="B495" s="696" t="s">
        <v>1978</v>
      </c>
      <c r="C495" s="696">
        <v>89301074</v>
      </c>
      <c r="D495" s="697" t="s">
        <v>3238</v>
      </c>
      <c r="E495" s="698" t="s">
        <v>2151</v>
      </c>
      <c r="F495" s="696" t="s">
        <v>2133</v>
      </c>
      <c r="G495" s="696" t="s">
        <v>2201</v>
      </c>
      <c r="H495" s="696" t="s">
        <v>1438</v>
      </c>
      <c r="I495" s="696" t="s">
        <v>2798</v>
      </c>
      <c r="J495" s="696" t="s">
        <v>2793</v>
      </c>
      <c r="K495" s="696" t="s">
        <v>2799</v>
      </c>
      <c r="L495" s="699">
        <v>314.33999999999997</v>
      </c>
      <c r="M495" s="699">
        <v>3143.4</v>
      </c>
      <c r="N495" s="696">
        <v>10</v>
      </c>
      <c r="O495" s="700">
        <v>3.5</v>
      </c>
      <c r="P495" s="699">
        <v>2514.7200000000003</v>
      </c>
      <c r="Q495" s="701">
        <v>0.8</v>
      </c>
      <c r="R495" s="696">
        <v>8</v>
      </c>
      <c r="S495" s="701">
        <v>0.8</v>
      </c>
      <c r="T495" s="700">
        <v>2.5</v>
      </c>
      <c r="U495" s="702">
        <v>0.7142857142857143</v>
      </c>
    </row>
    <row r="496" spans="1:21" ht="14.4" customHeight="1" x14ac:dyDescent="0.3">
      <c r="A496" s="695">
        <v>7</v>
      </c>
      <c r="B496" s="696" t="s">
        <v>1978</v>
      </c>
      <c r="C496" s="696">
        <v>89301074</v>
      </c>
      <c r="D496" s="697" t="s">
        <v>3238</v>
      </c>
      <c r="E496" s="698" t="s">
        <v>2151</v>
      </c>
      <c r="F496" s="696" t="s">
        <v>2133</v>
      </c>
      <c r="G496" s="696" t="s">
        <v>2201</v>
      </c>
      <c r="H496" s="696" t="s">
        <v>547</v>
      </c>
      <c r="I496" s="696" t="s">
        <v>3074</v>
      </c>
      <c r="J496" s="696" t="s">
        <v>3075</v>
      </c>
      <c r="K496" s="696" t="s">
        <v>3076</v>
      </c>
      <c r="L496" s="699">
        <v>65.489999999999995</v>
      </c>
      <c r="M496" s="699">
        <v>196.46999999999997</v>
      </c>
      <c r="N496" s="696">
        <v>3</v>
      </c>
      <c r="O496" s="700">
        <v>1</v>
      </c>
      <c r="P496" s="699"/>
      <c r="Q496" s="701">
        <v>0</v>
      </c>
      <c r="R496" s="696"/>
      <c r="S496" s="701">
        <v>0</v>
      </c>
      <c r="T496" s="700"/>
      <c r="U496" s="702">
        <v>0</v>
      </c>
    </row>
    <row r="497" spans="1:21" ht="14.4" customHeight="1" x14ac:dyDescent="0.3">
      <c r="A497" s="695">
        <v>7</v>
      </c>
      <c r="B497" s="696" t="s">
        <v>1978</v>
      </c>
      <c r="C497" s="696">
        <v>89301074</v>
      </c>
      <c r="D497" s="697" t="s">
        <v>3238</v>
      </c>
      <c r="E497" s="698" t="s">
        <v>2151</v>
      </c>
      <c r="F497" s="696" t="s">
        <v>2133</v>
      </c>
      <c r="G497" s="696" t="s">
        <v>2201</v>
      </c>
      <c r="H497" s="696" t="s">
        <v>547</v>
      </c>
      <c r="I497" s="696" t="s">
        <v>3077</v>
      </c>
      <c r="J497" s="696" t="s">
        <v>3075</v>
      </c>
      <c r="K497" s="696" t="s">
        <v>2204</v>
      </c>
      <c r="L497" s="699">
        <v>163.72999999999999</v>
      </c>
      <c r="M497" s="699">
        <v>327.45999999999998</v>
      </c>
      <c r="N497" s="696">
        <v>2</v>
      </c>
      <c r="O497" s="700">
        <v>1.5</v>
      </c>
      <c r="P497" s="699">
        <v>163.72999999999999</v>
      </c>
      <c r="Q497" s="701">
        <v>0.5</v>
      </c>
      <c r="R497" s="696">
        <v>1</v>
      </c>
      <c r="S497" s="701">
        <v>0.5</v>
      </c>
      <c r="T497" s="700">
        <v>1</v>
      </c>
      <c r="U497" s="702">
        <v>0.66666666666666663</v>
      </c>
    </row>
    <row r="498" spans="1:21" ht="14.4" customHeight="1" x14ac:dyDescent="0.3">
      <c r="A498" s="695">
        <v>7</v>
      </c>
      <c r="B498" s="696" t="s">
        <v>1978</v>
      </c>
      <c r="C498" s="696">
        <v>89301074</v>
      </c>
      <c r="D498" s="697" t="s">
        <v>3238</v>
      </c>
      <c r="E498" s="698" t="s">
        <v>2151</v>
      </c>
      <c r="F498" s="696" t="s">
        <v>2133</v>
      </c>
      <c r="G498" s="696" t="s">
        <v>2288</v>
      </c>
      <c r="H498" s="696" t="s">
        <v>547</v>
      </c>
      <c r="I498" s="696" t="s">
        <v>2459</v>
      </c>
      <c r="J498" s="696" t="s">
        <v>2460</v>
      </c>
      <c r="K498" s="696" t="s">
        <v>2461</v>
      </c>
      <c r="L498" s="699">
        <v>0</v>
      </c>
      <c r="M498" s="699">
        <v>0</v>
      </c>
      <c r="N498" s="696">
        <v>4</v>
      </c>
      <c r="O498" s="700">
        <v>1</v>
      </c>
      <c r="P498" s="699">
        <v>0</v>
      </c>
      <c r="Q498" s="701"/>
      <c r="R498" s="696">
        <v>4</v>
      </c>
      <c r="S498" s="701">
        <v>1</v>
      </c>
      <c r="T498" s="700">
        <v>1</v>
      </c>
      <c r="U498" s="702">
        <v>1</v>
      </c>
    </row>
    <row r="499" spans="1:21" ht="14.4" customHeight="1" x14ac:dyDescent="0.3">
      <c r="A499" s="695">
        <v>7</v>
      </c>
      <c r="B499" s="696" t="s">
        <v>1978</v>
      </c>
      <c r="C499" s="696">
        <v>89301074</v>
      </c>
      <c r="D499" s="697" t="s">
        <v>3238</v>
      </c>
      <c r="E499" s="698" t="s">
        <v>2151</v>
      </c>
      <c r="F499" s="696" t="s">
        <v>2133</v>
      </c>
      <c r="G499" s="696" t="s">
        <v>2288</v>
      </c>
      <c r="H499" s="696" t="s">
        <v>547</v>
      </c>
      <c r="I499" s="696" t="s">
        <v>2289</v>
      </c>
      <c r="J499" s="696" t="s">
        <v>2290</v>
      </c>
      <c r="K499" s="696" t="s">
        <v>838</v>
      </c>
      <c r="L499" s="699">
        <v>154.33000000000001</v>
      </c>
      <c r="M499" s="699">
        <v>18828.259999999995</v>
      </c>
      <c r="N499" s="696">
        <v>122</v>
      </c>
      <c r="O499" s="700">
        <v>34.5</v>
      </c>
      <c r="P499" s="699">
        <v>11266.089999999998</v>
      </c>
      <c r="Q499" s="701">
        <v>0.59836065573770503</v>
      </c>
      <c r="R499" s="696">
        <v>73</v>
      </c>
      <c r="S499" s="701">
        <v>0.59836065573770492</v>
      </c>
      <c r="T499" s="700">
        <v>20.5</v>
      </c>
      <c r="U499" s="702">
        <v>0.59420289855072461</v>
      </c>
    </row>
    <row r="500" spans="1:21" ht="14.4" customHeight="1" x14ac:dyDescent="0.3">
      <c r="A500" s="695">
        <v>7</v>
      </c>
      <c r="B500" s="696" t="s">
        <v>1978</v>
      </c>
      <c r="C500" s="696">
        <v>89301074</v>
      </c>
      <c r="D500" s="697" t="s">
        <v>3238</v>
      </c>
      <c r="E500" s="698" t="s">
        <v>2151</v>
      </c>
      <c r="F500" s="696" t="s">
        <v>2133</v>
      </c>
      <c r="G500" s="696" t="s">
        <v>2288</v>
      </c>
      <c r="H500" s="696" t="s">
        <v>547</v>
      </c>
      <c r="I500" s="696" t="s">
        <v>2800</v>
      </c>
      <c r="J500" s="696" t="s">
        <v>2801</v>
      </c>
      <c r="K500" s="696" t="s">
        <v>838</v>
      </c>
      <c r="L500" s="699">
        <v>60.97</v>
      </c>
      <c r="M500" s="699">
        <v>304.85000000000002</v>
      </c>
      <c r="N500" s="696">
        <v>5</v>
      </c>
      <c r="O500" s="700">
        <v>1</v>
      </c>
      <c r="P500" s="699">
        <v>304.85000000000002</v>
      </c>
      <c r="Q500" s="701">
        <v>1</v>
      </c>
      <c r="R500" s="696">
        <v>5</v>
      </c>
      <c r="S500" s="701">
        <v>1</v>
      </c>
      <c r="T500" s="700">
        <v>1</v>
      </c>
      <c r="U500" s="702">
        <v>1</v>
      </c>
    </row>
    <row r="501" spans="1:21" ht="14.4" customHeight="1" x14ac:dyDescent="0.3">
      <c r="A501" s="695">
        <v>7</v>
      </c>
      <c r="B501" s="696" t="s">
        <v>1978</v>
      </c>
      <c r="C501" s="696">
        <v>89301074</v>
      </c>
      <c r="D501" s="697" t="s">
        <v>3238</v>
      </c>
      <c r="E501" s="698" t="s">
        <v>2151</v>
      </c>
      <c r="F501" s="696" t="s">
        <v>2133</v>
      </c>
      <c r="G501" s="696" t="s">
        <v>2288</v>
      </c>
      <c r="H501" s="696" t="s">
        <v>547</v>
      </c>
      <c r="I501" s="696" t="s">
        <v>3078</v>
      </c>
      <c r="J501" s="696" t="s">
        <v>2290</v>
      </c>
      <c r="K501" s="696" t="s">
        <v>3079</v>
      </c>
      <c r="L501" s="699">
        <v>0</v>
      </c>
      <c r="M501" s="699">
        <v>0</v>
      </c>
      <c r="N501" s="696">
        <v>1</v>
      </c>
      <c r="O501" s="700">
        <v>0.5</v>
      </c>
      <c r="P501" s="699">
        <v>0</v>
      </c>
      <c r="Q501" s="701"/>
      <c r="R501" s="696">
        <v>1</v>
      </c>
      <c r="S501" s="701">
        <v>1</v>
      </c>
      <c r="T501" s="700">
        <v>0.5</v>
      </c>
      <c r="U501" s="702">
        <v>1</v>
      </c>
    </row>
    <row r="502" spans="1:21" ht="14.4" customHeight="1" x14ac:dyDescent="0.3">
      <c r="A502" s="695">
        <v>7</v>
      </c>
      <c r="B502" s="696" t="s">
        <v>1978</v>
      </c>
      <c r="C502" s="696">
        <v>89301074</v>
      </c>
      <c r="D502" s="697" t="s">
        <v>3238</v>
      </c>
      <c r="E502" s="698" t="s">
        <v>2151</v>
      </c>
      <c r="F502" s="696" t="s">
        <v>2133</v>
      </c>
      <c r="G502" s="696" t="s">
        <v>2288</v>
      </c>
      <c r="H502" s="696" t="s">
        <v>547</v>
      </c>
      <c r="I502" s="696" t="s">
        <v>3080</v>
      </c>
      <c r="J502" s="696" t="s">
        <v>2460</v>
      </c>
      <c r="K502" s="696" t="s">
        <v>3081</v>
      </c>
      <c r="L502" s="699">
        <v>0</v>
      </c>
      <c r="M502" s="699">
        <v>0</v>
      </c>
      <c r="N502" s="696">
        <v>2</v>
      </c>
      <c r="O502" s="700">
        <v>1</v>
      </c>
      <c r="P502" s="699"/>
      <c r="Q502" s="701"/>
      <c r="R502" s="696"/>
      <c r="S502" s="701">
        <v>0</v>
      </c>
      <c r="T502" s="700"/>
      <c r="U502" s="702">
        <v>0</v>
      </c>
    </row>
    <row r="503" spans="1:21" ht="14.4" customHeight="1" x14ac:dyDescent="0.3">
      <c r="A503" s="695">
        <v>7</v>
      </c>
      <c r="B503" s="696" t="s">
        <v>1978</v>
      </c>
      <c r="C503" s="696">
        <v>89301074</v>
      </c>
      <c r="D503" s="697" t="s">
        <v>3238</v>
      </c>
      <c r="E503" s="698" t="s">
        <v>2151</v>
      </c>
      <c r="F503" s="696" t="s">
        <v>2133</v>
      </c>
      <c r="G503" s="696" t="s">
        <v>2288</v>
      </c>
      <c r="H503" s="696" t="s">
        <v>547</v>
      </c>
      <c r="I503" s="696" t="s">
        <v>3082</v>
      </c>
      <c r="J503" s="696" t="s">
        <v>2460</v>
      </c>
      <c r="K503" s="696" t="s">
        <v>3081</v>
      </c>
      <c r="L503" s="699">
        <v>0</v>
      </c>
      <c r="M503" s="699">
        <v>0</v>
      </c>
      <c r="N503" s="696">
        <v>7</v>
      </c>
      <c r="O503" s="700">
        <v>2.5</v>
      </c>
      <c r="P503" s="699">
        <v>0</v>
      </c>
      <c r="Q503" s="701"/>
      <c r="R503" s="696">
        <v>2</v>
      </c>
      <c r="S503" s="701">
        <v>0.2857142857142857</v>
      </c>
      <c r="T503" s="700">
        <v>1</v>
      </c>
      <c r="U503" s="702">
        <v>0.4</v>
      </c>
    </row>
    <row r="504" spans="1:21" ht="14.4" customHeight="1" x14ac:dyDescent="0.3">
      <c r="A504" s="695">
        <v>7</v>
      </c>
      <c r="B504" s="696" t="s">
        <v>1978</v>
      </c>
      <c r="C504" s="696">
        <v>89301074</v>
      </c>
      <c r="D504" s="697" t="s">
        <v>3238</v>
      </c>
      <c r="E504" s="698" t="s">
        <v>2151</v>
      </c>
      <c r="F504" s="696" t="s">
        <v>2133</v>
      </c>
      <c r="G504" s="696" t="s">
        <v>2802</v>
      </c>
      <c r="H504" s="696" t="s">
        <v>547</v>
      </c>
      <c r="I504" s="696" t="s">
        <v>1174</v>
      </c>
      <c r="J504" s="696" t="s">
        <v>1175</v>
      </c>
      <c r="K504" s="696" t="s">
        <v>3083</v>
      </c>
      <c r="L504" s="699">
        <v>432.32</v>
      </c>
      <c r="M504" s="699">
        <v>864.64</v>
      </c>
      <c r="N504" s="696">
        <v>2</v>
      </c>
      <c r="O504" s="700">
        <v>0.5</v>
      </c>
      <c r="P504" s="699">
        <v>864.64</v>
      </c>
      <c r="Q504" s="701">
        <v>1</v>
      </c>
      <c r="R504" s="696">
        <v>2</v>
      </c>
      <c r="S504" s="701">
        <v>1</v>
      </c>
      <c r="T504" s="700">
        <v>0.5</v>
      </c>
      <c r="U504" s="702">
        <v>1</v>
      </c>
    </row>
    <row r="505" spans="1:21" ht="14.4" customHeight="1" x14ac:dyDescent="0.3">
      <c r="A505" s="695">
        <v>7</v>
      </c>
      <c r="B505" s="696" t="s">
        <v>1978</v>
      </c>
      <c r="C505" s="696">
        <v>89301074</v>
      </c>
      <c r="D505" s="697" t="s">
        <v>3238</v>
      </c>
      <c r="E505" s="698" t="s">
        <v>2151</v>
      </c>
      <c r="F505" s="696" t="s">
        <v>2133</v>
      </c>
      <c r="G505" s="696" t="s">
        <v>2802</v>
      </c>
      <c r="H505" s="696" t="s">
        <v>547</v>
      </c>
      <c r="I505" s="696" t="s">
        <v>2803</v>
      </c>
      <c r="J505" s="696" t="s">
        <v>2804</v>
      </c>
      <c r="K505" s="696" t="s">
        <v>2805</v>
      </c>
      <c r="L505" s="699">
        <v>162.13</v>
      </c>
      <c r="M505" s="699">
        <v>972.78</v>
      </c>
      <c r="N505" s="696">
        <v>6</v>
      </c>
      <c r="O505" s="700">
        <v>1</v>
      </c>
      <c r="P505" s="699">
        <v>486.39</v>
      </c>
      <c r="Q505" s="701">
        <v>0.5</v>
      </c>
      <c r="R505" s="696">
        <v>3</v>
      </c>
      <c r="S505" s="701">
        <v>0.5</v>
      </c>
      <c r="T505" s="700">
        <v>0.5</v>
      </c>
      <c r="U505" s="702">
        <v>0.5</v>
      </c>
    </row>
    <row r="506" spans="1:21" ht="14.4" customHeight="1" x14ac:dyDescent="0.3">
      <c r="A506" s="695">
        <v>7</v>
      </c>
      <c r="B506" s="696" t="s">
        <v>1978</v>
      </c>
      <c r="C506" s="696">
        <v>89301074</v>
      </c>
      <c r="D506" s="697" t="s">
        <v>3238</v>
      </c>
      <c r="E506" s="698" t="s">
        <v>2151</v>
      </c>
      <c r="F506" s="696" t="s">
        <v>2133</v>
      </c>
      <c r="G506" s="696" t="s">
        <v>2960</v>
      </c>
      <c r="H506" s="696" t="s">
        <v>547</v>
      </c>
      <c r="I506" s="696" t="s">
        <v>3084</v>
      </c>
      <c r="J506" s="696" t="s">
        <v>2962</v>
      </c>
      <c r="K506" s="696" t="s">
        <v>3085</v>
      </c>
      <c r="L506" s="699">
        <v>464.86</v>
      </c>
      <c r="M506" s="699">
        <v>464.86</v>
      </c>
      <c r="N506" s="696">
        <v>1</v>
      </c>
      <c r="O506" s="700">
        <v>0.5</v>
      </c>
      <c r="P506" s="699"/>
      <c r="Q506" s="701">
        <v>0</v>
      </c>
      <c r="R506" s="696"/>
      <c r="S506" s="701">
        <v>0</v>
      </c>
      <c r="T506" s="700"/>
      <c r="U506" s="702">
        <v>0</v>
      </c>
    </row>
    <row r="507" spans="1:21" ht="14.4" customHeight="1" x14ac:dyDescent="0.3">
      <c r="A507" s="695">
        <v>7</v>
      </c>
      <c r="B507" s="696" t="s">
        <v>1978</v>
      </c>
      <c r="C507" s="696">
        <v>89301074</v>
      </c>
      <c r="D507" s="697" t="s">
        <v>3238</v>
      </c>
      <c r="E507" s="698" t="s">
        <v>2151</v>
      </c>
      <c r="F507" s="696" t="s">
        <v>2133</v>
      </c>
      <c r="G507" s="696" t="s">
        <v>2960</v>
      </c>
      <c r="H507" s="696" t="s">
        <v>547</v>
      </c>
      <c r="I507" s="696" t="s">
        <v>3086</v>
      </c>
      <c r="J507" s="696" t="s">
        <v>3087</v>
      </c>
      <c r="K507" s="696" t="s">
        <v>3088</v>
      </c>
      <c r="L507" s="699">
        <v>619.66</v>
      </c>
      <c r="M507" s="699">
        <v>619.66</v>
      </c>
      <c r="N507" s="696">
        <v>1</v>
      </c>
      <c r="O507" s="700">
        <v>0.5</v>
      </c>
      <c r="P507" s="699"/>
      <c r="Q507" s="701">
        <v>0</v>
      </c>
      <c r="R507" s="696"/>
      <c r="S507" s="701">
        <v>0</v>
      </c>
      <c r="T507" s="700"/>
      <c r="U507" s="702">
        <v>0</v>
      </c>
    </row>
    <row r="508" spans="1:21" ht="14.4" customHeight="1" x14ac:dyDescent="0.3">
      <c r="A508" s="695">
        <v>7</v>
      </c>
      <c r="B508" s="696" t="s">
        <v>1978</v>
      </c>
      <c r="C508" s="696">
        <v>89301074</v>
      </c>
      <c r="D508" s="697" t="s">
        <v>3238</v>
      </c>
      <c r="E508" s="698" t="s">
        <v>2151</v>
      </c>
      <c r="F508" s="696" t="s">
        <v>2133</v>
      </c>
      <c r="G508" s="696" t="s">
        <v>2194</v>
      </c>
      <c r="H508" s="696" t="s">
        <v>547</v>
      </c>
      <c r="I508" s="696" t="s">
        <v>3089</v>
      </c>
      <c r="J508" s="696" t="s">
        <v>2405</v>
      </c>
      <c r="K508" s="696" t="s">
        <v>2303</v>
      </c>
      <c r="L508" s="699">
        <v>0</v>
      </c>
      <c r="M508" s="699">
        <v>0</v>
      </c>
      <c r="N508" s="696">
        <v>2</v>
      </c>
      <c r="O508" s="700">
        <v>1</v>
      </c>
      <c r="P508" s="699">
        <v>0</v>
      </c>
      <c r="Q508" s="701"/>
      <c r="R508" s="696">
        <v>2</v>
      </c>
      <c r="S508" s="701">
        <v>1</v>
      </c>
      <c r="T508" s="700">
        <v>1</v>
      </c>
      <c r="U508" s="702">
        <v>1</v>
      </c>
    </row>
    <row r="509" spans="1:21" ht="14.4" customHeight="1" x14ac:dyDescent="0.3">
      <c r="A509" s="695">
        <v>7</v>
      </c>
      <c r="B509" s="696" t="s">
        <v>1978</v>
      </c>
      <c r="C509" s="696">
        <v>89301074</v>
      </c>
      <c r="D509" s="697" t="s">
        <v>3238</v>
      </c>
      <c r="E509" s="698" t="s">
        <v>2151</v>
      </c>
      <c r="F509" s="696" t="s">
        <v>2133</v>
      </c>
      <c r="G509" s="696" t="s">
        <v>2194</v>
      </c>
      <c r="H509" s="696" t="s">
        <v>547</v>
      </c>
      <c r="I509" s="696" t="s">
        <v>3090</v>
      </c>
      <c r="J509" s="696" t="s">
        <v>2405</v>
      </c>
      <c r="K509" s="696" t="s">
        <v>2406</v>
      </c>
      <c r="L509" s="699">
        <v>0</v>
      </c>
      <c r="M509" s="699">
        <v>0</v>
      </c>
      <c r="N509" s="696">
        <v>3</v>
      </c>
      <c r="O509" s="700">
        <v>1</v>
      </c>
      <c r="P509" s="699">
        <v>0</v>
      </c>
      <c r="Q509" s="701"/>
      <c r="R509" s="696">
        <v>3</v>
      </c>
      <c r="S509" s="701">
        <v>1</v>
      </c>
      <c r="T509" s="700">
        <v>1</v>
      </c>
      <c r="U509" s="702">
        <v>1</v>
      </c>
    </row>
    <row r="510" spans="1:21" ht="14.4" customHeight="1" x14ac:dyDescent="0.3">
      <c r="A510" s="695">
        <v>7</v>
      </c>
      <c r="B510" s="696" t="s">
        <v>1978</v>
      </c>
      <c r="C510" s="696">
        <v>89301074</v>
      </c>
      <c r="D510" s="697" t="s">
        <v>3238</v>
      </c>
      <c r="E510" s="698" t="s">
        <v>2151</v>
      </c>
      <c r="F510" s="696" t="s">
        <v>2133</v>
      </c>
      <c r="G510" s="696" t="s">
        <v>2194</v>
      </c>
      <c r="H510" s="696" t="s">
        <v>547</v>
      </c>
      <c r="I510" s="696" t="s">
        <v>2302</v>
      </c>
      <c r="J510" s="696" t="s">
        <v>2196</v>
      </c>
      <c r="K510" s="696" t="s">
        <v>2303</v>
      </c>
      <c r="L510" s="699">
        <v>0</v>
      </c>
      <c r="M510" s="699">
        <v>0</v>
      </c>
      <c r="N510" s="696">
        <v>2</v>
      </c>
      <c r="O510" s="700">
        <v>0.5</v>
      </c>
      <c r="P510" s="699">
        <v>0</v>
      </c>
      <c r="Q510" s="701"/>
      <c r="R510" s="696">
        <v>2</v>
      </c>
      <c r="S510" s="701">
        <v>1</v>
      </c>
      <c r="T510" s="700">
        <v>0.5</v>
      </c>
      <c r="U510" s="702">
        <v>1</v>
      </c>
    </row>
    <row r="511" spans="1:21" ht="14.4" customHeight="1" x14ac:dyDescent="0.3">
      <c r="A511" s="695">
        <v>7</v>
      </c>
      <c r="B511" s="696" t="s">
        <v>1978</v>
      </c>
      <c r="C511" s="696">
        <v>89301074</v>
      </c>
      <c r="D511" s="697" t="s">
        <v>3238</v>
      </c>
      <c r="E511" s="698" t="s">
        <v>2151</v>
      </c>
      <c r="F511" s="696" t="s">
        <v>2133</v>
      </c>
      <c r="G511" s="696" t="s">
        <v>2194</v>
      </c>
      <c r="H511" s="696" t="s">
        <v>547</v>
      </c>
      <c r="I511" s="696" t="s">
        <v>2304</v>
      </c>
      <c r="J511" s="696" t="s">
        <v>2196</v>
      </c>
      <c r="K511" s="696" t="s">
        <v>2303</v>
      </c>
      <c r="L511" s="699">
        <v>0</v>
      </c>
      <c r="M511" s="699">
        <v>0</v>
      </c>
      <c r="N511" s="696">
        <v>2</v>
      </c>
      <c r="O511" s="700">
        <v>0.5</v>
      </c>
      <c r="P511" s="699">
        <v>0</v>
      </c>
      <c r="Q511" s="701"/>
      <c r="R511" s="696">
        <v>2</v>
      </c>
      <c r="S511" s="701">
        <v>1</v>
      </c>
      <c r="T511" s="700">
        <v>0.5</v>
      </c>
      <c r="U511" s="702">
        <v>1</v>
      </c>
    </row>
    <row r="512" spans="1:21" ht="14.4" customHeight="1" x14ac:dyDescent="0.3">
      <c r="A512" s="695">
        <v>7</v>
      </c>
      <c r="B512" s="696" t="s">
        <v>1978</v>
      </c>
      <c r="C512" s="696">
        <v>89301074</v>
      </c>
      <c r="D512" s="697" t="s">
        <v>3238</v>
      </c>
      <c r="E512" s="698" t="s">
        <v>2151</v>
      </c>
      <c r="F512" s="696" t="s">
        <v>2133</v>
      </c>
      <c r="G512" s="696" t="s">
        <v>2194</v>
      </c>
      <c r="H512" s="696" t="s">
        <v>547</v>
      </c>
      <c r="I512" s="696" t="s">
        <v>3091</v>
      </c>
      <c r="J512" s="696" t="s">
        <v>3092</v>
      </c>
      <c r="K512" s="696" t="s">
        <v>2197</v>
      </c>
      <c r="L512" s="699">
        <v>0</v>
      </c>
      <c r="M512" s="699">
        <v>0</v>
      </c>
      <c r="N512" s="696">
        <v>1</v>
      </c>
      <c r="O512" s="700">
        <v>0.5</v>
      </c>
      <c r="P512" s="699">
        <v>0</v>
      </c>
      <c r="Q512" s="701"/>
      <c r="R512" s="696">
        <v>1</v>
      </c>
      <c r="S512" s="701">
        <v>1</v>
      </c>
      <c r="T512" s="700">
        <v>0.5</v>
      </c>
      <c r="U512" s="702">
        <v>1</v>
      </c>
    </row>
    <row r="513" spans="1:21" ht="14.4" customHeight="1" x14ac:dyDescent="0.3">
      <c r="A513" s="695">
        <v>7</v>
      </c>
      <c r="B513" s="696" t="s">
        <v>1978</v>
      </c>
      <c r="C513" s="696">
        <v>89301074</v>
      </c>
      <c r="D513" s="697" t="s">
        <v>3238</v>
      </c>
      <c r="E513" s="698" t="s">
        <v>2154</v>
      </c>
      <c r="F513" s="696" t="s">
        <v>2133</v>
      </c>
      <c r="G513" s="696" t="s">
        <v>2609</v>
      </c>
      <c r="H513" s="696" t="s">
        <v>547</v>
      </c>
      <c r="I513" s="696" t="s">
        <v>2613</v>
      </c>
      <c r="J513" s="696" t="s">
        <v>2611</v>
      </c>
      <c r="K513" s="696" t="s">
        <v>2614</v>
      </c>
      <c r="L513" s="699">
        <v>106.23</v>
      </c>
      <c r="M513" s="699">
        <v>106.23</v>
      </c>
      <c r="N513" s="696">
        <v>1</v>
      </c>
      <c r="O513" s="700">
        <v>1</v>
      </c>
      <c r="P513" s="699"/>
      <c r="Q513" s="701">
        <v>0</v>
      </c>
      <c r="R513" s="696"/>
      <c r="S513" s="701">
        <v>0</v>
      </c>
      <c r="T513" s="700"/>
      <c r="U513" s="702">
        <v>0</v>
      </c>
    </row>
    <row r="514" spans="1:21" ht="14.4" customHeight="1" x14ac:dyDescent="0.3">
      <c r="A514" s="695">
        <v>7</v>
      </c>
      <c r="B514" s="696" t="s">
        <v>1978</v>
      </c>
      <c r="C514" s="696">
        <v>89301074</v>
      </c>
      <c r="D514" s="697" t="s">
        <v>3238</v>
      </c>
      <c r="E514" s="698" t="s">
        <v>2154</v>
      </c>
      <c r="F514" s="696" t="s">
        <v>2133</v>
      </c>
      <c r="G514" s="696" t="s">
        <v>2426</v>
      </c>
      <c r="H514" s="696" t="s">
        <v>547</v>
      </c>
      <c r="I514" s="696" t="s">
        <v>2813</v>
      </c>
      <c r="J514" s="696" t="s">
        <v>2428</v>
      </c>
      <c r="K514" s="696" t="s">
        <v>2814</v>
      </c>
      <c r="L514" s="699">
        <v>0</v>
      </c>
      <c r="M514" s="699">
        <v>0</v>
      </c>
      <c r="N514" s="696">
        <v>1</v>
      </c>
      <c r="O514" s="700">
        <v>0.5</v>
      </c>
      <c r="P514" s="699"/>
      <c r="Q514" s="701"/>
      <c r="R514" s="696"/>
      <c r="S514" s="701">
        <v>0</v>
      </c>
      <c r="T514" s="700"/>
      <c r="U514" s="702">
        <v>0</v>
      </c>
    </row>
    <row r="515" spans="1:21" ht="14.4" customHeight="1" x14ac:dyDescent="0.3">
      <c r="A515" s="695">
        <v>7</v>
      </c>
      <c r="B515" s="696" t="s">
        <v>1978</v>
      </c>
      <c r="C515" s="696">
        <v>89301074</v>
      </c>
      <c r="D515" s="697" t="s">
        <v>3238</v>
      </c>
      <c r="E515" s="698" t="s">
        <v>2154</v>
      </c>
      <c r="F515" s="696" t="s">
        <v>2133</v>
      </c>
      <c r="G515" s="696" t="s">
        <v>2624</v>
      </c>
      <c r="H515" s="696" t="s">
        <v>1438</v>
      </c>
      <c r="I515" s="696" t="s">
        <v>2625</v>
      </c>
      <c r="J515" s="696" t="s">
        <v>2626</v>
      </c>
      <c r="K515" s="696" t="s">
        <v>2627</v>
      </c>
      <c r="L515" s="699">
        <v>1027.5999999999999</v>
      </c>
      <c r="M515" s="699">
        <v>6165.5999999999995</v>
      </c>
      <c r="N515" s="696">
        <v>6</v>
      </c>
      <c r="O515" s="700">
        <v>1</v>
      </c>
      <c r="P515" s="699">
        <v>6165.5999999999995</v>
      </c>
      <c r="Q515" s="701">
        <v>1</v>
      </c>
      <c r="R515" s="696">
        <v>6</v>
      </c>
      <c r="S515" s="701">
        <v>1</v>
      </c>
      <c r="T515" s="700">
        <v>1</v>
      </c>
      <c r="U515" s="702">
        <v>1</v>
      </c>
    </row>
    <row r="516" spans="1:21" ht="14.4" customHeight="1" x14ac:dyDescent="0.3">
      <c r="A516" s="695">
        <v>7</v>
      </c>
      <c r="B516" s="696" t="s">
        <v>1978</v>
      </c>
      <c r="C516" s="696">
        <v>89301074</v>
      </c>
      <c r="D516" s="697" t="s">
        <v>3238</v>
      </c>
      <c r="E516" s="698" t="s">
        <v>2154</v>
      </c>
      <c r="F516" s="696" t="s">
        <v>2133</v>
      </c>
      <c r="G516" s="696" t="s">
        <v>2624</v>
      </c>
      <c r="H516" s="696" t="s">
        <v>1438</v>
      </c>
      <c r="I516" s="696" t="s">
        <v>2625</v>
      </c>
      <c r="J516" s="696" t="s">
        <v>2626</v>
      </c>
      <c r="K516" s="696" t="s">
        <v>2627</v>
      </c>
      <c r="L516" s="699">
        <v>801.23</v>
      </c>
      <c r="M516" s="699">
        <v>1602.46</v>
      </c>
      <c r="N516" s="696">
        <v>2</v>
      </c>
      <c r="O516" s="700">
        <v>2</v>
      </c>
      <c r="P516" s="699">
        <v>801.23</v>
      </c>
      <c r="Q516" s="701">
        <v>0.5</v>
      </c>
      <c r="R516" s="696">
        <v>1</v>
      </c>
      <c r="S516" s="701">
        <v>0.5</v>
      </c>
      <c r="T516" s="700">
        <v>1</v>
      </c>
      <c r="U516" s="702">
        <v>0.5</v>
      </c>
    </row>
    <row r="517" spans="1:21" ht="14.4" customHeight="1" x14ac:dyDescent="0.3">
      <c r="A517" s="695">
        <v>7</v>
      </c>
      <c r="B517" s="696" t="s">
        <v>1978</v>
      </c>
      <c r="C517" s="696">
        <v>89301074</v>
      </c>
      <c r="D517" s="697" t="s">
        <v>3238</v>
      </c>
      <c r="E517" s="698" t="s">
        <v>2154</v>
      </c>
      <c r="F517" s="696" t="s">
        <v>2133</v>
      </c>
      <c r="G517" s="696" t="s">
        <v>2624</v>
      </c>
      <c r="H517" s="696" t="s">
        <v>1438</v>
      </c>
      <c r="I517" s="696" t="s">
        <v>2815</v>
      </c>
      <c r="J517" s="696" t="s">
        <v>2816</v>
      </c>
      <c r="K517" s="696" t="s">
        <v>2817</v>
      </c>
      <c r="L517" s="699">
        <v>1509.4</v>
      </c>
      <c r="M517" s="699">
        <v>27169.200000000004</v>
      </c>
      <c r="N517" s="696">
        <v>18</v>
      </c>
      <c r="O517" s="700">
        <v>4</v>
      </c>
      <c r="P517" s="699">
        <v>18112.800000000003</v>
      </c>
      <c r="Q517" s="701">
        <v>0.66666666666666663</v>
      </c>
      <c r="R517" s="696">
        <v>12</v>
      </c>
      <c r="S517" s="701">
        <v>0.66666666666666663</v>
      </c>
      <c r="T517" s="700">
        <v>3</v>
      </c>
      <c r="U517" s="702">
        <v>0.75</v>
      </c>
    </row>
    <row r="518" spans="1:21" ht="14.4" customHeight="1" x14ac:dyDescent="0.3">
      <c r="A518" s="695">
        <v>7</v>
      </c>
      <c r="B518" s="696" t="s">
        <v>1978</v>
      </c>
      <c r="C518" s="696">
        <v>89301074</v>
      </c>
      <c r="D518" s="697" t="s">
        <v>3238</v>
      </c>
      <c r="E518" s="698" t="s">
        <v>2154</v>
      </c>
      <c r="F518" s="696" t="s">
        <v>2133</v>
      </c>
      <c r="G518" s="696" t="s">
        <v>2624</v>
      </c>
      <c r="H518" s="696" t="s">
        <v>1438</v>
      </c>
      <c r="I518" s="696" t="s">
        <v>2815</v>
      </c>
      <c r="J518" s="696" t="s">
        <v>2816</v>
      </c>
      <c r="K518" s="696" t="s">
        <v>2817</v>
      </c>
      <c r="L518" s="699">
        <v>1201.8399999999999</v>
      </c>
      <c r="M518" s="699">
        <v>7211.0399999999991</v>
      </c>
      <c r="N518" s="696">
        <v>6</v>
      </c>
      <c r="O518" s="700">
        <v>1</v>
      </c>
      <c r="P518" s="699"/>
      <c r="Q518" s="701">
        <v>0</v>
      </c>
      <c r="R518" s="696"/>
      <c r="S518" s="701">
        <v>0</v>
      </c>
      <c r="T518" s="700"/>
      <c r="U518" s="702">
        <v>0</v>
      </c>
    </row>
    <row r="519" spans="1:21" ht="14.4" customHeight="1" x14ac:dyDescent="0.3">
      <c r="A519" s="695">
        <v>7</v>
      </c>
      <c r="B519" s="696" t="s">
        <v>1978</v>
      </c>
      <c r="C519" s="696">
        <v>89301074</v>
      </c>
      <c r="D519" s="697" t="s">
        <v>3238</v>
      </c>
      <c r="E519" s="698" t="s">
        <v>2154</v>
      </c>
      <c r="F519" s="696" t="s">
        <v>2133</v>
      </c>
      <c r="G519" s="696" t="s">
        <v>2212</v>
      </c>
      <c r="H519" s="696" t="s">
        <v>547</v>
      </c>
      <c r="I519" s="696" t="s">
        <v>3093</v>
      </c>
      <c r="J519" s="696" t="s">
        <v>2214</v>
      </c>
      <c r="K519" s="696" t="s">
        <v>3094</v>
      </c>
      <c r="L519" s="699">
        <v>0</v>
      </c>
      <c r="M519" s="699">
        <v>0</v>
      </c>
      <c r="N519" s="696">
        <v>3</v>
      </c>
      <c r="O519" s="700">
        <v>0.5</v>
      </c>
      <c r="P519" s="699">
        <v>0</v>
      </c>
      <c r="Q519" s="701"/>
      <c r="R519" s="696">
        <v>3</v>
      </c>
      <c r="S519" s="701">
        <v>1</v>
      </c>
      <c r="T519" s="700">
        <v>0.5</v>
      </c>
      <c r="U519" s="702">
        <v>1</v>
      </c>
    </row>
    <row r="520" spans="1:21" ht="14.4" customHeight="1" x14ac:dyDescent="0.3">
      <c r="A520" s="695">
        <v>7</v>
      </c>
      <c r="B520" s="696" t="s">
        <v>1978</v>
      </c>
      <c r="C520" s="696">
        <v>89301074</v>
      </c>
      <c r="D520" s="697" t="s">
        <v>3238</v>
      </c>
      <c r="E520" s="698" t="s">
        <v>2154</v>
      </c>
      <c r="F520" s="696" t="s">
        <v>2133</v>
      </c>
      <c r="G520" s="696" t="s">
        <v>2212</v>
      </c>
      <c r="H520" s="696" t="s">
        <v>547</v>
      </c>
      <c r="I520" s="696" t="s">
        <v>3095</v>
      </c>
      <c r="J520" s="696" t="s">
        <v>2214</v>
      </c>
      <c r="K520" s="696" t="s">
        <v>3096</v>
      </c>
      <c r="L520" s="699">
        <v>0</v>
      </c>
      <c r="M520" s="699">
        <v>0</v>
      </c>
      <c r="N520" s="696">
        <v>2</v>
      </c>
      <c r="O520" s="700">
        <v>0.5</v>
      </c>
      <c r="P520" s="699">
        <v>0</v>
      </c>
      <c r="Q520" s="701"/>
      <c r="R520" s="696">
        <v>2</v>
      </c>
      <c r="S520" s="701">
        <v>1</v>
      </c>
      <c r="T520" s="700">
        <v>0.5</v>
      </c>
      <c r="U520" s="702">
        <v>1</v>
      </c>
    </row>
    <row r="521" spans="1:21" ht="14.4" customHeight="1" x14ac:dyDescent="0.3">
      <c r="A521" s="695">
        <v>7</v>
      </c>
      <c r="B521" s="696" t="s">
        <v>1978</v>
      </c>
      <c r="C521" s="696">
        <v>89301074</v>
      </c>
      <c r="D521" s="697" t="s">
        <v>3238</v>
      </c>
      <c r="E521" s="698" t="s">
        <v>2154</v>
      </c>
      <c r="F521" s="696" t="s">
        <v>2133</v>
      </c>
      <c r="G521" s="696" t="s">
        <v>2250</v>
      </c>
      <c r="H521" s="696" t="s">
        <v>1438</v>
      </c>
      <c r="I521" s="696" t="s">
        <v>3097</v>
      </c>
      <c r="J521" s="696" t="s">
        <v>2482</v>
      </c>
      <c r="K521" s="696" t="s">
        <v>3098</v>
      </c>
      <c r="L521" s="699">
        <v>432.32</v>
      </c>
      <c r="M521" s="699">
        <v>432.32</v>
      </c>
      <c r="N521" s="696">
        <v>1</v>
      </c>
      <c r="O521" s="700">
        <v>0.5</v>
      </c>
      <c r="P521" s="699"/>
      <c r="Q521" s="701">
        <v>0</v>
      </c>
      <c r="R521" s="696"/>
      <c r="S521" s="701">
        <v>0</v>
      </c>
      <c r="T521" s="700"/>
      <c r="U521" s="702">
        <v>0</v>
      </c>
    </row>
    <row r="522" spans="1:21" ht="14.4" customHeight="1" x14ac:dyDescent="0.3">
      <c r="A522" s="695">
        <v>7</v>
      </c>
      <c r="B522" s="696" t="s">
        <v>1978</v>
      </c>
      <c r="C522" s="696">
        <v>89301074</v>
      </c>
      <c r="D522" s="697" t="s">
        <v>3238</v>
      </c>
      <c r="E522" s="698" t="s">
        <v>2154</v>
      </c>
      <c r="F522" s="696" t="s">
        <v>2133</v>
      </c>
      <c r="G522" s="696" t="s">
        <v>2250</v>
      </c>
      <c r="H522" s="696" t="s">
        <v>1438</v>
      </c>
      <c r="I522" s="696" t="s">
        <v>2628</v>
      </c>
      <c r="J522" s="696" t="s">
        <v>2482</v>
      </c>
      <c r="K522" s="696" t="s">
        <v>2629</v>
      </c>
      <c r="L522" s="699">
        <v>216.16</v>
      </c>
      <c r="M522" s="699">
        <v>1296.96</v>
      </c>
      <c r="N522" s="696">
        <v>6</v>
      </c>
      <c r="O522" s="700">
        <v>1.5</v>
      </c>
      <c r="P522" s="699"/>
      <c r="Q522" s="701">
        <v>0</v>
      </c>
      <c r="R522" s="696"/>
      <c r="S522" s="701">
        <v>0</v>
      </c>
      <c r="T522" s="700"/>
      <c r="U522" s="702">
        <v>0</v>
      </c>
    </row>
    <row r="523" spans="1:21" ht="14.4" customHeight="1" x14ac:dyDescent="0.3">
      <c r="A523" s="695">
        <v>7</v>
      </c>
      <c r="B523" s="696" t="s">
        <v>1978</v>
      </c>
      <c r="C523" s="696">
        <v>89301074</v>
      </c>
      <c r="D523" s="697" t="s">
        <v>3238</v>
      </c>
      <c r="E523" s="698" t="s">
        <v>2154</v>
      </c>
      <c r="F523" s="696" t="s">
        <v>2133</v>
      </c>
      <c r="G523" s="696" t="s">
        <v>2364</v>
      </c>
      <c r="H523" s="696" t="s">
        <v>547</v>
      </c>
      <c r="I523" s="696" t="s">
        <v>2365</v>
      </c>
      <c r="J523" s="696" t="s">
        <v>2366</v>
      </c>
      <c r="K523" s="696" t="s">
        <v>2367</v>
      </c>
      <c r="L523" s="699">
        <v>0</v>
      </c>
      <c r="M523" s="699">
        <v>0</v>
      </c>
      <c r="N523" s="696">
        <v>2</v>
      </c>
      <c r="O523" s="700">
        <v>0.5</v>
      </c>
      <c r="P523" s="699">
        <v>0</v>
      </c>
      <c r="Q523" s="701"/>
      <c r="R523" s="696">
        <v>2</v>
      </c>
      <c r="S523" s="701">
        <v>1</v>
      </c>
      <c r="T523" s="700">
        <v>0.5</v>
      </c>
      <c r="U523" s="702">
        <v>1</v>
      </c>
    </row>
    <row r="524" spans="1:21" ht="14.4" customHeight="1" x14ac:dyDescent="0.3">
      <c r="A524" s="695">
        <v>7</v>
      </c>
      <c r="B524" s="696" t="s">
        <v>1978</v>
      </c>
      <c r="C524" s="696">
        <v>89301074</v>
      </c>
      <c r="D524" s="697" t="s">
        <v>3238</v>
      </c>
      <c r="E524" s="698" t="s">
        <v>2154</v>
      </c>
      <c r="F524" s="696" t="s">
        <v>2133</v>
      </c>
      <c r="G524" s="696" t="s">
        <v>2364</v>
      </c>
      <c r="H524" s="696" t="s">
        <v>547</v>
      </c>
      <c r="I524" s="696" t="s">
        <v>3099</v>
      </c>
      <c r="J524" s="696" t="s">
        <v>2366</v>
      </c>
      <c r="K524" s="696" t="s">
        <v>3100</v>
      </c>
      <c r="L524" s="699">
        <v>0</v>
      </c>
      <c r="M524" s="699">
        <v>0</v>
      </c>
      <c r="N524" s="696">
        <v>1</v>
      </c>
      <c r="O524" s="700">
        <v>0.5</v>
      </c>
      <c r="P524" s="699">
        <v>0</v>
      </c>
      <c r="Q524" s="701"/>
      <c r="R524" s="696">
        <v>1</v>
      </c>
      <c r="S524" s="701">
        <v>1</v>
      </c>
      <c r="T524" s="700">
        <v>0.5</v>
      </c>
      <c r="U524" s="702">
        <v>1</v>
      </c>
    </row>
    <row r="525" spans="1:21" ht="14.4" customHeight="1" x14ac:dyDescent="0.3">
      <c r="A525" s="695">
        <v>7</v>
      </c>
      <c r="B525" s="696" t="s">
        <v>1978</v>
      </c>
      <c r="C525" s="696">
        <v>89301074</v>
      </c>
      <c r="D525" s="697" t="s">
        <v>3238</v>
      </c>
      <c r="E525" s="698" t="s">
        <v>2154</v>
      </c>
      <c r="F525" s="696" t="s">
        <v>2133</v>
      </c>
      <c r="G525" s="696" t="s">
        <v>2633</v>
      </c>
      <c r="H525" s="696" t="s">
        <v>547</v>
      </c>
      <c r="I525" s="696" t="s">
        <v>2634</v>
      </c>
      <c r="J525" s="696" t="s">
        <v>2635</v>
      </c>
      <c r="K525" s="696" t="s">
        <v>2636</v>
      </c>
      <c r="L525" s="699">
        <v>25.8</v>
      </c>
      <c r="M525" s="699">
        <v>232.20000000000002</v>
      </c>
      <c r="N525" s="696">
        <v>9</v>
      </c>
      <c r="O525" s="700">
        <v>2</v>
      </c>
      <c r="P525" s="699">
        <v>77.400000000000006</v>
      </c>
      <c r="Q525" s="701">
        <v>0.33333333333333331</v>
      </c>
      <c r="R525" s="696">
        <v>3</v>
      </c>
      <c r="S525" s="701">
        <v>0.33333333333333331</v>
      </c>
      <c r="T525" s="700">
        <v>1</v>
      </c>
      <c r="U525" s="702">
        <v>0.5</v>
      </c>
    </row>
    <row r="526" spans="1:21" ht="14.4" customHeight="1" x14ac:dyDescent="0.3">
      <c r="A526" s="695">
        <v>7</v>
      </c>
      <c r="B526" s="696" t="s">
        <v>1978</v>
      </c>
      <c r="C526" s="696">
        <v>89301074</v>
      </c>
      <c r="D526" s="697" t="s">
        <v>3238</v>
      </c>
      <c r="E526" s="698" t="s">
        <v>2154</v>
      </c>
      <c r="F526" s="696" t="s">
        <v>2133</v>
      </c>
      <c r="G526" s="696" t="s">
        <v>2633</v>
      </c>
      <c r="H526" s="696" t="s">
        <v>547</v>
      </c>
      <c r="I526" s="696" t="s">
        <v>2637</v>
      </c>
      <c r="J526" s="696" t="s">
        <v>2638</v>
      </c>
      <c r="K526" s="696" t="s">
        <v>2639</v>
      </c>
      <c r="L526" s="699">
        <v>77.42</v>
      </c>
      <c r="M526" s="699">
        <v>154.84</v>
      </c>
      <c r="N526" s="696">
        <v>2</v>
      </c>
      <c r="O526" s="700">
        <v>0.5</v>
      </c>
      <c r="P526" s="699"/>
      <c r="Q526" s="701">
        <v>0</v>
      </c>
      <c r="R526" s="696"/>
      <c r="S526" s="701">
        <v>0</v>
      </c>
      <c r="T526" s="700"/>
      <c r="U526" s="702">
        <v>0</v>
      </c>
    </row>
    <row r="527" spans="1:21" ht="14.4" customHeight="1" x14ac:dyDescent="0.3">
      <c r="A527" s="695">
        <v>7</v>
      </c>
      <c r="B527" s="696" t="s">
        <v>1978</v>
      </c>
      <c r="C527" s="696">
        <v>89301074</v>
      </c>
      <c r="D527" s="697" t="s">
        <v>3238</v>
      </c>
      <c r="E527" s="698" t="s">
        <v>2154</v>
      </c>
      <c r="F527" s="696" t="s">
        <v>2133</v>
      </c>
      <c r="G527" s="696" t="s">
        <v>2640</v>
      </c>
      <c r="H527" s="696" t="s">
        <v>547</v>
      </c>
      <c r="I527" s="696" t="s">
        <v>798</v>
      </c>
      <c r="J527" s="696" t="s">
        <v>2641</v>
      </c>
      <c r="K527" s="696" t="s">
        <v>2642</v>
      </c>
      <c r="L527" s="699">
        <v>51.88</v>
      </c>
      <c r="M527" s="699">
        <v>51.88</v>
      </c>
      <c r="N527" s="696">
        <v>1</v>
      </c>
      <c r="O527" s="700">
        <v>0.5</v>
      </c>
      <c r="P527" s="699"/>
      <c r="Q527" s="701">
        <v>0</v>
      </c>
      <c r="R527" s="696"/>
      <c r="S527" s="701">
        <v>0</v>
      </c>
      <c r="T527" s="700"/>
      <c r="U527" s="702">
        <v>0</v>
      </c>
    </row>
    <row r="528" spans="1:21" ht="14.4" customHeight="1" x14ac:dyDescent="0.3">
      <c r="A528" s="695">
        <v>7</v>
      </c>
      <c r="B528" s="696" t="s">
        <v>1978</v>
      </c>
      <c r="C528" s="696">
        <v>89301074</v>
      </c>
      <c r="D528" s="697" t="s">
        <v>3238</v>
      </c>
      <c r="E528" s="698" t="s">
        <v>2154</v>
      </c>
      <c r="F528" s="696" t="s">
        <v>2133</v>
      </c>
      <c r="G528" s="696" t="s">
        <v>2434</v>
      </c>
      <c r="H528" s="696" t="s">
        <v>547</v>
      </c>
      <c r="I528" s="696" t="s">
        <v>2647</v>
      </c>
      <c r="J528" s="696" t="s">
        <v>2648</v>
      </c>
      <c r="K528" s="696" t="s">
        <v>2649</v>
      </c>
      <c r="L528" s="699">
        <v>629.07000000000005</v>
      </c>
      <c r="M528" s="699">
        <v>20130.239999999998</v>
      </c>
      <c r="N528" s="696">
        <v>32</v>
      </c>
      <c r="O528" s="700">
        <v>6</v>
      </c>
      <c r="P528" s="699">
        <v>12581.4</v>
      </c>
      <c r="Q528" s="701">
        <v>0.625</v>
      </c>
      <c r="R528" s="696">
        <v>20</v>
      </c>
      <c r="S528" s="701">
        <v>0.625</v>
      </c>
      <c r="T528" s="700">
        <v>4</v>
      </c>
      <c r="U528" s="702">
        <v>0.66666666666666663</v>
      </c>
    </row>
    <row r="529" spans="1:21" ht="14.4" customHeight="1" x14ac:dyDescent="0.3">
      <c r="A529" s="695">
        <v>7</v>
      </c>
      <c r="B529" s="696" t="s">
        <v>1978</v>
      </c>
      <c r="C529" s="696">
        <v>89301074</v>
      </c>
      <c r="D529" s="697" t="s">
        <v>3238</v>
      </c>
      <c r="E529" s="698" t="s">
        <v>2154</v>
      </c>
      <c r="F529" s="696" t="s">
        <v>2133</v>
      </c>
      <c r="G529" s="696" t="s">
        <v>2434</v>
      </c>
      <c r="H529" s="696" t="s">
        <v>547</v>
      </c>
      <c r="I529" s="696" t="s">
        <v>2647</v>
      </c>
      <c r="J529" s="696" t="s">
        <v>2648</v>
      </c>
      <c r="K529" s="696" t="s">
        <v>2649</v>
      </c>
      <c r="L529" s="699">
        <v>247.24</v>
      </c>
      <c r="M529" s="699">
        <v>2472.4</v>
      </c>
      <c r="N529" s="696">
        <v>10</v>
      </c>
      <c r="O529" s="700">
        <v>2</v>
      </c>
      <c r="P529" s="699">
        <v>2472.4</v>
      </c>
      <c r="Q529" s="701">
        <v>1</v>
      </c>
      <c r="R529" s="696">
        <v>10</v>
      </c>
      <c r="S529" s="701">
        <v>1</v>
      </c>
      <c r="T529" s="700">
        <v>2</v>
      </c>
      <c r="U529" s="702">
        <v>1</v>
      </c>
    </row>
    <row r="530" spans="1:21" ht="14.4" customHeight="1" x14ac:dyDescent="0.3">
      <c r="A530" s="695">
        <v>7</v>
      </c>
      <c r="B530" s="696" t="s">
        <v>1978</v>
      </c>
      <c r="C530" s="696">
        <v>89301074</v>
      </c>
      <c r="D530" s="697" t="s">
        <v>3238</v>
      </c>
      <c r="E530" s="698" t="s">
        <v>2154</v>
      </c>
      <c r="F530" s="696" t="s">
        <v>2133</v>
      </c>
      <c r="G530" s="696" t="s">
        <v>2434</v>
      </c>
      <c r="H530" s="696" t="s">
        <v>547</v>
      </c>
      <c r="I530" s="696" t="s">
        <v>2986</v>
      </c>
      <c r="J530" s="696" t="s">
        <v>2987</v>
      </c>
      <c r="K530" s="696" t="s">
        <v>2652</v>
      </c>
      <c r="L530" s="699">
        <v>5891.32</v>
      </c>
      <c r="M530" s="699">
        <v>11782.64</v>
      </c>
      <c r="N530" s="696">
        <v>2</v>
      </c>
      <c r="O530" s="700">
        <v>1</v>
      </c>
      <c r="P530" s="699"/>
      <c r="Q530" s="701">
        <v>0</v>
      </c>
      <c r="R530" s="696"/>
      <c r="S530" s="701">
        <v>0</v>
      </c>
      <c r="T530" s="700"/>
      <c r="U530" s="702">
        <v>0</v>
      </c>
    </row>
    <row r="531" spans="1:21" ht="14.4" customHeight="1" x14ac:dyDescent="0.3">
      <c r="A531" s="695">
        <v>7</v>
      </c>
      <c r="B531" s="696" t="s">
        <v>1978</v>
      </c>
      <c r="C531" s="696">
        <v>89301074</v>
      </c>
      <c r="D531" s="697" t="s">
        <v>3238</v>
      </c>
      <c r="E531" s="698" t="s">
        <v>2154</v>
      </c>
      <c r="F531" s="696" t="s">
        <v>2133</v>
      </c>
      <c r="G531" s="696" t="s">
        <v>2434</v>
      </c>
      <c r="H531" s="696" t="s">
        <v>547</v>
      </c>
      <c r="I531" s="696" t="s">
        <v>2653</v>
      </c>
      <c r="J531" s="696" t="s">
        <v>2654</v>
      </c>
      <c r="K531" s="696" t="s">
        <v>2655</v>
      </c>
      <c r="L531" s="699">
        <v>1030.1500000000001</v>
      </c>
      <c r="M531" s="699">
        <v>6180.9000000000005</v>
      </c>
      <c r="N531" s="696">
        <v>6</v>
      </c>
      <c r="O531" s="700">
        <v>1</v>
      </c>
      <c r="P531" s="699">
        <v>6180.9000000000005</v>
      </c>
      <c r="Q531" s="701">
        <v>1</v>
      </c>
      <c r="R531" s="696">
        <v>6</v>
      </c>
      <c r="S531" s="701">
        <v>1</v>
      </c>
      <c r="T531" s="700">
        <v>1</v>
      </c>
      <c r="U531" s="702">
        <v>1</v>
      </c>
    </row>
    <row r="532" spans="1:21" ht="14.4" customHeight="1" x14ac:dyDescent="0.3">
      <c r="A532" s="695">
        <v>7</v>
      </c>
      <c r="B532" s="696" t="s">
        <v>1978</v>
      </c>
      <c r="C532" s="696">
        <v>89301074</v>
      </c>
      <c r="D532" s="697" t="s">
        <v>3238</v>
      </c>
      <c r="E532" s="698" t="s">
        <v>2154</v>
      </c>
      <c r="F532" s="696" t="s">
        <v>2133</v>
      </c>
      <c r="G532" s="696" t="s">
        <v>2434</v>
      </c>
      <c r="H532" s="696" t="s">
        <v>547</v>
      </c>
      <c r="I532" s="696" t="s">
        <v>2659</v>
      </c>
      <c r="J532" s="696" t="s">
        <v>2660</v>
      </c>
      <c r="K532" s="696" t="s">
        <v>2661</v>
      </c>
      <c r="L532" s="699">
        <v>2787.72</v>
      </c>
      <c r="M532" s="699">
        <v>11150.88</v>
      </c>
      <c r="N532" s="696">
        <v>4</v>
      </c>
      <c r="O532" s="700">
        <v>1</v>
      </c>
      <c r="P532" s="699"/>
      <c r="Q532" s="701">
        <v>0</v>
      </c>
      <c r="R532" s="696"/>
      <c r="S532" s="701">
        <v>0</v>
      </c>
      <c r="T532" s="700"/>
      <c r="U532" s="702">
        <v>0</v>
      </c>
    </row>
    <row r="533" spans="1:21" ht="14.4" customHeight="1" x14ac:dyDescent="0.3">
      <c r="A533" s="695">
        <v>7</v>
      </c>
      <c r="B533" s="696" t="s">
        <v>1978</v>
      </c>
      <c r="C533" s="696">
        <v>89301074</v>
      </c>
      <c r="D533" s="697" t="s">
        <v>3238</v>
      </c>
      <c r="E533" s="698" t="s">
        <v>2154</v>
      </c>
      <c r="F533" s="696" t="s">
        <v>2133</v>
      </c>
      <c r="G533" s="696" t="s">
        <v>2434</v>
      </c>
      <c r="H533" s="696" t="s">
        <v>547</v>
      </c>
      <c r="I533" s="696" t="s">
        <v>2662</v>
      </c>
      <c r="J533" s="696" t="s">
        <v>2663</v>
      </c>
      <c r="K533" s="696" t="s">
        <v>2664</v>
      </c>
      <c r="L533" s="699">
        <v>1545.22</v>
      </c>
      <c r="M533" s="699">
        <v>13906.98</v>
      </c>
      <c r="N533" s="696">
        <v>9</v>
      </c>
      <c r="O533" s="700">
        <v>3</v>
      </c>
      <c r="P533" s="699">
        <v>12361.76</v>
      </c>
      <c r="Q533" s="701">
        <v>0.88888888888888895</v>
      </c>
      <c r="R533" s="696">
        <v>8</v>
      </c>
      <c r="S533" s="701">
        <v>0.88888888888888884</v>
      </c>
      <c r="T533" s="700">
        <v>2</v>
      </c>
      <c r="U533" s="702">
        <v>0.66666666666666663</v>
      </c>
    </row>
    <row r="534" spans="1:21" ht="14.4" customHeight="1" x14ac:dyDescent="0.3">
      <c r="A534" s="695">
        <v>7</v>
      </c>
      <c r="B534" s="696" t="s">
        <v>1978</v>
      </c>
      <c r="C534" s="696">
        <v>89301074</v>
      </c>
      <c r="D534" s="697" t="s">
        <v>3238</v>
      </c>
      <c r="E534" s="698" t="s">
        <v>2154</v>
      </c>
      <c r="F534" s="696" t="s">
        <v>2133</v>
      </c>
      <c r="G534" s="696" t="s">
        <v>2434</v>
      </c>
      <c r="H534" s="696" t="s">
        <v>547</v>
      </c>
      <c r="I534" s="696" t="s">
        <v>2662</v>
      </c>
      <c r="J534" s="696" t="s">
        <v>2663</v>
      </c>
      <c r="K534" s="696" t="s">
        <v>2664</v>
      </c>
      <c r="L534" s="699">
        <v>2332.38</v>
      </c>
      <c r="M534" s="699">
        <v>9329.52</v>
      </c>
      <c r="N534" s="696">
        <v>4</v>
      </c>
      <c r="O534" s="700">
        <v>1</v>
      </c>
      <c r="P534" s="699">
        <v>9329.52</v>
      </c>
      <c r="Q534" s="701">
        <v>1</v>
      </c>
      <c r="R534" s="696">
        <v>4</v>
      </c>
      <c r="S534" s="701">
        <v>1</v>
      </c>
      <c r="T534" s="700">
        <v>1</v>
      </c>
      <c r="U534" s="702">
        <v>1</v>
      </c>
    </row>
    <row r="535" spans="1:21" ht="14.4" customHeight="1" x14ac:dyDescent="0.3">
      <c r="A535" s="695">
        <v>7</v>
      </c>
      <c r="B535" s="696" t="s">
        <v>1978</v>
      </c>
      <c r="C535" s="696">
        <v>89301074</v>
      </c>
      <c r="D535" s="697" t="s">
        <v>3238</v>
      </c>
      <c r="E535" s="698" t="s">
        <v>2154</v>
      </c>
      <c r="F535" s="696" t="s">
        <v>2133</v>
      </c>
      <c r="G535" s="696" t="s">
        <v>2434</v>
      </c>
      <c r="H535" s="696" t="s">
        <v>547</v>
      </c>
      <c r="I535" s="696" t="s">
        <v>2868</v>
      </c>
      <c r="J535" s="696" t="s">
        <v>2869</v>
      </c>
      <c r="K535" s="696" t="s">
        <v>2870</v>
      </c>
      <c r="L535" s="699">
        <v>880.88</v>
      </c>
      <c r="M535" s="699">
        <v>14094.079999999998</v>
      </c>
      <c r="N535" s="696">
        <v>16</v>
      </c>
      <c r="O535" s="700">
        <v>3</v>
      </c>
      <c r="P535" s="699">
        <v>8808.7999999999993</v>
      </c>
      <c r="Q535" s="701">
        <v>0.625</v>
      </c>
      <c r="R535" s="696">
        <v>10</v>
      </c>
      <c r="S535" s="701">
        <v>0.625</v>
      </c>
      <c r="T535" s="700">
        <v>2</v>
      </c>
      <c r="U535" s="702">
        <v>0.66666666666666663</v>
      </c>
    </row>
    <row r="536" spans="1:21" ht="14.4" customHeight="1" x14ac:dyDescent="0.3">
      <c r="A536" s="695">
        <v>7</v>
      </c>
      <c r="B536" s="696" t="s">
        <v>1978</v>
      </c>
      <c r="C536" s="696">
        <v>89301074</v>
      </c>
      <c r="D536" s="697" t="s">
        <v>3238</v>
      </c>
      <c r="E536" s="698" t="s">
        <v>2154</v>
      </c>
      <c r="F536" s="696" t="s">
        <v>2133</v>
      </c>
      <c r="G536" s="696" t="s">
        <v>2434</v>
      </c>
      <c r="H536" s="696" t="s">
        <v>547</v>
      </c>
      <c r="I536" s="696" t="s">
        <v>2868</v>
      </c>
      <c r="J536" s="696" t="s">
        <v>2869</v>
      </c>
      <c r="K536" s="696" t="s">
        <v>2870</v>
      </c>
      <c r="L536" s="699">
        <v>515.07000000000005</v>
      </c>
      <c r="M536" s="699">
        <v>3090.42</v>
      </c>
      <c r="N536" s="696">
        <v>6</v>
      </c>
      <c r="O536" s="700">
        <v>1</v>
      </c>
      <c r="P536" s="699">
        <v>3090.42</v>
      </c>
      <c r="Q536" s="701">
        <v>1</v>
      </c>
      <c r="R536" s="696">
        <v>6</v>
      </c>
      <c r="S536" s="701">
        <v>1</v>
      </c>
      <c r="T536" s="700">
        <v>1</v>
      </c>
      <c r="U536" s="702">
        <v>1</v>
      </c>
    </row>
    <row r="537" spans="1:21" ht="14.4" customHeight="1" x14ac:dyDescent="0.3">
      <c r="A537" s="695">
        <v>7</v>
      </c>
      <c r="B537" s="696" t="s">
        <v>1978</v>
      </c>
      <c r="C537" s="696">
        <v>89301074</v>
      </c>
      <c r="D537" s="697" t="s">
        <v>3238</v>
      </c>
      <c r="E537" s="698" t="s">
        <v>2154</v>
      </c>
      <c r="F537" s="696" t="s">
        <v>2133</v>
      </c>
      <c r="G537" s="696" t="s">
        <v>2434</v>
      </c>
      <c r="H537" s="696" t="s">
        <v>547</v>
      </c>
      <c r="I537" s="696" t="s">
        <v>2665</v>
      </c>
      <c r="J537" s="696" t="s">
        <v>2666</v>
      </c>
      <c r="K537" s="696" t="s">
        <v>2667</v>
      </c>
      <c r="L537" s="699">
        <v>1629.03</v>
      </c>
      <c r="M537" s="699">
        <v>14661.27</v>
      </c>
      <c r="N537" s="696">
        <v>9</v>
      </c>
      <c r="O537" s="700">
        <v>3</v>
      </c>
      <c r="P537" s="699">
        <v>1629.03</v>
      </c>
      <c r="Q537" s="701">
        <v>0.1111111111111111</v>
      </c>
      <c r="R537" s="696">
        <v>1</v>
      </c>
      <c r="S537" s="701">
        <v>0.1111111111111111</v>
      </c>
      <c r="T537" s="700">
        <v>1</v>
      </c>
      <c r="U537" s="702">
        <v>0.33333333333333331</v>
      </c>
    </row>
    <row r="538" spans="1:21" ht="14.4" customHeight="1" x14ac:dyDescent="0.3">
      <c r="A538" s="695">
        <v>7</v>
      </c>
      <c r="B538" s="696" t="s">
        <v>1978</v>
      </c>
      <c r="C538" s="696">
        <v>89301074</v>
      </c>
      <c r="D538" s="697" t="s">
        <v>3238</v>
      </c>
      <c r="E538" s="698" t="s">
        <v>2154</v>
      </c>
      <c r="F538" s="696" t="s">
        <v>2133</v>
      </c>
      <c r="G538" s="696" t="s">
        <v>2434</v>
      </c>
      <c r="H538" s="696" t="s">
        <v>547</v>
      </c>
      <c r="I538" s="696" t="s">
        <v>3101</v>
      </c>
      <c r="J538" s="696" t="s">
        <v>3102</v>
      </c>
      <c r="K538" s="696" t="s">
        <v>2652</v>
      </c>
      <c r="L538" s="699">
        <v>5888.74</v>
      </c>
      <c r="M538" s="699">
        <v>5888.74</v>
      </c>
      <c r="N538" s="696">
        <v>1</v>
      </c>
      <c r="O538" s="700">
        <v>1</v>
      </c>
      <c r="P538" s="699"/>
      <c r="Q538" s="701">
        <v>0</v>
      </c>
      <c r="R538" s="696"/>
      <c r="S538" s="701">
        <v>0</v>
      </c>
      <c r="T538" s="700"/>
      <c r="U538" s="702">
        <v>0</v>
      </c>
    </row>
    <row r="539" spans="1:21" ht="14.4" customHeight="1" x14ac:dyDescent="0.3">
      <c r="A539" s="695">
        <v>7</v>
      </c>
      <c r="B539" s="696" t="s">
        <v>1978</v>
      </c>
      <c r="C539" s="696">
        <v>89301074</v>
      </c>
      <c r="D539" s="697" t="s">
        <v>3238</v>
      </c>
      <c r="E539" s="698" t="s">
        <v>2154</v>
      </c>
      <c r="F539" s="696" t="s">
        <v>2133</v>
      </c>
      <c r="G539" s="696" t="s">
        <v>2680</v>
      </c>
      <c r="H539" s="696" t="s">
        <v>1438</v>
      </c>
      <c r="I539" s="696" t="s">
        <v>2879</v>
      </c>
      <c r="J539" s="696" t="s">
        <v>2880</v>
      </c>
      <c r="K539" s="696" t="s">
        <v>2881</v>
      </c>
      <c r="L539" s="699">
        <v>561.54</v>
      </c>
      <c r="M539" s="699">
        <v>2246.16</v>
      </c>
      <c r="N539" s="696">
        <v>4</v>
      </c>
      <c r="O539" s="700">
        <v>3</v>
      </c>
      <c r="P539" s="699"/>
      <c r="Q539" s="701">
        <v>0</v>
      </c>
      <c r="R539" s="696"/>
      <c r="S539" s="701">
        <v>0</v>
      </c>
      <c r="T539" s="700"/>
      <c r="U539" s="702">
        <v>0</v>
      </c>
    </row>
    <row r="540" spans="1:21" ht="14.4" customHeight="1" x14ac:dyDescent="0.3">
      <c r="A540" s="695">
        <v>7</v>
      </c>
      <c r="B540" s="696" t="s">
        <v>1978</v>
      </c>
      <c r="C540" s="696">
        <v>89301074</v>
      </c>
      <c r="D540" s="697" t="s">
        <v>3238</v>
      </c>
      <c r="E540" s="698" t="s">
        <v>2154</v>
      </c>
      <c r="F540" s="696" t="s">
        <v>2133</v>
      </c>
      <c r="G540" s="696" t="s">
        <v>2680</v>
      </c>
      <c r="H540" s="696" t="s">
        <v>1438</v>
      </c>
      <c r="I540" s="696" t="s">
        <v>2687</v>
      </c>
      <c r="J540" s="696" t="s">
        <v>2685</v>
      </c>
      <c r="K540" s="696" t="s">
        <v>2688</v>
      </c>
      <c r="L540" s="699">
        <v>887.05</v>
      </c>
      <c r="M540" s="699">
        <v>3548.2</v>
      </c>
      <c r="N540" s="696">
        <v>4</v>
      </c>
      <c r="O540" s="700">
        <v>1.5</v>
      </c>
      <c r="P540" s="699"/>
      <c r="Q540" s="701">
        <v>0</v>
      </c>
      <c r="R540" s="696"/>
      <c r="S540" s="701">
        <v>0</v>
      </c>
      <c r="T540" s="700"/>
      <c r="U540" s="702">
        <v>0</v>
      </c>
    </row>
    <row r="541" spans="1:21" ht="14.4" customHeight="1" x14ac:dyDescent="0.3">
      <c r="A541" s="695">
        <v>7</v>
      </c>
      <c r="B541" s="696" t="s">
        <v>1978</v>
      </c>
      <c r="C541" s="696">
        <v>89301074</v>
      </c>
      <c r="D541" s="697" t="s">
        <v>3238</v>
      </c>
      <c r="E541" s="698" t="s">
        <v>2154</v>
      </c>
      <c r="F541" s="696" t="s">
        <v>2133</v>
      </c>
      <c r="G541" s="696" t="s">
        <v>2692</v>
      </c>
      <c r="H541" s="696" t="s">
        <v>547</v>
      </c>
      <c r="I541" s="696" t="s">
        <v>2893</v>
      </c>
      <c r="J541" s="696" t="s">
        <v>2894</v>
      </c>
      <c r="K541" s="696" t="s">
        <v>2895</v>
      </c>
      <c r="L541" s="699">
        <v>474.91</v>
      </c>
      <c r="M541" s="699">
        <v>474.91</v>
      </c>
      <c r="N541" s="696">
        <v>1</v>
      </c>
      <c r="O541" s="700">
        <v>1</v>
      </c>
      <c r="P541" s="699">
        <v>474.91</v>
      </c>
      <c r="Q541" s="701">
        <v>1</v>
      </c>
      <c r="R541" s="696">
        <v>1</v>
      </c>
      <c r="S541" s="701">
        <v>1</v>
      </c>
      <c r="T541" s="700">
        <v>1</v>
      </c>
      <c r="U541" s="702">
        <v>1</v>
      </c>
    </row>
    <row r="542" spans="1:21" ht="14.4" customHeight="1" x14ac:dyDescent="0.3">
      <c r="A542" s="695">
        <v>7</v>
      </c>
      <c r="B542" s="696" t="s">
        <v>1978</v>
      </c>
      <c r="C542" s="696">
        <v>89301074</v>
      </c>
      <c r="D542" s="697" t="s">
        <v>3238</v>
      </c>
      <c r="E542" s="698" t="s">
        <v>2154</v>
      </c>
      <c r="F542" s="696" t="s">
        <v>2133</v>
      </c>
      <c r="G542" s="696" t="s">
        <v>2696</v>
      </c>
      <c r="H542" s="696" t="s">
        <v>547</v>
      </c>
      <c r="I542" s="696" t="s">
        <v>3103</v>
      </c>
      <c r="J542" s="696" t="s">
        <v>2698</v>
      </c>
      <c r="K542" s="696" t="s">
        <v>2699</v>
      </c>
      <c r="L542" s="699">
        <v>144.01</v>
      </c>
      <c r="M542" s="699">
        <v>432.03</v>
      </c>
      <c r="N542" s="696">
        <v>3</v>
      </c>
      <c r="O542" s="700">
        <v>0.5</v>
      </c>
      <c r="P542" s="699"/>
      <c r="Q542" s="701">
        <v>0</v>
      </c>
      <c r="R542" s="696"/>
      <c r="S542" s="701">
        <v>0</v>
      </c>
      <c r="T542" s="700"/>
      <c r="U542" s="702">
        <v>0</v>
      </c>
    </row>
    <row r="543" spans="1:21" ht="14.4" customHeight="1" x14ac:dyDescent="0.3">
      <c r="A543" s="695">
        <v>7</v>
      </c>
      <c r="B543" s="696" t="s">
        <v>1978</v>
      </c>
      <c r="C543" s="696">
        <v>89301074</v>
      </c>
      <c r="D543" s="697" t="s">
        <v>3238</v>
      </c>
      <c r="E543" s="698" t="s">
        <v>2154</v>
      </c>
      <c r="F543" s="696" t="s">
        <v>2133</v>
      </c>
      <c r="G543" s="696" t="s">
        <v>2696</v>
      </c>
      <c r="H543" s="696" t="s">
        <v>547</v>
      </c>
      <c r="I543" s="696" t="s">
        <v>2697</v>
      </c>
      <c r="J543" s="696" t="s">
        <v>2698</v>
      </c>
      <c r="K543" s="696" t="s">
        <v>2699</v>
      </c>
      <c r="L543" s="699">
        <v>144.01</v>
      </c>
      <c r="M543" s="699">
        <v>432.03</v>
      </c>
      <c r="N543" s="696">
        <v>3</v>
      </c>
      <c r="O543" s="700">
        <v>0.5</v>
      </c>
      <c r="P543" s="699"/>
      <c r="Q543" s="701">
        <v>0</v>
      </c>
      <c r="R543" s="696"/>
      <c r="S543" s="701">
        <v>0</v>
      </c>
      <c r="T543" s="700"/>
      <c r="U543" s="702">
        <v>0</v>
      </c>
    </row>
    <row r="544" spans="1:21" ht="14.4" customHeight="1" x14ac:dyDescent="0.3">
      <c r="A544" s="695">
        <v>7</v>
      </c>
      <c r="B544" s="696" t="s">
        <v>1978</v>
      </c>
      <c r="C544" s="696">
        <v>89301074</v>
      </c>
      <c r="D544" s="697" t="s">
        <v>3238</v>
      </c>
      <c r="E544" s="698" t="s">
        <v>2154</v>
      </c>
      <c r="F544" s="696" t="s">
        <v>2133</v>
      </c>
      <c r="G544" s="696" t="s">
        <v>2700</v>
      </c>
      <c r="H544" s="696" t="s">
        <v>547</v>
      </c>
      <c r="I544" s="696" t="s">
        <v>2907</v>
      </c>
      <c r="J544" s="696" t="s">
        <v>2908</v>
      </c>
      <c r="K544" s="696" t="s">
        <v>2909</v>
      </c>
      <c r="L544" s="699">
        <v>55.71</v>
      </c>
      <c r="M544" s="699">
        <v>222.84</v>
      </c>
      <c r="N544" s="696">
        <v>4</v>
      </c>
      <c r="O544" s="700">
        <v>1.5</v>
      </c>
      <c r="P544" s="699"/>
      <c r="Q544" s="701">
        <v>0</v>
      </c>
      <c r="R544" s="696"/>
      <c r="S544" s="701">
        <v>0</v>
      </c>
      <c r="T544" s="700"/>
      <c r="U544" s="702">
        <v>0</v>
      </c>
    </row>
    <row r="545" spans="1:21" ht="14.4" customHeight="1" x14ac:dyDescent="0.3">
      <c r="A545" s="695">
        <v>7</v>
      </c>
      <c r="B545" s="696" t="s">
        <v>1978</v>
      </c>
      <c r="C545" s="696">
        <v>89301074</v>
      </c>
      <c r="D545" s="697" t="s">
        <v>3238</v>
      </c>
      <c r="E545" s="698" t="s">
        <v>2154</v>
      </c>
      <c r="F545" s="696" t="s">
        <v>2133</v>
      </c>
      <c r="G545" s="696" t="s">
        <v>3018</v>
      </c>
      <c r="H545" s="696" t="s">
        <v>547</v>
      </c>
      <c r="I545" s="696" t="s">
        <v>3019</v>
      </c>
      <c r="J545" s="696" t="s">
        <v>3020</v>
      </c>
      <c r="K545" s="696" t="s">
        <v>3021</v>
      </c>
      <c r="L545" s="699">
        <v>0</v>
      </c>
      <c r="M545" s="699">
        <v>0</v>
      </c>
      <c r="N545" s="696">
        <v>2</v>
      </c>
      <c r="O545" s="700">
        <v>1</v>
      </c>
      <c r="P545" s="699"/>
      <c r="Q545" s="701"/>
      <c r="R545" s="696"/>
      <c r="S545" s="701">
        <v>0</v>
      </c>
      <c r="T545" s="700"/>
      <c r="U545" s="702">
        <v>0</v>
      </c>
    </row>
    <row r="546" spans="1:21" ht="14.4" customHeight="1" x14ac:dyDescent="0.3">
      <c r="A546" s="695">
        <v>7</v>
      </c>
      <c r="B546" s="696" t="s">
        <v>1978</v>
      </c>
      <c r="C546" s="696">
        <v>89301074</v>
      </c>
      <c r="D546" s="697" t="s">
        <v>3238</v>
      </c>
      <c r="E546" s="698" t="s">
        <v>2154</v>
      </c>
      <c r="F546" s="696" t="s">
        <v>2133</v>
      </c>
      <c r="G546" s="696" t="s">
        <v>3018</v>
      </c>
      <c r="H546" s="696" t="s">
        <v>547</v>
      </c>
      <c r="I546" s="696" t="s">
        <v>3104</v>
      </c>
      <c r="J546" s="696" t="s">
        <v>3020</v>
      </c>
      <c r="K546" s="696" t="s">
        <v>2472</v>
      </c>
      <c r="L546" s="699">
        <v>0</v>
      </c>
      <c r="M546" s="699">
        <v>0</v>
      </c>
      <c r="N546" s="696">
        <v>5</v>
      </c>
      <c r="O546" s="700">
        <v>2</v>
      </c>
      <c r="P546" s="699"/>
      <c r="Q546" s="701"/>
      <c r="R546" s="696"/>
      <c r="S546" s="701">
        <v>0</v>
      </c>
      <c r="T546" s="700"/>
      <c r="U546" s="702">
        <v>0</v>
      </c>
    </row>
    <row r="547" spans="1:21" ht="14.4" customHeight="1" x14ac:dyDescent="0.3">
      <c r="A547" s="695">
        <v>7</v>
      </c>
      <c r="B547" s="696" t="s">
        <v>1978</v>
      </c>
      <c r="C547" s="696">
        <v>89301074</v>
      </c>
      <c r="D547" s="697" t="s">
        <v>3238</v>
      </c>
      <c r="E547" s="698" t="s">
        <v>2154</v>
      </c>
      <c r="F547" s="696" t="s">
        <v>2133</v>
      </c>
      <c r="G547" s="696" t="s">
        <v>3018</v>
      </c>
      <c r="H547" s="696" t="s">
        <v>547</v>
      </c>
      <c r="I547" s="696" t="s">
        <v>3105</v>
      </c>
      <c r="J547" s="696" t="s">
        <v>3020</v>
      </c>
      <c r="K547" s="696" t="s">
        <v>3106</v>
      </c>
      <c r="L547" s="699">
        <v>0</v>
      </c>
      <c r="M547" s="699">
        <v>0</v>
      </c>
      <c r="N547" s="696">
        <v>2</v>
      </c>
      <c r="O547" s="700">
        <v>1</v>
      </c>
      <c r="P547" s="699">
        <v>0</v>
      </c>
      <c r="Q547" s="701"/>
      <c r="R547" s="696">
        <v>2</v>
      </c>
      <c r="S547" s="701">
        <v>1</v>
      </c>
      <c r="T547" s="700">
        <v>1</v>
      </c>
      <c r="U547" s="702">
        <v>1</v>
      </c>
    </row>
    <row r="548" spans="1:21" ht="14.4" customHeight="1" x14ac:dyDescent="0.3">
      <c r="A548" s="695">
        <v>7</v>
      </c>
      <c r="B548" s="696" t="s">
        <v>1978</v>
      </c>
      <c r="C548" s="696">
        <v>89301074</v>
      </c>
      <c r="D548" s="697" t="s">
        <v>3238</v>
      </c>
      <c r="E548" s="698" t="s">
        <v>2154</v>
      </c>
      <c r="F548" s="696" t="s">
        <v>2133</v>
      </c>
      <c r="G548" s="696" t="s">
        <v>3107</v>
      </c>
      <c r="H548" s="696" t="s">
        <v>547</v>
      </c>
      <c r="I548" s="696" t="s">
        <v>3108</v>
      </c>
      <c r="J548" s="696" t="s">
        <v>1421</v>
      </c>
      <c r="K548" s="696" t="s">
        <v>3109</v>
      </c>
      <c r="L548" s="699">
        <v>913.5</v>
      </c>
      <c r="M548" s="699">
        <v>913.5</v>
      </c>
      <c r="N548" s="696">
        <v>1</v>
      </c>
      <c r="O548" s="700">
        <v>0.5</v>
      </c>
      <c r="P548" s="699">
        <v>913.5</v>
      </c>
      <c r="Q548" s="701">
        <v>1</v>
      </c>
      <c r="R548" s="696">
        <v>1</v>
      </c>
      <c r="S548" s="701">
        <v>1</v>
      </c>
      <c r="T548" s="700">
        <v>0.5</v>
      </c>
      <c r="U548" s="702">
        <v>1</v>
      </c>
    </row>
    <row r="549" spans="1:21" ht="14.4" customHeight="1" x14ac:dyDescent="0.3">
      <c r="A549" s="695">
        <v>7</v>
      </c>
      <c r="B549" s="696" t="s">
        <v>1978</v>
      </c>
      <c r="C549" s="696">
        <v>89301074</v>
      </c>
      <c r="D549" s="697" t="s">
        <v>3238</v>
      </c>
      <c r="E549" s="698" t="s">
        <v>2154</v>
      </c>
      <c r="F549" s="696" t="s">
        <v>2133</v>
      </c>
      <c r="G549" s="696" t="s">
        <v>2326</v>
      </c>
      <c r="H549" s="696" t="s">
        <v>1438</v>
      </c>
      <c r="I549" s="696" t="s">
        <v>3025</v>
      </c>
      <c r="J549" s="696" t="s">
        <v>3026</v>
      </c>
      <c r="K549" s="696" t="s">
        <v>1458</v>
      </c>
      <c r="L549" s="699">
        <v>137.74</v>
      </c>
      <c r="M549" s="699">
        <v>275.48</v>
      </c>
      <c r="N549" s="696">
        <v>2</v>
      </c>
      <c r="O549" s="700">
        <v>0.5</v>
      </c>
      <c r="P549" s="699"/>
      <c r="Q549" s="701">
        <v>0</v>
      </c>
      <c r="R549" s="696"/>
      <c r="S549" s="701">
        <v>0</v>
      </c>
      <c r="T549" s="700"/>
      <c r="U549" s="702">
        <v>0</v>
      </c>
    </row>
    <row r="550" spans="1:21" ht="14.4" customHeight="1" x14ac:dyDescent="0.3">
      <c r="A550" s="695">
        <v>7</v>
      </c>
      <c r="B550" s="696" t="s">
        <v>1978</v>
      </c>
      <c r="C550" s="696">
        <v>89301074</v>
      </c>
      <c r="D550" s="697" t="s">
        <v>3238</v>
      </c>
      <c r="E550" s="698" t="s">
        <v>2154</v>
      </c>
      <c r="F550" s="696" t="s">
        <v>2133</v>
      </c>
      <c r="G550" s="696" t="s">
        <v>3031</v>
      </c>
      <c r="H550" s="696" t="s">
        <v>547</v>
      </c>
      <c r="I550" s="696" t="s">
        <v>3110</v>
      </c>
      <c r="J550" s="696" t="s">
        <v>3033</v>
      </c>
      <c r="K550" s="696" t="s">
        <v>3111</v>
      </c>
      <c r="L550" s="699">
        <v>0</v>
      </c>
      <c r="M550" s="699">
        <v>0</v>
      </c>
      <c r="N550" s="696">
        <v>2</v>
      </c>
      <c r="O550" s="700">
        <v>0.5</v>
      </c>
      <c r="P550" s="699"/>
      <c r="Q550" s="701"/>
      <c r="R550" s="696"/>
      <c r="S550" s="701">
        <v>0</v>
      </c>
      <c r="T550" s="700"/>
      <c r="U550" s="702">
        <v>0</v>
      </c>
    </row>
    <row r="551" spans="1:21" ht="14.4" customHeight="1" x14ac:dyDescent="0.3">
      <c r="A551" s="695">
        <v>7</v>
      </c>
      <c r="B551" s="696" t="s">
        <v>1978</v>
      </c>
      <c r="C551" s="696">
        <v>89301074</v>
      </c>
      <c r="D551" s="697" t="s">
        <v>3238</v>
      </c>
      <c r="E551" s="698" t="s">
        <v>2154</v>
      </c>
      <c r="F551" s="696" t="s">
        <v>2133</v>
      </c>
      <c r="G551" s="696" t="s">
        <v>2438</v>
      </c>
      <c r="H551" s="696" t="s">
        <v>547</v>
      </c>
      <c r="I551" s="696" t="s">
        <v>2911</v>
      </c>
      <c r="J551" s="696" t="s">
        <v>2449</v>
      </c>
      <c r="K551" s="696" t="s">
        <v>2450</v>
      </c>
      <c r="L551" s="699">
        <v>407.64</v>
      </c>
      <c r="M551" s="699">
        <v>2445.84</v>
      </c>
      <c r="N551" s="696">
        <v>6</v>
      </c>
      <c r="O551" s="700">
        <v>1</v>
      </c>
      <c r="P551" s="699">
        <v>2445.84</v>
      </c>
      <c r="Q551" s="701">
        <v>1</v>
      </c>
      <c r="R551" s="696">
        <v>6</v>
      </c>
      <c r="S551" s="701">
        <v>1</v>
      </c>
      <c r="T551" s="700">
        <v>1</v>
      </c>
      <c r="U551" s="702">
        <v>1</v>
      </c>
    </row>
    <row r="552" spans="1:21" ht="14.4" customHeight="1" x14ac:dyDescent="0.3">
      <c r="A552" s="695">
        <v>7</v>
      </c>
      <c r="B552" s="696" t="s">
        <v>1978</v>
      </c>
      <c r="C552" s="696">
        <v>89301074</v>
      </c>
      <c r="D552" s="697" t="s">
        <v>3238</v>
      </c>
      <c r="E552" s="698" t="s">
        <v>2154</v>
      </c>
      <c r="F552" s="696" t="s">
        <v>2133</v>
      </c>
      <c r="G552" s="696" t="s">
        <v>2438</v>
      </c>
      <c r="H552" s="696" t="s">
        <v>547</v>
      </c>
      <c r="I552" s="696" t="s">
        <v>3112</v>
      </c>
      <c r="J552" s="696" t="s">
        <v>2725</v>
      </c>
      <c r="K552" s="696" t="s">
        <v>2120</v>
      </c>
      <c r="L552" s="699">
        <v>0</v>
      </c>
      <c r="M552" s="699">
        <v>0</v>
      </c>
      <c r="N552" s="696">
        <v>2</v>
      </c>
      <c r="O552" s="700">
        <v>2</v>
      </c>
      <c r="P552" s="699"/>
      <c r="Q552" s="701"/>
      <c r="R552" s="696"/>
      <c r="S552" s="701">
        <v>0</v>
      </c>
      <c r="T552" s="700"/>
      <c r="U552" s="702">
        <v>0</v>
      </c>
    </row>
    <row r="553" spans="1:21" ht="14.4" customHeight="1" x14ac:dyDescent="0.3">
      <c r="A553" s="695">
        <v>7</v>
      </c>
      <c r="B553" s="696" t="s">
        <v>1978</v>
      </c>
      <c r="C553" s="696">
        <v>89301074</v>
      </c>
      <c r="D553" s="697" t="s">
        <v>3238</v>
      </c>
      <c r="E553" s="698" t="s">
        <v>2154</v>
      </c>
      <c r="F553" s="696" t="s">
        <v>2133</v>
      </c>
      <c r="G553" s="696" t="s">
        <v>2438</v>
      </c>
      <c r="H553" s="696" t="s">
        <v>547</v>
      </c>
      <c r="I553" s="696" t="s">
        <v>2726</v>
      </c>
      <c r="J553" s="696" t="s">
        <v>2727</v>
      </c>
      <c r="K553" s="696" t="s">
        <v>834</v>
      </c>
      <c r="L553" s="699">
        <v>105.85</v>
      </c>
      <c r="M553" s="699">
        <v>211.7</v>
      </c>
      <c r="N553" s="696">
        <v>2</v>
      </c>
      <c r="O553" s="700">
        <v>1</v>
      </c>
      <c r="P553" s="699">
        <v>211.7</v>
      </c>
      <c r="Q553" s="701">
        <v>1</v>
      </c>
      <c r="R553" s="696">
        <v>2</v>
      </c>
      <c r="S553" s="701">
        <v>1</v>
      </c>
      <c r="T553" s="700">
        <v>1</v>
      </c>
      <c r="U553" s="702">
        <v>1</v>
      </c>
    </row>
    <row r="554" spans="1:21" ht="14.4" customHeight="1" x14ac:dyDescent="0.3">
      <c r="A554" s="695">
        <v>7</v>
      </c>
      <c r="B554" s="696" t="s">
        <v>1978</v>
      </c>
      <c r="C554" s="696">
        <v>89301074</v>
      </c>
      <c r="D554" s="697" t="s">
        <v>3238</v>
      </c>
      <c r="E554" s="698" t="s">
        <v>2154</v>
      </c>
      <c r="F554" s="696" t="s">
        <v>2133</v>
      </c>
      <c r="G554" s="696" t="s">
        <v>2438</v>
      </c>
      <c r="H554" s="696" t="s">
        <v>547</v>
      </c>
      <c r="I554" s="696" t="s">
        <v>2442</v>
      </c>
      <c r="J554" s="696" t="s">
        <v>2443</v>
      </c>
      <c r="K554" s="696" t="s">
        <v>2444</v>
      </c>
      <c r="L554" s="699">
        <v>132.77000000000001</v>
      </c>
      <c r="M554" s="699">
        <v>398.31000000000006</v>
      </c>
      <c r="N554" s="696">
        <v>3</v>
      </c>
      <c r="O554" s="700">
        <v>1</v>
      </c>
      <c r="P554" s="699">
        <v>398.31000000000006</v>
      </c>
      <c r="Q554" s="701">
        <v>1</v>
      </c>
      <c r="R554" s="696">
        <v>3</v>
      </c>
      <c r="S554" s="701">
        <v>1</v>
      </c>
      <c r="T554" s="700">
        <v>1</v>
      </c>
      <c r="U554" s="702">
        <v>1</v>
      </c>
    </row>
    <row r="555" spans="1:21" ht="14.4" customHeight="1" x14ac:dyDescent="0.3">
      <c r="A555" s="695">
        <v>7</v>
      </c>
      <c r="B555" s="696" t="s">
        <v>1978</v>
      </c>
      <c r="C555" s="696">
        <v>89301074</v>
      </c>
      <c r="D555" s="697" t="s">
        <v>3238</v>
      </c>
      <c r="E555" s="698" t="s">
        <v>2154</v>
      </c>
      <c r="F555" s="696" t="s">
        <v>2133</v>
      </c>
      <c r="G555" s="696" t="s">
        <v>2438</v>
      </c>
      <c r="H555" s="696" t="s">
        <v>547</v>
      </c>
      <c r="I555" s="696" t="s">
        <v>2445</v>
      </c>
      <c r="J555" s="696" t="s">
        <v>2446</v>
      </c>
      <c r="K555" s="696" t="s">
        <v>2447</v>
      </c>
      <c r="L555" s="699">
        <v>244.58</v>
      </c>
      <c r="M555" s="699">
        <v>1467.48</v>
      </c>
      <c r="N555" s="696">
        <v>6</v>
      </c>
      <c r="O555" s="700">
        <v>1</v>
      </c>
      <c r="P555" s="699">
        <v>1467.48</v>
      </c>
      <c r="Q555" s="701">
        <v>1</v>
      </c>
      <c r="R555" s="696">
        <v>6</v>
      </c>
      <c r="S555" s="701">
        <v>1</v>
      </c>
      <c r="T555" s="700">
        <v>1</v>
      </c>
      <c r="U555" s="702">
        <v>1</v>
      </c>
    </row>
    <row r="556" spans="1:21" ht="14.4" customHeight="1" x14ac:dyDescent="0.3">
      <c r="A556" s="695">
        <v>7</v>
      </c>
      <c r="B556" s="696" t="s">
        <v>1978</v>
      </c>
      <c r="C556" s="696">
        <v>89301074</v>
      </c>
      <c r="D556" s="697" t="s">
        <v>3238</v>
      </c>
      <c r="E556" s="698" t="s">
        <v>2154</v>
      </c>
      <c r="F556" s="696" t="s">
        <v>2133</v>
      </c>
      <c r="G556" s="696" t="s">
        <v>2438</v>
      </c>
      <c r="H556" s="696" t="s">
        <v>547</v>
      </c>
      <c r="I556" s="696" t="s">
        <v>2448</v>
      </c>
      <c r="J556" s="696" t="s">
        <v>2449</v>
      </c>
      <c r="K556" s="696" t="s">
        <v>2450</v>
      </c>
      <c r="L556" s="699">
        <v>407.64</v>
      </c>
      <c r="M556" s="699">
        <v>1222.92</v>
      </c>
      <c r="N556" s="696">
        <v>3</v>
      </c>
      <c r="O556" s="700">
        <v>1</v>
      </c>
      <c r="P556" s="699"/>
      <c r="Q556" s="701">
        <v>0</v>
      </c>
      <c r="R556" s="696"/>
      <c r="S556" s="701">
        <v>0</v>
      </c>
      <c r="T556" s="700"/>
      <c r="U556" s="702">
        <v>0</v>
      </c>
    </row>
    <row r="557" spans="1:21" ht="14.4" customHeight="1" x14ac:dyDescent="0.3">
      <c r="A557" s="695">
        <v>7</v>
      </c>
      <c r="B557" s="696" t="s">
        <v>1978</v>
      </c>
      <c r="C557" s="696">
        <v>89301074</v>
      </c>
      <c r="D557" s="697" t="s">
        <v>3238</v>
      </c>
      <c r="E557" s="698" t="s">
        <v>2154</v>
      </c>
      <c r="F557" s="696" t="s">
        <v>2133</v>
      </c>
      <c r="G557" s="696" t="s">
        <v>3113</v>
      </c>
      <c r="H557" s="696" t="s">
        <v>547</v>
      </c>
      <c r="I557" s="696" t="s">
        <v>3114</v>
      </c>
      <c r="J557" s="696" t="s">
        <v>3115</v>
      </c>
      <c r="K557" s="696" t="s">
        <v>3116</v>
      </c>
      <c r="L557" s="699">
        <v>40.93</v>
      </c>
      <c r="M557" s="699">
        <v>40.93</v>
      </c>
      <c r="N557" s="696">
        <v>1</v>
      </c>
      <c r="O557" s="700">
        <v>1</v>
      </c>
      <c r="P557" s="699"/>
      <c r="Q557" s="701">
        <v>0</v>
      </c>
      <c r="R557" s="696"/>
      <c r="S557" s="701">
        <v>0</v>
      </c>
      <c r="T557" s="700"/>
      <c r="U557" s="702">
        <v>0</v>
      </c>
    </row>
    <row r="558" spans="1:21" ht="14.4" customHeight="1" x14ac:dyDescent="0.3">
      <c r="A558" s="695">
        <v>7</v>
      </c>
      <c r="B558" s="696" t="s">
        <v>1978</v>
      </c>
      <c r="C558" s="696">
        <v>89301074</v>
      </c>
      <c r="D558" s="697" t="s">
        <v>3238</v>
      </c>
      <c r="E558" s="698" t="s">
        <v>2154</v>
      </c>
      <c r="F558" s="696" t="s">
        <v>2133</v>
      </c>
      <c r="G558" s="696" t="s">
        <v>2233</v>
      </c>
      <c r="H558" s="696" t="s">
        <v>1438</v>
      </c>
      <c r="I558" s="696" t="s">
        <v>2397</v>
      </c>
      <c r="J558" s="696" t="s">
        <v>2235</v>
      </c>
      <c r="K558" s="696" t="s">
        <v>2398</v>
      </c>
      <c r="L558" s="699">
        <v>96.63</v>
      </c>
      <c r="M558" s="699">
        <v>96.63</v>
      </c>
      <c r="N558" s="696">
        <v>1</v>
      </c>
      <c r="O558" s="700">
        <v>0.5</v>
      </c>
      <c r="P558" s="699"/>
      <c r="Q558" s="701">
        <v>0</v>
      </c>
      <c r="R558" s="696"/>
      <c r="S558" s="701">
        <v>0</v>
      </c>
      <c r="T558" s="700"/>
      <c r="U558" s="702">
        <v>0</v>
      </c>
    </row>
    <row r="559" spans="1:21" ht="14.4" customHeight="1" x14ac:dyDescent="0.3">
      <c r="A559" s="695">
        <v>7</v>
      </c>
      <c r="B559" s="696" t="s">
        <v>1978</v>
      </c>
      <c r="C559" s="696">
        <v>89301074</v>
      </c>
      <c r="D559" s="697" t="s">
        <v>3238</v>
      </c>
      <c r="E559" s="698" t="s">
        <v>2154</v>
      </c>
      <c r="F559" s="696" t="s">
        <v>2133</v>
      </c>
      <c r="G559" s="696" t="s">
        <v>2233</v>
      </c>
      <c r="H559" s="696" t="s">
        <v>1438</v>
      </c>
      <c r="I559" s="696" t="s">
        <v>3117</v>
      </c>
      <c r="J559" s="696" t="s">
        <v>2235</v>
      </c>
      <c r="K559" s="696" t="s">
        <v>3118</v>
      </c>
      <c r="L559" s="699">
        <v>193.26</v>
      </c>
      <c r="M559" s="699">
        <v>579.78</v>
      </c>
      <c r="N559" s="696">
        <v>3</v>
      </c>
      <c r="O559" s="700">
        <v>1.5</v>
      </c>
      <c r="P559" s="699"/>
      <c r="Q559" s="701">
        <v>0</v>
      </c>
      <c r="R559" s="696"/>
      <c r="S559" s="701">
        <v>0</v>
      </c>
      <c r="T559" s="700"/>
      <c r="U559" s="702">
        <v>0</v>
      </c>
    </row>
    <row r="560" spans="1:21" ht="14.4" customHeight="1" x14ac:dyDescent="0.3">
      <c r="A560" s="695">
        <v>7</v>
      </c>
      <c r="B560" s="696" t="s">
        <v>1978</v>
      </c>
      <c r="C560" s="696">
        <v>89301074</v>
      </c>
      <c r="D560" s="697" t="s">
        <v>3238</v>
      </c>
      <c r="E560" s="698" t="s">
        <v>2154</v>
      </c>
      <c r="F560" s="696" t="s">
        <v>2133</v>
      </c>
      <c r="G560" s="696" t="s">
        <v>2233</v>
      </c>
      <c r="H560" s="696" t="s">
        <v>547</v>
      </c>
      <c r="I560" s="696" t="s">
        <v>2234</v>
      </c>
      <c r="J560" s="696" t="s">
        <v>2235</v>
      </c>
      <c r="K560" s="696" t="s">
        <v>2236</v>
      </c>
      <c r="L560" s="699">
        <v>96.63</v>
      </c>
      <c r="M560" s="699">
        <v>193.26</v>
      </c>
      <c r="N560" s="696">
        <v>2</v>
      </c>
      <c r="O560" s="700">
        <v>1</v>
      </c>
      <c r="P560" s="699">
        <v>193.26</v>
      </c>
      <c r="Q560" s="701">
        <v>1</v>
      </c>
      <c r="R560" s="696">
        <v>2</v>
      </c>
      <c r="S560" s="701">
        <v>1</v>
      </c>
      <c r="T560" s="700">
        <v>1</v>
      </c>
      <c r="U560" s="702">
        <v>1</v>
      </c>
    </row>
    <row r="561" spans="1:21" ht="14.4" customHeight="1" x14ac:dyDescent="0.3">
      <c r="A561" s="695">
        <v>7</v>
      </c>
      <c r="B561" s="696" t="s">
        <v>1978</v>
      </c>
      <c r="C561" s="696">
        <v>89301074</v>
      </c>
      <c r="D561" s="697" t="s">
        <v>3238</v>
      </c>
      <c r="E561" s="698" t="s">
        <v>2154</v>
      </c>
      <c r="F561" s="696" t="s">
        <v>2133</v>
      </c>
      <c r="G561" s="696" t="s">
        <v>2262</v>
      </c>
      <c r="H561" s="696" t="s">
        <v>547</v>
      </c>
      <c r="I561" s="696" t="s">
        <v>2399</v>
      </c>
      <c r="J561" s="696" t="s">
        <v>2400</v>
      </c>
      <c r="K561" s="696" t="s">
        <v>728</v>
      </c>
      <c r="L561" s="699">
        <v>314.89999999999998</v>
      </c>
      <c r="M561" s="699">
        <v>314.89999999999998</v>
      </c>
      <c r="N561" s="696">
        <v>1</v>
      </c>
      <c r="O561" s="700">
        <v>0.5</v>
      </c>
      <c r="P561" s="699">
        <v>314.89999999999998</v>
      </c>
      <c r="Q561" s="701">
        <v>1</v>
      </c>
      <c r="R561" s="696">
        <v>1</v>
      </c>
      <c r="S561" s="701">
        <v>1</v>
      </c>
      <c r="T561" s="700">
        <v>0.5</v>
      </c>
      <c r="U561" s="702">
        <v>1</v>
      </c>
    </row>
    <row r="562" spans="1:21" ht="14.4" customHeight="1" x14ac:dyDescent="0.3">
      <c r="A562" s="695">
        <v>7</v>
      </c>
      <c r="B562" s="696" t="s">
        <v>1978</v>
      </c>
      <c r="C562" s="696">
        <v>89301074</v>
      </c>
      <c r="D562" s="697" t="s">
        <v>3238</v>
      </c>
      <c r="E562" s="698" t="s">
        <v>2154</v>
      </c>
      <c r="F562" s="696" t="s">
        <v>2133</v>
      </c>
      <c r="G562" s="696" t="s">
        <v>2734</v>
      </c>
      <c r="H562" s="696" t="s">
        <v>547</v>
      </c>
      <c r="I562" s="696" t="s">
        <v>2738</v>
      </c>
      <c r="J562" s="696" t="s">
        <v>2736</v>
      </c>
      <c r="K562" s="696" t="s">
        <v>2739</v>
      </c>
      <c r="L562" s="699">
        <v>3507.07</v>
      </c>
      <c r="M562" s="699">
        <v>133268.66</v>
      </c>
      <c r="N562" s="696">
        <v>38</v>
      </c>
      <c r="O562" s="700">
        <v>11</v>
      </c>
      <c r="P562" s="699">
        <v>84169.680000000008</v>
      </c>
      <c r="Q562" s="701">
        <v>0.63157894736842113</v>
      </c>
      <c r="R562" s="696">
        <v>24</v>
      </c>
      <c r="S562" s="701">
        <v>0.63157894736842102</v>
      </c>
      <c r="T562" s="700">
        <v>7</v>
      </c>
      <c r="U562" s="702">
        <v>0.63636363636363635</v>
      </c>
    </row>
    <row r="563" spans="1:21" ht="14.4" customHeight="1" x14ac:dyDescent="0.3">
      <c r="A563" s="695">
        <v>7</v>
      </c>
      <c r="B563" s="696" t="s">
        <v>1978</v>
      </c>
      <c r="C563" s="696">
        <v>89301074</v>
      </c>
      <c r="D563" s="697" t="s">
        <v>3238</v>
      </c>
      <c r="E563" s="698" t="s">
        <v>2154</v>
      </c>
      <c r="F563" s="696" t="s">
        <v>2133</v>
      </c>
      <c r="G563" s="696" t="s">
        <v>2734</v>
      </c>
      <c r="H563" s="696" t="s">
        <v>547</v>
      </c>
      <c r="I563" s="696" t="s">
        <v>2740</v>
      </c>
      <c r="J563" s="696" t="s">
        <v>2741</v>
      </c>
      <c r="K563" s="696" t="s">
        <v>2742</v>
      </c>
      <c r="L563" s="699">
        <v>474.91</v>
      </c>
      <c r="M563" s="699">
        <v>4749.1000000000004</v>
      </c>
      <c r="N563" s="696">
        <v>10</v>
      </c>
      <c r="O563" s="700">
        <v>4</v>
      </c>
      <c r="P563" s="699">
        <v>4749.1000000000004</v>
      </c>
      <c r="Q563" s="701">
        <v>1</v>
      </c>
      <c r="R563" s="696">
        <v>10</v>
      </c>
      <c r="S563" s="701">
        <v>1</v>
      </c>
      <c r="T563" s="700">
        <v>4</v>
      </c>
      <c r="U563" s="702">
        <v>1</v>
      </c>
    </row>
    <row r="564" spans="1:21" ht="14.4" customHeight="1" x14ac:dyDescent="0.3">
      <c r="A564" s="695">
        <v>7</v>
      </c>
      <c r="B564" s="696" t="s">
        <v>1978</v>
      </c>
      <c r="C564" s="696">
        <v>89301074</v>
      </c>
      <c r="D564" s="697" t="s">
        <v>3238</v>
      </c>
      <c r="E564" s="698" t="s">
        <v>2154</v>
      </c>
      <c r="F564" s="696" t="s">
        <v>2133</v>
      </c>
      <c r="G564" s="696" t="s">
        <v>2734</v>
      </c>
      <c r="H564" s="696" t="s">
        <v>547</v>
      </c>
      <c r="I564" s="696" t="s">
        <v>2920</v>
      </c>
      <c r="J564" s="696" t="s">
        <v>2741</v>
      </c>
      <c r="K564" s="696" t="s">
        <v>2921</v>
      </c>
      <c r="L564" s="699">
        <v>949.83</v>
      </c>
      <c r="M564" s="699">
        <v>16147.11</v>
      </c>
      <c r="N564" s="696">
        <v>17</v>
      </c>
      <c r="O564" s="700">
        <v>7</v>
      </c>
      <c r="P564" s="699">
        <v>3799.32</v>
      </c>
      <c r="Q564" s="701">
        <v>0.23529411764705882</v>
      </c>
      <c r="R564" s="696">
        <v>4</v>
      </c>
      <c r="S564" s="701">
        <v>0.23529411764705882</v>
      </c>
      <c r="T564" s="700">
        <v>2</v>
      </c>
      <c r="U564" s="702">
        <v>0.2857142857142857</v>
      </c>
    </row>
    <row r="565" spans="1:21" ht="14.4" customHeight="1" x14ac:dyDescent="0.3">
      <c r="A565" s="695">
        <v>7</v>
      </c>
      <c r="B565" s="696" t="s">
        <v>1978</v>
      </c>
      <c r="C565" s="696">
        <v>89301074</v>
      </c>
      <c r="D565" s="697" t="s">
        <v>3238</v>
      </c>
      <c r="E565" s="698" t="s">
        <v>2154</v>
      </c>
      <c r="F565" s="696" t="s">
        <v>2133</v>
      </c>
      <c r="G565" s="696" t="s">
        <v>2734</v>
      </c>
      <c r="H565" s="696" t="s">
        <v>547</v>
      </c>
      <c r="I565" s="696" t="s">
        <v>2922</v>
      </c>
      <c r="J565" s="696" t="s">
        <v>2923</v>
      </c>
      <c r="K565" s="696" t="s">
        <v>2924</v>
      </c>
      <c r="L565" s="699">
        <v>305.12</v>
      </c>
      <c r="M565" s="699">
        <v>3661.44</v>
      </c>
      <c r="N565" s="696">
        <v>12</v>
      </c>
      <c r="O565" s="700">
        <v>2</v>
      </c>
      <c r="P565" s="699">
        <v>3661.44</v>
      </c>
      <c r="Q565" s="701">
        <v>1</v>
      </c>
      <c r="R565" s="696">
        <v>12</v>
      </c>
      <c r="S565" s="701">
        <v>1</v>
      </c>
      <c r="T565" s="700">
        <v>2</v>
      </c>
      <c r="U565" s="702">
        <v>1</v>
      </c>
    </row>
    <row r="566" spans="1:21" ht="14.4" customHeight="1" x14ac:dyDescent="0.3">
      <c r="A566" s="695">
        <v>7</v>
      </c>
      <c r="B566" s="696" t="s">
        <v>1978</v>
      </c>
      <c r="C566" s="696">
        <v>89301074</v>
      </c>
      <c r="D566" s="697" t="s">
        <v>3238</v>
      </c>
      <c r="E566" s="698" t="s">
        <v>2154</v>
      </c>
      <c r="F566" s="696" t="s">
        <v>2133</v>
      </c>
      <c r="G566" s="696" t="s">
        <v>2734</v>
      </c>
      <c r="H566" s="696" t="s">
        <v>547</v>
      </c>
      <c r="I566" s="696" t="s">
        <v>3119</v>
      </c>
      <c r="J566" s="696" t="s">
        <v>2923</v>
      </c>
      <c r="K566" s="696" t="s">
        <v>3052</v>
      </c>
      <c r="L566" s="699">
        <v>610.23</v>
      </c>
      <c r="M566" s="699">
        <v>1830.69</v>
      </c>
      <c r="N566" s="696">
        <v>3</v>
      </c>
      <c r="O566" s="700">
        <v>1</v>
      </c>
      <c r="P566" s="699"/>
      <c r="Q566" s="701">
        <v>0</v>
      </c>
      <c r="R566" s="696"/>
      <c r="S566" s="701">
        <v>0</v>
      </c>
      <c r="T566" s="700"/>
      <c r="U566" s="702">
        <v>0</v>
      </c>
    </row>
    <row r="567" spans="1:21" ht="14.4" customHeight="1" x14ac:dyDescent="0.3">
      <c r="A567" s="695">
        <v>7</v>
      </c>
      <c r="B567" s="696" t="s">
        <v>1978</v>
      </c>
      <c r="C567" s="696">
        <v>89301074</v>
      </c>
      <c r="D567" s="697" t="s">
        <v>3238</v>
      </c>
      <c r="E567" s="698" t="s">
        <v>2154</v>
      </c>
      <c r="F567" s="696" t="s">
        <v>2133</v>
      </c>
      <c r="G567" s="696" t="s">
        <v>2734</v>
      </c>
      <c r="H567" s="696" t="s">
        <v>547</v>
      </c>
      <c r="I567" s="696" t="s">
        <v>2743</v>
      </c>
      <c r="J567" s="696" t="s">
        <v>2744</v>
      </c>
      <c r="K567" s="696" t="s">
        <v>2745</v>
      </c>
      <c r="L567" s="699">
        <v>876.77</v>
      </c>
      <c r="M567" s="699">
        <v>7890.93</v>
      </c>
      <c r="N567" s="696">
        <v>9</v>
      </c>
      <c r="O567" s="700">
        <v>3</v>
      </c>
      <c r="P567" s="699">
        <v>7890.93</v>
      </c>
      <c r="Q567" s="701">
        <v>1</v>
      </c>
      <c r="R567" s="696">
        <v>9</v>
      </c>
      <c r="S567" s="701">
        <v>1</v>
      </c>
      <c r="T567" s="700">
        <v>3</v>
      </c>
      <c r="U567" s="702">
        <v>1</v>
      </c>
    </row>
    <row r="568" spans="1:21" ht="14.4" customHeight="1" x14ac:dyDescent="0.3">
      <c r="A568" s="695">
        <v>7</v>
      </c>
      <c r="B568" s="696" t="s">
        <v>1978</v>
      </c>
      <c r="C568" s="696">
        <v>89301074</v>
      </c>
      <c r="D568" s="697" t="s">
        <v>3238</v>
      </c>
      <c r="E568" s="698" t="s">
        <v>2154</v>
      </c>
      <c r="F568" s="696" t="s">
        <v>2133</v>
      </c>
      <c r="G568" s="696" t="s">
        <v>2734</v>
      </c>
      <c r="H568" s="696" t="s">
        <v>547</v>
      </c>
      <c r="I568" s="696" t="s">
        <v>3048</v>
      </c>
      <c r="J568" s="696" t="s">
        <v>2744</v>
      </c>
      <c r="K568" s="696" t="s">
        <v>3049</v>
      </c>
      <c r="L568" s="699">
        <v>1753.54</v>
      </c>
      <c r="M568" s="699">
        <v>21042.480000000003</v>
      </c>
      <c r="N568" s="696">
        <v>12</v>
      </c>
      <c r="O568" s="700">
        <v>4</v>
      </c>
      <c r="P568" s="699">
        <v>19288.940000000002</v>
      </c>
      <c r="Q568" s="701">
        <v>0.91666666666666663</v>
      </c>
      <c r="R568" s="696">
        <v>11</v>
      </c>
      <c r="S568" s="701">
        <v>0.91666666666666663</v>
      </c>
      <c r="T568" s="700">
        <v>3</v>
      </c>
      <c r="U568" s="702">
        <v>0.75</v>
      </c>
    </row>
    <row r="569" spans="1:21" ht="14.4" customHeight="1" x14ac:dyDescent="0.3">
      <c r="A569" s="695">
        <v>7</v>
      </c>
      <c r="B569" s="696" t="s">
        <v>1978</v>
      </c>
      <c r="C569" s="696">
        <v>89301074</v>
      </c>
      <c r="D569" s="697" t="s">
        <v>3238</v>
      </c>
      <c r="E569" s="698" t="s">
        <v>2154</v>
      </c>
      <c r="F569" s="696" t="s">
        <v>2133</v>
      </c>
      <c r="G569" s="696" t="s">
        <v>2734</v>
      </c>
      <c r="H569" s="696" t="s">
        <v>547</v>
      </c>
      <c r="I569" s="696" t="s">
        <v>3050</v>
      </c>
      <c r="J569" s="696" t="s">
        <v>2936</v>
      </c>
      <c r="K569" s="696" t="s">
        <v>2924</v>
      </c>
      <c r="L569" s="699">
        <v>305.12</v>
      </c>
      <c r="M569" s="699">
        <v>2135.84</v>
      </c>
      <c r="N569" s="696">
        <v>7</v>
      </c>
      <c r="O569" s="700">
        <v>6</v>
      </c>
      <c r="P569" s="699">
        <v>1525.6</v>
      </c>
      <c r="Q569" s="701">
        <v>0.71428571428571419</v>
      </c>
      <c r="R569" s="696">
        <v>5</v>
      </c>
      <c r="S569" s="701">
        <v>0.7142857142857143</v>
      </c>
      <c r="T569" s="700">
        <v>5</v>
      </c>
      <c r="U569" s="702">
        <v>0.83333333333333337</v>
      </c>
    </row>
    <row r="570" spans="1:21" ht="14.4" customHeight="1" x14ac:dyDescent="0.3">
      <c r="A570" s="695">
        <v>7</v>
      </c>
      <c r="B570" s="696" t="s">
        <v>1978</v>
      </c>
      <c r="C570" s="696">
        <v>89301074</v>
      </c>
      <c r="D570" s="697" t="s">
        <v>3238</v>
      </c>
      <c r="E570" s="698" t="s">
        <v>2154</v>
      </c>
      <c r="F570" s="696" t="s">
        <v>2133</v>
      </c>
      <c r="G570" s="696" t="s">
        <v>2734</v>
      </c>
      <c r="H570" s="696" t="s">
        <v>547</v>
      </c>
      <c r="I570" s="696" t="s">
        <v>3051</v>
      </c>
      <c r="J570" s="696" t="s">
        <v>2936</v>
      </c>
      <c r="K570" s="696" t="s">
        <v>3052</v>
      </c>
      <c r="L570" s="699">
        <v>610.23</v>
      </c>
      <c r="M570" s="699">
        <v>2440.92</v>
      </c>
      <c r="N570" s="696">
        <v>4</v>
      </c>
      <c r="O570" s="700">
        <v>2</v>
      </c>
      <c r="P570" s="699">
        <v>610.23</v>
      </c>
      <c r="Q570" s="701">
        <v>0.25</v>
      </c>
      <c r="R570" s="696">
        <v>1</v>
      </c>
      <c r="S570" s="701">
        <v>0.25</v>
      </c>
      <c r="T570" s="700">
        <v>1</v>
      </c>
      <c r="U570" s="702">
        <v>0.5</v>
      </c>
    </row>
    <row r="571" spans="1:21" ht="14.4" customHeight="1" x14ac:dyDescent="0.3">
      <c r="A571" s="695">
        <v>7</v>
      </c>
      <c r="B571" s="696" t="s">
        <v>1978</v>
      </c>
      <c r="C571" s="696">
        <v>89301074</v>
      </c>
      <c r="D571" s="697" t="s">
        <v>3238</v>
      </c>
      <c r="E571" s="698" t="s">
        <v>2154</v>
      </c>
      <c r="F571" s="696" t="s">
        <v>2133</v>
      </c>
      <c r="G571" s="696" t="s">
        <v>2734</v>
      </c>
      <c r="H571" s="696" t="s">
        <v>547</v>
      </c>
      <c r="I571" s="696" t="s">
        <v>3120</v>
      </c>
      <c r="J571" s="696" t="s">
        <v>2928</v>
      </c>
      <c r="K571" s="696" t="s">
        <v>3049</v>
      </c>
      <c r="L571" s="699">
        <v>1753.54</v>
      </c>
      <c r="M571" s="699">
        <v>3507.08</v>
      </c>
      <c r="N571" s="696">
        <v>2</v>
      </c>
      <c r="O571" s="700">
        <v>1</v>
      </c>
      <c r="P571" s="699"/>
      <c r="Q571" s="701">
        <v>0</v>
      </c>
      <c r="R571" s="696"/>
      <c r="S571" s="701">
        <v>0</v>
      </c>
      <c r="T571" s="700"/>
      <c r="U571" s="702">
        <v>0</v>
      </c>
    </row>
    <row r="572" spans="1:21" ht="14.4" customHeight="1" x14ac:dyDescent="0.3">
      <c r="A572" s="695">
        <v>7</v>
      </c>
      <c r="B572" s="696" t="s">
        <v>1978</v>
      </c>
      <c r="C572" s="696">
        <v>89301074</v>
      </c>
      <c r="D572" s="697" t="s">
        <v>3238</v>
      </c>
      <c r="E572" s="698" t="s">
        <v>2154</v>
      </c>
      <c r="F572" s="696" t="s">
        <v>2133</v>
      </c>
      <c r="G572" s="696" t="s">
        <v>2748</v>
      </c>
      <c r="H572" s="696" t="s">
        <v>547</v>
      </c>
      <c r="I572" s="696" t="s">
        <v>2755</v>
      </c>
      <c r="J572" s="696" t="s">
        <v>2756</v>
      </c>
      <c r="K572" s="696" t="s">
        <v>2757</v>
      </c>
      <c r="L572" s="699">
        <v>3858.27</v>
      </c>
      <c r="M572" s="699">
        <v>15433.08</v>
      </c>
      <c r="N572" s="696">
        <v>4</v>
      </c>
      <c r="O572" s="700">
        <v>1</v>
      </c>
      <c r="P572" s="699"/>
      <c r="Q572" s="701">
        <v>0</v>
      </c>
      <c r="R572" s="696"/>
      <c r="S572" s="701">
        <v>0</v>
      </c>
      <c r="T572" s="700"/>
      <c r="U572" s="702">
        <v>0</v>
      </c>
    </row>
    <row r="573" spans="1:21" ht="14.4" customHeight="1" x14ac:dyDescent="0.3">
      <c r="A573" s="695">
        <v>7</v>
      </c>
      <c r="B573" s="696" t="s">
        <v>1978</v>
      </c>
      <c r="C573" s="696">
        <v>89301074</v>
      </c>
      <c r="D573" s="697" t="s">
        <v>3238</v>
      </c>
      <c r="E573" s="698" t="s">
        <v>2154</v>
      </c>
      <c r="F573" s="696" t="s">
        <v>2133</v>
      </c>
      <c r="G573" s="696" t="s">
        <v>2769</v>
      </c>
      <c r="H573" s="696" t="s">
        <v>1438</v>
      </c>
      <c r="I573" s="696" t="s">
        <v>2770</v>
      </c>
      <c r="J573" s="696" t="s">
        <v>2771</v>
      </c>
      <c r="K573" s="696" t="s">
        <v>2772</v>
      </c>
      <c r="L573" s="699">
        <v>1344.66</v>
      </c>
      <c r="M573" s="699">
        <v>2689.32</v>
      </c>
      <c r="N573" s="696">
        <v>2</v>
      </c>
      <c r="O573" s="700">
        <v>1</v>
      </c>
      <c r="P573" s="699">
        <v>2689.32</v>
      </c>
      <c r="Q573" s="701">
        <v>1</v>
      </c>
      <c r="R573" s="696">
        <v>2</v>
      </c>
      <c r="S573" s="701">
        <v>1</v>
      </c>
      <c r="T573" s="700">
        <v>1</v>
      </c>
      <c r="U573" s="702">
        <v>1</v>
      </c>
    </row>
    <row r="574" spans="1:21" ht="14.4" customHeight="1" x14ac:dyDescent="0.3">
      <c r="A574" s="695">
        <v>7</v>
      </c>
      <c r="B574" s="696" t="s">
        <v>1978</v>
      </c>
      <c r="C574" s="696">
        <v>89301074</v>
      </c>
      <c r="D574" s="697" t="s">
        <v>3238</v>
      </c>
      <c r="E574" s="698" t="s">
        <v>2154</v>
      </c>
      <c r="F574" s="696" t="s">
        <v>2133</v>
      </c>
      <c r="G574" s="696" t="s">
        <v>2198</v>
      </c>
      <c r="H574" s="696" t="s">
        <v>547</v>
      </c>
      <c r="I574" s="696" t="s">
        <v>742</v>
      </c>
      <c r="J574" s="696" t="s">
        <v>2199</v>
      </c>
      <c r="K574" s="696" t="s">
        <v>2200</v>
      </c>
      <c r="L574" s="699">
        <v>0</v>
      </c>
      <c r="M574" s="699">
        <v>0</v>
      </c>
      <c r="N574" s="696">
        <v>9</v>
      </c>
      <c r="O574" s="700">
        <v>1.5</v>
      </c>
      <c r="P574" s="699"/>
      <c r="Q574" s="701"/>
      <c r="R574" s="696"/>
      <c r="S574" s="701">
        <v>0</v>
      </c>
      <c r="T574" s="700"/>
      <c r="U574" s="702">
        <v>0</v>
      </c>
    </row>
    <row r="575" spans="1:21" ht="14.4" customHeight="1" x14ac:dyDescent="0.3">
      <c r="A575" s="695">
        <v>7</v>
      </c>
      <c r="B575" s="696" t="s">
        <v>1978</v>
      </c>
      <c r="C575" s="696">
        <v>89301074</v>
      </c>
      <c r="D575" s="697" t="s">
        <v>3238</v>
      </c>
      <c r="E575" s="698" t="s">
        <v>2154</v>
      </c>
      <c r="F575" s="696" t="s">
        <v>2133</v>
      </c>
      <c r="G575" s="696" t="s">
        <v>2451</v>
      </c>
      <c r="H575" s="696" t="s">
        <v>547</v>
      </c>
      <c r="I575" s="696" t="s">
        <v>2947</v>
      </c>
      <c r="J575" s="696" t="s">
        <v>2783</v>
      </c>
      <c r="K575" s="696" t="s">
        <v>2948</v>
      </c>
      <c r="L575" s="699">
        <v>1315.15</v>
      </c>
      <c r="M575" s="699">
        <v>3945.4500000000003</v>
      </c>
      <c r="N575" s="696">
        <v>3</v>
      </c>
      <c r="O575" s="700">
        <v>1</v>
      </c>
      <c r="P575" s="699">
        <v>3945.4500000000003</v>
      </c>
      <c r="Q575" s="701">
        <v>1</v>
      </c>
      <c r="R575" s="696">
        <v>3</v>
      </c>
      <c r="S575" s="701">
        <v>1</v>
      </c>
      <c r="T575" s="700">
        <v>1</v>
      </c>
      <c r="U575" s="702">
        <v>1</v>
      </c>
    </row>
    <row r="576" spans="1:21" ht="14.4" customHeight="1" x14ac:dyDescent="0.3">
      <c r="A576" s="695">
        <v>7</v>
      </c>
      <c r="B576" s="696" t="s">
        <v>1978</v>
      </c>
      <c r="C576" s="696">
        <v>89301074</v>
      </c>
      <c r="D576" s="697" t="s">
        <v>3238</v>
      </c>
      <c r="E576" s="698" t="s">
        <v>2154</v>
      </c>
      <c r="F576" s="696" t="s">
        <v>2133</v>
      </c>
      <c r="G576" s="696" t="s">
        <v>2201</v>
      </c>
      <c r="H576" s="696" t="s">
        <v>1438</v>
      </c>
      <c r="I576" s="696" t="s">
        <v>2795</v>
      </c>
      <c r="J576" s="696" t="s">
        <v>2796</v>
      </c>
      <c r="K576" s="696" t="s">
        <v>2287</v>
      </c>
      <c r="L576" s="699">
        <v>147.36000000000001</v>
      </c>
      <c r="M576" s="699">
        <v>294.72000000000003</v>
      </c>
      <c r="N576" s="696">
        <v>2</v>
      </c>
      <c r="O576" s="700">
        <v>1</v>
      </c>
      <c r="P576" s="699"/>
      <c r="Q576" s="701">
        <v>0</v>
      </c>
      <c r="R576" s="696"/>
      <c r="S576" s="701">
        <v>0</v>
      </c>
      <c r="T576" s="700"/>
      <c r="U576" s="702">
        <v>0</v>
      </c>
    </row>
    <row r="577" spans="1:21" ht="14.4" customHeight="1" x14ac:dyDescent="0.3">
      <c r="A577" s="695">
        <v>7</v>
      </c>
      <c r="B577" s="696" t="s">
        <v>1978</v>
      </c>
      <c r="C577" s="696">
        <v>89301074</v>
      </c>
      <c r="D577" s="697" t="s">
        <v>3238</v>
      </c>
      <c r="E577" s="698" t="s">
        <v>2154</v>
      </c>
      <c r="F577" s="696" t="s">
        <v>2133</v>
      </c>
      <c r="G577" s="696" t="s">
        <v>2201</v>
      </c>
      <c r="H577" s="696" t="s">
        <v>547</v>
      </c>
      <c r="I577" s="696" t="s">
        <v>2285</v>
      </c>
      <c r="J577" s="696" t="s">
        <v>2286</v>
      </c>
      <c r="K577" s="696" t="s">
        <v>2287</v>
      </c>
      <c r="L577" s="699">
        <v>147.36000000000001</v>
      </c>
      <c r="M577" s="699">
        <v>589.44000000000005</v>
      </c>
      <c r="N577" s="696">
        <v>4</v>
      </c>
      <c r="O577" s="700">
        <v>1</v>
      </c>
      <c r="P577" s="699"/>
      <c r="Q577" s="701">
        <v>0</v>
      </c>
      <c r="R577" s="696"/>
      <c r="S577" s="701">
        <v>0</v>
      </c>
      <c r="T577" s="700"/>
      <c r="U577" s="702">
        <v>0</v>
      </c>
    </row>
    <row r="578" spans="1:21" ht="14.4" customHeight="1" x14ac:dyDescent="0.3">
      <c r="A578" s="695">
        <v>7</v>
      </c>
      <c r="B578" s="696" t="s">
        <v>1978</v>
      </c>
      <c r="C578" s="696">
        <v>89301074</v>
      </c>
      <c r="D578" s="697" t="s">
        <v>3238</v>
      </c>
      <c r="E578" s="698" t="s">
        <v>2154</v>
      </c>
      <c r="F578" s="696" t="s">
        <v>2133</v>
      </c>
      <c r="G578" s="696" t="s">
        <v>2201</v>
      </c>
      <c r="H578" s="696" t="s">
        <v>1438</v>
      </c>
      <c r="I578" s="696" t="s">
        <v>2797</v>
      </c>
      <c r="J578" s="696" t="s">
        <v>2203</v>
      </c>
      <c r="K578" s="696" t="s">
        <v>2450</v>
      </c>
      <c r="L578" s="699">
        <v>98.23</v>
      </c>
      <c r="M578" s="699">
        <v>982.3</v>
      </c>
      <c r="N578" s="696">
        <v>10</v>
      </c>
      <c r="O578" s="700">
        <v>2.5</v>
      </c>
      <c r="P578" s="699">
        <v>98.23</v>
      </c>
      <c r="Q578" s="701">
        <v>0.1</v>
      </c>
      <c r="R578" s="696">
        <v>1</v>
      </c>
      <c r="S578" s="701">
        <v>0.1</v>
      </c>
      <c r="T578" s="700">
        <v>1</v>
      </c>
      <c r="U578" s="702">
        <v>0.4</v>
      </c>
    </row>
    <row r="579" spans="1:21" ht="14.4" customHeight="1" x14ac:dyDescent="0.3">
      <c r="A579" s="695">
        <v>7</v>
      </c>
      <c r="B579" s="696" t="s">
        <v>1978</v>
      </c>
      <c r="C579" s="696">
        <v>89301074</v>
      </c>
      <c r="D579" s="697" t="s">
        <v>3238</v>
      </c>
      <c r="E579" s="698" t="s">
        <v>2154</v>
      </c>
      <c r="F579" s="696" t="s">
        <v>2133</v>
      </c>
      <c r="G579" s="696" t="s">
        <v>2201</v>
      </c>
      <c r="H579" s="696" t="s">
        <v>1438</v>
      </c>
      <c r="I579" s="696" t="s">
        <v>2202</v>
      </c>
      <c r="J579" s="696" t="s">
        <v>2203</v>
      </c>
      <c r="K579" s="696" t="s">
        <v>2204</v>
      </c>
      <c r="L579" s="699">
        <v>163.72999999999999</v>
      </c>
      <c r="M579" s="699">
        <v>1146.1099999999999</v>
      </c>
      <c r="N579" s="696">
        <v>7</v>
      </c>
      <c r="O579" s="700">
        <v>3.5</v>
      </c>
      <c r="P579" s="699">
        <v>818.65</v>
      </c>
      <c r="Q579" s="701">
        <v>0.7142857142857143</v>
      </c>
      <c r="R579" s="696">
        <v>5</v>
      </c>
      <c r="S579" s="701">
        <v>0.7142857142857143</v>
      </c>
      <c r="T579" s="700">
        <v>3</v>
      </c>
      <c r="U579" s="702">
        <v>0.8571428571428571</v>
      </c>
    </row>
    <row r="580" spans="1:21" ht="14.4" customHeight="1" x14ac:dyDescent="0.3">
      <c r="A580" s="695">
        <v>7</v>
      </c>
      <c r="B580" s="696" t="s">
        <v>1978</v>
      </c>
      <c r="C580" s="696">
        <v>89301074</v>
      </c>
      <c r="D580" s="697" t="s">
        <v>3238</v>
      </c>
      <c r="E580" s="698" t="s">
        <v>2154</v>
      </c>
      <c r="F580" s="696" t="s">
        <v>2133</v>
      </c>
      <c r="G580" s="696" t="s">
        <v>2201</v>
      </c>
      <c r="H580" s="696" t="s">
        <v>1438</v>
      </c>
      <c r="I580" s="696" t="s">
        <v>2798</v>
      </c>
      <c r="J580" s="696" t="s">
        <v>2793</v>
      </c>
      <c r="K580" s="696" t="s">
        <v>2799</v>
      </c>
      <c r="L580" s="699">
        <v>314.33999999999997</v>
      </c>
      <c r="M580" s="699">
        <v>1257.3599999999999</v>
      </c>
      <c r="N580" s="696">
        <v>4</v>
      </c>
      <c r="O580" s="700">
        <v>2.5</v>
      </c>
      <c r="P580" s="699">
        <v>1257.3599999999999</v>
      </c>
      <c r="Q580" s="701">
        <v>1</v>
      </c>
      <c r="R580" s="696">
        <v>4</v>
      </c>
      <c r="S580" s="701">
        <v>1</v>
      </c>
      <c r="T580" s="700">
        <v>2.5</v>
      </c>
      <c r="U580" s="702">
        <v>1</v>
      </c>
    </row>
    <row r="581" spans="1:21" ht="14.4" customHeight="1" x14ac:dyDescent="0.3">
      <c r="A581" s="695">
        <v>7</v>
      </c>
      <c r="B581" s="696" t="s">
        <v>1978</v>
      </c>
      <c r="C581" s="696">
        <v>89301074</v>
      </c>
      <c r="D581" s="697" t="s">
        <v>3238</v>
      </c>
      <c r="E581" s="698" t="s">
        <v>2154</v>
      </c>
      <c r="F581" s="696" t="s">
        <v>2133</v>
      </c>
      <c r="G581" s="696" t="s">
        <v>2201</v>
      </c>
      <c r="H581" s="696" t="s">
        <v>547</v>
      </c>
      <c r="I581" s="696" t="s">
        <v>3121</v>
      </c>
      <c r="J581" s="696" t="s">
        <v>3075</v>
      </c>
      <c r="K581" s="696" t="s">
        <v>3122</v>
      </c>
      <c r="L581" s="699">
        <v>0</v>
      </c>
      <c r="M581" s="699">
        <v>0</v>
      </c>
      <c r="N581" s="696">
        <v>1</v>
      </c>
      <c r="O581" s="700">
        <v>1</v>
      </c>
      <c r="P581" s="699"/>
      <c r="Q581" s="701"/>
      <c r="R581" s="696"/>
      <c r="S581" s="701">
        <v>0</v>
      </c>
      <c r="T581" s="700"/>
      <c r="U581" s="702">
        <v>0</v>
      </c>
    </row>
    <row r="582" spans="1:21" ht="14.4" customHeight="1" x14ac:dyDescent="0.3">
      <c r="A582" s="695">
        <v>7</v>
      </c>
      <c r="B582" s="696" t="s">
        <v>1978</v>
      </c>
      <c r="C582" s="696">
        <v>89301074</v>
      </c>
      <c r="D582" s="697" t="s">
        <v>3238</v>
      </c>
      <c r="E582" s="698" t="s">
        <v>2154</v>
      </c>
      <c r="F582" s="696" t="s">
        <v>2133</v>
      </c>
      <c r="G582" s="696" t="s">
        <v>2201</v>
      </c>
      <c r="H582" s="696" t="s">
        <v>547</v>
      </c>
      <c r="I582" s="696" t="s">
        <v>3074</v>
      </c>
      <c r="J582" s="696" t="s">
        <v>3075</v>
      </c>
      <c r="K582" s="696" t="s">
        <v>3076</v>
      </c>
      <c r="L582" s="699">
        <v>65.489999999999995</v>
      </c>
      <c r="M582" s="699">
        <v>65.489999999999995</v>
      </c>
      <c r="N582" s="696">
        <v>1</v>
      </c>
      <c r="O582" s="700">
        <v>1</v>
      </c>
      <c r="P582" s="699"/>
      <c r="Q582" s="701">
        <v>0</v>
      </c>
      <c r="R582" s="696"/>
      <c r="S582" s="701">
        <v>0</v>
      </c>
      <c r="T582" s="700"/>
      <c r="U582" s="702">
        <v>0</v>
      </c>
    </row>
    <row r="583" spans="1:21" ht="14.4" customHeight="1" x14ac:dyDescent="0.3">
      <c r="A583" s="695">
        <v>7</v>
      </c>
      <c r="B583" s="696" t="s">
        <v>1978</v>
      </c>
      <c r="C583" s="696">
        <v>89301074</v>
      </c>
      <c r="D583" s="697" t="s">
        <v>3238</v>
      </c>
      <c r="E583" s="698" t="s">
        <v>2154</v>
      </c>
      <c r="F583" s="696" t="s">
        <v>2133</v>
      </c>
      <c r="G583" s="696" t="s">
        <v>2201</v>
      </c>
      <c r="H583" s="696" t="s">
        <v>547</v>
      </c>
      <c r="I583" s="696" t="s">
        <v>3123</v>
      </c>
      <c r="J583" s="696" t="s">
        <v>3075</v>
      </c>
      <c r="K583" s="696" t="s">
        <v>2450</v>
      </c>
      <c r="L583" s="699">
        <v>0</v>
      </c>
      <c r="M583" s="699">
        <v>0</v>
      </c>
      <c r="N583" s="696">
        <v>3</v>
      </c>
      <c r="O583" s="700">
        <v>3</v>
      </c>
      <c r="P583" s="699"/>
      <c r="Q583" s="701"/>
      <c r="R583" s="696"/>
      <c r="S583" s="701">
        <v>0</v>
      </c>
      <c r="T583" s="700"/>
      <c r="U583" s="702">
        <v>0</v>
      </c>
    </row>
    <row r="584" spans="1:21" ht="14.4" customHeight="1" x14ac:dyDescent="0.3">
      <c r="A584" s="695">
        <v>7</v>
      </c>
      <c r="B584" s="696" t="s">
        <v>1978</v>
      </c>
      <c r="C584" s="696">
        <v>89301074</v>
      </c>
      <c r="D584" s="697" t="s">
        <v>3238</v>
      </c>
      <c r="E584" s="698" t="s">
        <v>2154</v>
      </c>
      <c r="F584" s="696" t="s">
        <v>2133</v>
      </c>
      <c r="G584" s="696" t="s">
        <v>2201</v>
      </c>
      <c r="H584" s="696" t="s">
        <v>547</v>
      </c>
      <c r="I584" s="696" t="s">
        <v>2957</v>
      </c>
      <c r="J584" s="696" t="s">
        <v>2958</v>
      </c>
      <c r="K584" s="696" t="s">
        <v>2559</v>
      </c>
      <c r="L584" s="699">
        <v>0</v>
      </c>
      <c r="M584" s="699">
        <v>0</v>
      </c>
      <c r="N584" s="696">
        <v>2</v>
      </c>
      <c r="O584" s="700">
        <v>1</v>
      </c>
      <c r="P584" s="699"/>
      <c r="Q584" s="701"/>
      <c r="R584" s="696"/>
      <c r="S584" s="701">
        <v>0</v>
      </c>
      <c r="T584" s="700"/>
      <c r="U584" s="702">
        <v>0</v>
      </c>
    </row>
    <row r="585" spans="1:21" ht="14.4" customHeight="1" x14ac:dyDescent="0.3">
      <c r="A585" s="695">
        <v>7</v>
      </c>
      <c r="B585" s="696" t="s">
        <v>1978</v>
      </c>
      <c r="C585" s="696">
        <v>89301074</v>
      </c>
      <c r="D585" s="697" t="s">
        <v>3238</v>
      </c>
      <c r="E585" s="698" t="s">
        <v>2154</v>
      </c>
      <c r="F585" s="696" t="s">
        <v>2133</v>
      </c>
      <c r="G585" s="696" t="s">
        <v>2288</v>
      </c>
      <c r="H585" s="696" t="s">
        <v>547</v>
      </c>
      <c r="I585" s="696" t="s">
        <v>3124</v>
      </c>
      <c r="J585" s="696" t="s">
        <v>2290</v>
      </c>
      <c r="K585" s="696" t="s">
        <v>3125</v>
      </c>
      <c r="L585" s="699">
        <v>0</v>
      </c>
      <c r="M585" s="699">
        <v>0</v>
      </c>
      <c r="N585" s="696">
        <v>4</v>
      </c>
      <c r="O585" s="700">
        <v>2.5</v>
      </c>
      <c r="P585" s="699">
        <v>0</v>
      </c>
      <c r="Q585" s="701"/>
      <c r="R585" s="696">
        <v>2</v>
      </c>
      <c r="S585" s="701">
        <v>0.5</v>
      </c>
      <c r="T585" s="700">
        <v>1.5</v>
      </c>
      <c r="U585" s="702">
        <v>0.6</v>
      </c>
    </row>
    <row r="586" spans="1:21" ht="14.4" customHeight="1" x14ac:dyDescent="0.3">
      <c r="A586" s="695">
        <v>7</v>
      </c>
      <c r="B586" s="696" t="s">
        <v>1978</v>
      </c>
      <c r="C586" s="696">
        <v>89301074</v>
      </c>
      <c r="D586" s="697" t="s">
        <v>3238</v>
      </c>
      <c r="E586" s="698" t="s">
        <v>2154</v>
      </c>
      <c r="F586" s="696" t="s">
        <v>2133</v>
      </c>
      <c r="G586" s="696" t="s">
        <v>2288</v>
      </c>
      <c r="H586" s="696" t="s">
        <v>547</v>
      </c>
      <c r="I586" s="696" t="s">
        <v>3126</v>
      </c>
      <c r="J586" s="696" t="s">
        <v>2801</v>
      </c>
      <c r="K586" s="696" t="s">
        <v>2294</v>
      </c>
      <c r="L586" s="699">
        <v>0</v>
      </c>
      <c r="M586" s="699">
        <v>0</v>
      </c>
      <c r="N586" s="696">
        <v>4</v>
      </c>
      <c r="O586" s="700">
        <v>2</v>
      </c>
      <c r="P586" s="699">
        <v>0</v>
      </c>
      <c r="Q586" s="701"/>
      <c r="R586" s="696">
        <v>1</v>
      </c>
      <c r="S586" s="701">
        <v>0.25</v>
      </c>
      <c r="T586" s="700">
        <v>1</v>
      </c>
      <c r="U586" s="702">
        <v>0.5</v>
      </c>
    </row>
    <row r="587" spans="1:21" ht="14.4" customHeight="1" x14ac:dyDescent="0.3">
      <c r="A587" s="695">
        <v>7</v>
      </c>
      <c r="B587" s="696" t="s">
        <v>1978</v>
      </c>
      <c r="C587" s="696">
        <v>89301074</v>
      </c>
      <c r="D587" s="697" t="s">
        <v>3238</v>
      </c>
      <c r="E587" s="698" t="s">
        <v>2154</v>
      </c>
      <c r="F587" s="696" t="s">
        <v>2133</v>
      </c>
      <c r="G587" s="696" t="s">
        <v>2288</v>
      </c>
      <c r="H587" s="696" t="s">
        <v>547</v>
      </c>
      <c r="I587" s="696" t="s">
        <v>3127</v>
      </c>
      <c r="J587" s="696" t="s">
        <v>2801</v>
      </c>
      <c r="K587" s="696" t="s">
        <v>3079</v>
      </c>
      <c r="L587" s="699">
        <v>0</v>
      </c>
      <c r="M587" s="699">
        <v>0</v>
      </c>
      <c r="N587" s="696">
        <v>1</v>
      </c>
      <c r="O587" s="700">
        <v>1</v>
      </c>
      <c r="P587" s="699"/>
      <c r="Q587" s="701"/>
      <c r="R587" s="696"/>
      <c r="S587" s="701">
        <v>0</v>
      </c>
      <c r="T587" s="700"/>
      <c r="U587" s="702">
        <v>0</v>
      </c>
    </row>
    <row r="588" spans="1:21" ht="14.4" customHeight="1" x14ac:dyDescent="0.3">
      <c r="A588" s="695">
        <v>7</v>
      </c>
      <c r="B588" s="696" t="s">
        <v>1978</v>
      </c>
      <c r="C588" s="696">
        <v>89301074</v>
      </c>
      <c r="D588" s="697" t="s">
        <v>3238</v>
      </c>
      <c r="E588" s="698" t="s">
        <v>2156</v>
      </c>
      <c r="F588" s="696" t="s">
        <v>2133</v>
      </c>
      <c r="G588" s="696" t="s">
        <v>2360</v>
      </c>
      <c r="H588" s="696" t="s">
        <v>1438</v>
      </c>
      <c r="I588" s="696" t="s">
        <v>2361</v>
      </c>
      <c r="J588" s="696" t="s">
        <v>2362</v>
      </c>
      <c r="K588" s="696" t="s">
        <v>2363</v>
      </c>
      <c r="L588" s="699">
        <v>17.690000000000001</v>
      </c>
      <c r="M588" s="699">
        <v>123.83000000000001</v>
      </c>
      <c r="N588" s="696">
        <v>7</v>
      </c>
      <c r="O588" s="700">
        <v>3.5</v>
      </c>
      <c r="P588" s="699">
        <v>123.83000000000001</v>
      </c>
      <c r="Q588" s="701">
        <v>1</v>
      </c>
      <c r="R588" s="696">
        <v>7</v>
      </c>
      <c r="S588" s="701">
        <v>1</v>
      </c>
      <c r="T588" s="700">
        <v>3.5</v>
      </c>
      <c r="U588" s="702">
        <v>1</v>
      </c>
    </row>
    <row r="589" spans="1:21" ht="14.4" customHeight="1" x14ac:dyDescent="0.3">
      <c r="A589" s="695">
        <v>7</v>
      </c>
      <c r="B589" s="696" t="s">
        <v>1978</v>
      </c>
      <c r="C589" s="696">
        <v>89301074</v>
      </c>
      <c r="D589" s="697" t="s">
        <v>3238</v>
      </c>
      <c r="E589" s="698" t="s">
        <v>2156</v>
      </c>
      <c r="F589" s="696" t="s">
        <v>2133</v>
      </c>
      <c r="G589" s="696" t="s">
        <v>2364</v>
      </c>
      <c r="H589" s="696" t="s">
        <v>547</v>
      </c>
      <c r="I589" s="696" t="s">
        <v>2365</v>
      </c>
      <c r="J589" s="696" t="s">
        <v>2366</v>
      </c>
      <c r="K589" s="696" t="s">
        <v>2367</v>
      </c>
      <c r="L589" s="699">
        <v>0</v>
      </c>
      <c r="M589" s="699">
        <v>0</v>
      </c>
      <c r="N589" s="696">
        <v>5</v>
      </c>
      <c r="O589" s="700">
        <v>3</v>
      </c>
      <c r="P589" s="699">
        <v>0</v>
      </c>
      <c r="Q589" s="701"/>
      <c r="R589" s="696">
        <v>5</v>
      </c>
      <c r="S589" s="701">
        <v>1</v>
      </c>
      <c r="T589" s="700">
        <v>3</v>
      </c>
      <c r="U589" s="702">
        <v>1</v>
      </c>
    </row>
    <row r="590" spans="1:21" ht="14.4" customHeight="1" x14ac:dyDescent="0.3">
      <c r="A590" s="695">
        <v>7</v>
      </c>
      <c r="B590" s="696" t="s">
        <v>1978</v>
      </c>
      <c r="C590" s="696">
        <v>89301074</v>
      </c>
      <c r="D590" s="697" t="s">
        <v>3238</v>
      </c>
      <c r="E590" s="698" t="s">
        <v>2156</v>
      </c>
      <c r="F590" s="696" t="s">
        <v>2133</v>
      </c>
      <c r="G590" s="696" t="s">
        <v>3128</v>
      </c>
      <c r="H590" s="696" t="s">
        <v>1438</v>
      </c>
      <c r="I590" s="696" t="s">
        <v>3129</v>
      </c>
      <c r="J590" s="696" t="s">
        <v>3130</v>
      </c>
      <c r="K590" s="696" t="s">
        <v>3131</v>
      </c>
      <c r="L590" s="699">
        <v>543.04</v>
      </c>
      <c r="M590" s="699">
        <v>543.04</v>
      </c>
      <c r="N590" s="696">
        <v>1</v>
      </c>
      <c r="O590" s="700">
        <v>0.5</v>
      </c>
      <c r="P590" s="699">
        <v>543.04</v>
      </c>
      <c r="Q590" s="701">
        <v>1</v>
      </c>
      <c r="R590" s="696">
        <v>1</v>
      </c>
      <c r="S590" s="701">
        <v>1</v>
      </c>
      <c r="T590" s="700">
        <v>0.5</v>
      </c>
      <c r="U590" s="702">
        <v>1</v>
      </c>
    </row>
    <row r="591" spans="1:21" ht="14.4" customHeight="1" x14ac:dyDescent="0.3">
      <c r="A591" s="695">
        <v>7</v>
      </c>
      <c r="B591" s="696" t="s">
        <v>1978</v>
      </c>
      <c r="C591" s="696">
        <v>89301074</v>
      </c>
      <c r="D591" s="697" t="s">
        <v>3238</v>
      </c>
      <c r="E591" s="698" t="s">
        <v>2159</v>
      </c>
      <c r="F591" s="696" t="s">
        <v>2133</v>
      </c>
      <c r="G591" s="696" t="s">
        <v>2609</v>
      </c>
      <c r="H591" s="696" t="s">
        <v>547</v>
      </c>
      <c r="I591" s="696" t="s">
        <v>2610</v>
      </c>
      <c r="J591" s="696" t="s">
        <v>2611</v>
      </c>
      <c r="K591" s="696" t="s">
        <v>2612</v>
      </c>
      <c r="L591" s="699">
        <v>35.409999999999997</v>
      </c>
      <c r="M591" s="699">
        <v>247.86999999999998</v>
      </c>
      <c r="N591" s="696">
        <v>7</v>
      </c>
      <c r="O591" s="700">
        <v>3.5</v>
      </c>
      <c r="P591" s="699">
        <v>35.409999999999997</v>
      </c>
      <c r="Q591" s="701">
        <v>0.14285714285714285</v>
      </c>
      <c r="R591" s="696">
        <v>1</v>
      </c>
      <c r="S591" s="701">
        <v>0.14285714285714285</v>
      </c>
      <c r="T591" s="700">
        <v>0.5</v>
      </c>
      <c r="U591" s="702">
        <v>0.14285714285714285</v>
      </c>
    </row>
    <row r="592" spans="1:21" ht="14.4" customHeight="1" x14ac:dyDescent="0.3">
      <c r="A592" s="695">
        <v>7</v>
      </c>
      <c r="B592" s="696" t="s">
        <v>1978</v>
      </c>
      <c r="C592" s="696">
        <v>89301074</v>
      </c>
      <c r="D592" s="697" t="s">
        <v>3238</v>
      </c>
      <c r="E592" s="698" t="s">
        <v>2159</v>
      </c>
      <c r="F592" s="696" t="s">
        <v>2133</v>
      </c>
      <c r="G592" s="696" t="s">
        <v>2609</v>
      </c>
      <c r="H592" s="696" t="s">
        <v>547</v>
      </c>
      <c r="I592" s="696" t="s">
        <v>2613</v>
      </c>
      <c r="J592" s="696" t="s">
        <v>2611</v>
      </c>
      <c r="K592" s="696" t="s">
        <v>2614</v>
      </c>
      <c r="L592" s="699">
        <v>106.23</v>
      </c>
      <c r="M592" s="699">
        <v>424.92</v>
      </c>
      <c r="N592" s="696">
        <v>4</v>
      </c>
      <c r="O592" s="700">
        <v>2</v>
      </c>
      <c r="P592" s="699">
        <v>424.92</v>
      </c>
      <c r="Q592" s="701">
        <v>1</v>
      </c>
      <c r="R592" s="696">
        <v>4</v>
      </c>
      <c r="S592" s="701">
        <v>1</v>
      </c>
      <c r="T592" s="700">
        <v>2</v>
      </c>
      <c r="U592" s="702">
        <v>1</v>
      </c>
    </row>
    <row r="593" spans="1:21" ht="14.4" customHeight="1" x14ac:dyDescent="0.3">
      <c r="A593" s="695">
        <v>7</v>
      </c>
      <c r="B593" s="696" t="s">
        <v>1978</v>
      </c>
      <c r="C593" s="696">
        <v>89301074</v>
      </c>
      <c r="D593" s="697" t="s">
        <v>3238</v>
      </c>
      <c r="E593" s="698" t="s">
        <v>2159</v>
      </c>
      <c r="F593" s="696" t="s">
        <v>2133</v>
      </c>
      <c r="G593" s="696" t="s">
        <v>2426</v>
      </c>
      <c r="H593" s="696" t="s">
        <v>547</v>
      </c>
      <c r="I593" s="696" t="s">
        <v>2427</v>
      </c>
      <c r="J593" s="696" t="s">
        <v>2428</v>
      </c>
      <c r="K593" s="696" t="s">
        <v>2429</v>
      </c>
      <c r="L593" s="699">
        <v>53.77</v>
      </c>
      <c r="M593" s="699">
        <v>1075.4000000000001</v>
      </c>
      <c r="N593" s="696">
        <v>20</v>
      </c>
      <c r="O593" s="700">
        <v>8.5</v>
      </c>
      <c r="P593" s="699">
        <v>268.85000000000002</v>
      </c>
      <c r="Q593" s="701">
        <v>0.25</v>
      </c>
      <c r="R593" s="696">
        <v>5</v>
      </c>
      <c r="S593" s="701">
        <v>0.25</v>
      </c>
      <c r="T593" s="700">
        <v>3</v>
      </c>
      <c r="U593" s="702">
        <v>0.35294117647058826</v>
      </c>
    </row>
    <row r="594" spans="1:21" ht="14.4" customHeight="1" x14ac:dyDescent="0.3">
      <c r="A594" s="695">
        <v>7</v>
      </c>
      <c r="B594" s="696" t="s">
        <v>1978</v>
      </c>
      <c r="C594" s="696">
        <v>89301074</v>
      </c>
      <c r="D594" s="697" t="s">
        <v>3238</v>
      </c>
      <c r="E594" s="698" t="s">
        <v>2159</v>
      </c>
      <c r="F594" s="696" t="s">
        <v>2133</v>
      </c>
      <c r="G594" s="696" t="s">
        <v>2616</v>
      </c>
      <c r="H594" s="696" t="s">
        <v>547</v>
      </c>
      <c r="I594" s="696" t="s">
        <v>2617</v>
      </c>
      <c r="J594" s="696" t="s">
        <v>2618</v>
      </c>
      <c r="K594" s="696" t="s">
        <v>2619</v>
      </c>
      <c r="L594" s="699">
        <v>97.42</v>
      </c>
      <c r="M594" s="699">
        <v>584.52</v>
      </c>
      <c r="N594" s="696">
        <v>6</v>
      </c>
      <c r="O594" s="700">
        <v>1.5</v>
      </c>
      <c r="P594" s="699"/>
      <c r="Q594" s="701">
        <v>0</v>
      </c>
      <c r="R594" s="696"/>
      <c r="S594" s="701">
        <v>0</v>
      </c>
      <c r="T594" s="700"/>
      <c r="U594" s="702">
        <v>0</v>
      </c>
    </row>
    <row r="595" spans="1:21" ht="14.4" customHeight="1" x14ac:dyDescent="0.3">
      <c r="A595" s="695">
        <v>7</v>
      </c>
      <c r="B595" s="696" t="s">
        <v>1978</v>
      </c>
      <c r="C595" s="696">
        <v>89301074</v>
      </c>
      <c r="D595" s="697" t="s">
        <v>3238</v>
      </c>
      <c r="E595" s="698" t="s">
        <v>2159</v>
      </c>
      <c r="F595" s="696" t="s">
        <v>2133</v>
      </c>
      <c r="G595" s="696" t="s">
        <v>2620</v>
      </c>
      <c r="H595" s="696" t="s">
        <v>547</v>
      </c>
      <c r="I595" s="696" t="s">
        <v>2621</v>
      </c>
      <c r="J595" s="696" t="s">
        <v>2622</v>
      </c>
      <c r="K595" s="696" t="s">
        <v>2623</v>
      </c>
      <c r="L595" s="699">
        <v>0</v>
      </c>
      <c r="M595" s="699">
        <v>0</v>
      </c>
      <c r="N595" s="696">
        <v>1</v>
      </c>
      <c r="O595" s="700">
        <v>1</v>
      </c>
      <c r="P595" s="699"/>
      <c r="Q595" s="701"/>
      <c r="R595" s="696"/>
      <c r="S595" s="701">
        <v>0</v>
      </c>
      <c r="T595" s="700"/>
      <c r="U595" s="702">
        <v>0</v>
      </c>
    </row>
    <row r="596" spans="1:21" ht="14.4" customHeight="1" x14ac:dyDescent="0.3">
      <c r="A596" s="695">
        <v>7</v>
      </c>
      <c r="B596" s="696" t="s">
        <v>1978</v>
      </c>
      <c r="C596" s="696">
        <v>89301074</v>
      </c>
      <c r="D596" s="697" t="s">
        <v>3238</v>
      </c>
      <c r="E596" s="698" t="s">
        <v>2159</v>
      </c>
      <c r="F596" s="696" t="s">
        <v>2133</v>
      </c>
      <c r="G596" s="696" t="s">
        <v>2477</v>
      </c>
      <c r="H596" s="696" t="s">
        <v>547</v>
      </c>
      <c r="I596" s="696" t="s">
        <v>785</v>
      </c>
      <c r="J596" s="696" t="s">
        <v>3132</v>
      </c>
      <c r="K596" s="696" t="s">
        <v>3133</v>
      </c>
      <c r="L596" s="699">
        <v>0</v>
      </c>
      <c r="M596" s="699">
        <v>0</v>
      </c>
      <c r="N596" s="696">
        <v>2</v>
      </c>
      <c r="O596" s="700">
        <v>1</v>
      </c>
      <c r="P596" s="699"/>
      <c r="Q596" s="701"/>
      <c r="R596" s="696"/>
      <c r="S596" s="701">
        <v>0</v>
      </c>
      <c r="T596" s="700"/>
      <c r="U596" s="702">
        <v>0</v>
      </c>
    </row>
    <row r="597" spans="1:21" ht="14.4" customHeight="1" x14ac:dyDescent="0.3">
      <c r="A597" s="695">
        <v>7</v>
      </c>
      <c r="B597" s="696" t="s">
        <v>1978</v>
      </c>
      <c r="C597" s="696">
        <v>89301074</v>
      </c>
      <c r="D597" s="697" t="s">
        <v>3238</v>
      </c>
      <c r="E597" s="698" t="s">
        <v>2159</v>
      </c>
      <c r="F597" s="696" t="s">
        <v>2133</v>
      </c>
      <c r="G597" s="696" t="s">
        <v>2477</v>
      </c>
      <c r="H597" s="696" t="s">
        <v>547</v>
      </c>
      <c r="I597" s="696" t="s">
        <v>789</v>
      </c>
      <c r="J597" s="696" t="s">
        <v>2479</v>
      </c>
      <c r="K597" s="696" t="s">
        <v>2480</v>
      </c>
      <c r="L597" s="699">
        <v>0</v>
      </c>
      <c r="M597" s="699">
        <v>0</v>
      </c>
      <c r="N597" s="696">
        <v>2</v>
      </c>
      <c r="O597" s="700">
        <v>0.5</v>
      </c>
      <c r="P597" s="699">
        <v>0</v>
      </c>
      <c r="Q597" s="701"/>
      <c r="R597" s="696">
        <v>2</v>
      </c>
      <c r="S597" s="701">
        <v>1</v>
      </c>
      <c r="T597" s="700">
        <v>0.5</v>
      </c>
      <c r="U597" s="702">
        <v>1</v>
      </c>
    </row>
    <row r="598" spans="1:21" ht="14.4" customHeight="1" x14ac:dyDescent="0.3">
      <c r="A598" s="695">
        <v>7</v>
      </c>
      <c r="B598" s="696" t="s">
        <v>1978</v>
      </c>
      <c r="C598" s="696">
        <v>89301074</v>
      </c>
      <c r="D598" s="697" t="s">
        <v>3238</v>
      </c>
      <c r="E598" s="698" t="s">
        <v>2159</v>
      </c>
      <c r="F598" s="696" t="s">
        <v>2133</v>
      </c>
      <c r="G598" s="696" t="s">
        <v>2477</v>
      </c>
      <c r="H598" s="696" t="s">
        <v>547</v>
      </c>
      <c r="I598" s="696" t="s">
        <v>3134</v>
      </c>
      <c r="J598" s="696" t="s">
        <v>3132</v>
      </c>
      <c r="K598" s="696" t="s">
        <v>3133</v>
      </c>
      <c r="L598" s="699">
        <v>0</v>
      </c>
      <c r="M598" s="699">
        <v>0</v>
      </c>
      <c r="N598" s="696">
        <v>1</v>
      </c>
      <c r="O598" s="700">
        <v>1</v>
      </c>
      <c r="P598" s="699"/>
      <c r="Q598" s="701"/>
      <c r="R598" s="696"/>
      <c r="S598" s="701">
        <v>0</v>
      </c>
      <c r="T598" s="700"/>
      <c r="U598" s="702">
        <v>0</v>
      </c>
    </row>
    <row r="599" spans="1:21" ht="14.4" customHeight="1" x14ac:dyDescent="0.3">
      <c r="A599" s="695">
        <v>7</v>
      </c>
      <c r="B599" s="696" t="s">
        <v>1978</v>
      </c>
      <c r="C599" s="696">
        <v>89301074</v>
      </c>
      <c r="D599" s="697" t="s">
        <v>3238</v>
      </c>
      <c r="E599" s="698" t="s">
        <v>2159</v>
      </c>
      <c r="F599" s="696" t="s">
        <v>2133</v>
      </c>
      <c r="G599" s="696" t="s">
        <v>2477</v>
      </c>
      <c r="H599" s="696" t="s">
        <v>547</v>
      </c>
      <c r="I599" s="696" t="s">
        <v>3135</v>
      </c>
      <c r="J599" s="696" t="s">
        <v>3132</v>
      </c>
      <c r="K599" s="696" t="s">
        <v>3133</v>
      </c>
      <c r="L599" s="699">
        <v>0</v>
      </c>
      <c r="M599" s="699">
        <v>0</v>
      </c>
      <c r="N599" s="696">
        <v>2</v>
      </c>
      <c r="O599" s="700">
        <v>1.5</v>
      </c>
      <c r="P599" s="699">
        <v>0</v>
      </c>
      <c r="Q599" s="701"/>
      <c r="R599" s="696">
        <v>1</v>
      </c>
      <c r="S599" s="701">
        <v>0.5</v>
      </c>
      <c r="T599" s="700">
        <v>1</v>
      </c>
      <c r="U599" s="702">
        <v>0.66666666666666663</v>
      </c>
    </row>
    <row r="600" spans="1:21" ht="14.4" customHeight="1" x14ac:dyDescent="0.3">
      <c r="A600" s="695">
        <v>7</v>
      </c>
      <c r="B600" s="696" t="s">
        <v>1978</v>
      </c>
      <c r="C600" s="696">
        <v>89301074</v>
      </c>
      <c r="D600" s="697" t="s">
        <v>3238</v>
      </c>
      <c r="E600" s="698" t="s">
        <v>2159</v>
      </c>
      <c r="F600" s="696" t="s">
        <v>2133</v>
      </c>
      <c r="G600" s="696" t="s">
        <v>2624</v>
      </c>
      <c r="H600" s="696" t="s">
        <v>547</v>
      </c>
      <c r="I600" s="696" t="s">
        <v>2968</v>
      </c>
      <c r="J600" s="696" t="s">
        <v>2969</v>
      </c>
      <c r="K600" s="696" t="s">
        <v>2970</v>
      </c>
      <c r="L600" s="699">
        <v>1130.2</v>
      </c>
      <c r="M600" s="699">
        <v>7911.4000000000005</v>
      </c>
      <c r="N600" s="696">
        <v>7</v>
      </c>
      <c r="O600" s="700">
        <v>2</v>
      </c>
      <c r="P600" s="699"/>
      <c r="Q600" s="701">
        <v>0</v>
      </c>
      <c r="R600" s="696"/>
      <c r="S600" s="701">
        <v>0</v>
      </c>
      <c r="T600" s="700"/>
      <c r="U600" s="702">
        <v>0</v>
      </c>
    </row>
    <row r="601" spans="1:21" ht="14.4" customHeight="1" x14ac:dyDescent="0.3">
      <c r="A601" s="695">
        <v>7</v>
      </c>
      <c r="B601" s="696" t="s">
        <v>1978</v>
      </c>
      <c r="C601" s="696">
        <v>89301074</v>
      </c>
      <c r="D601" s="697" t="s">
        <v>3238</v>
      </c>
      <c r="E601" s="698" t="s">
        <v>2159</v>
      </c>
      <c r="F601" s="696" t="s">
        <v>2133</v>
      </c>
      <c r="G601" s="696" t="s">
        <v>2624</v>
      </c>
      <c r="H601" s="696" t="s">
        <v>1438</v>
      </c>
      <c r="I601" s="696" t="s">
        <v>2625</v>
      </c>
      <c r="J601" s="696" t="s">
        <v>2626</v>
      </c>
      <c r="K601" s="696" t="s">
        <v>2627</v>
      </c>
      <c r="L601" s="699">
        <v>1027.5999999999999</v>
      </c>
      <c r="M601" s="699">
        <v>26717.599999999999</v>
      </c>
      <c r="N601" s="696">
        <v>26</v>
      </c>
      <c r="O601" s="700">
        <v>8</v>
      </c>
      <c r="P601" s="699">
        <v>11303.599999999999</v>
      </c>
      <c r="Q601" s="701">
        <v>0.42307692307692307</v>
      </c>
      <c r="R601" s="696">
        <v>11</v>
      </c>
      <c r="S601" s="701">
        <v>0.42307692307692307</v>
      </c>
      <c r="T601" s="700">
        <v>4</v>
      </c>
      <c r="U601" s="702">
        <v>0.5</v>
      </c>
    </row>
    <row r="602" spans="1:21" ht="14.4" customHeight="1" x14ac:dyDescent="0.3">
      <c r="A602" s="695">
        <v>7</v>
      </c>
      <c r="B602" s="696" t="s">
        <v>1978</v>
      </c>
      <c r="C602" s="696">
        <v>89301074</v>
      </c>
      <c r="D602" s="697" t="s">
        <v>3238</v>
      </c>
      <c r="E602" s="698" t="s">
        <v>2159</v>
      </c>
      <c r="F602" s="696" t="s">
        <v>2133</v>
      </c>
      <c r="G602" s="696" t="s">
        <v>2624</v>
      </c>
      <c r="H602" s="696" t="s">
        <v>1438</v>
      </c>
      <c r="I602" s="696" t="s">
        <v>2625</v>
      </c>
      <c r="J602" s="696" t="s">
        <v>2626</v>
      </c>
      <c r="K602" s="696" t="s">
        <v>2627</v>
      </c>
      <c r="L602" s="699">
        <v>801.23</v>
      </c>
      <c r="M602" s="699">
        <v>15223.370000000003</v>
      </c>
      <c r="N602" s="696">
        <v>19</v>
      </c>
      <c r="O602" s="700">
        <v>4</v>
      </c>
      <c r="P602" s="699">
        <v>10415.990000000002</v>
      </c>
      <c r="Q602" s="701">
        <v>0.68421052631578949</v>
      </c>
      <c r="R602" s="696">
        <v>13</v>
      </c>
      <c r="S602" s="701">
        <v>0.68421052631578949</v>
      </c>
      <c r="T602" s="700">
        <v>3</v>
      </c>
      <c r="U602" s="702">
        <v>0.75</v>
      </c>
    </row>
    <row r="603" spans="1:21" ht="14.4" customHeight="1" x14ac:dyDescent="0.3">
      <c r="A603" s="695">
        <v>7</v>
      </c>
      <c r="B603" s="696" t="s">
        <v>1978</v>
      </c>
      <c r="C603" s="696">
        <v>89301074</v>
      </c>
      <c r="D603" s="697" t="s">
        <v>3238</v>
      </c>
      <c r="E603" s="698" t="s">
        <v>2159</v>
      </c>
      <c r="F603" s="696" t="s">
        <v>2133</v>
      </c>
      <c r="G603" s="696" t="s">
        <v>2624</v>
      </c>
      <c r="H603" s="696" t="s">
        <v>1438</v>
      </c>
      <c r="I603" s="696" t="s">
        <v>2815</v>
      </c>
      <c r="J603" s="696" t="s">
        <v>2816</v>
      </c>
      <c r="K603" s="696" t="s">
        <v>2817</v>
      </c>
      <c r="L603" s="699">
        <v>1201.8399999999999</v>
      </c>
      <c r="M603" s="699">
        <v>22834.959999999999</v>
      </c>
      <c r="N603" s="696">
        <v>19</v>
      </c>
      <c r="O603" s="700">
        <v>5</v>
      </c>
      <c r="P603" s="699">
        <v>15623.919999999998</v>
      </c>
      <c r="Q603" s="701">
        <v>0.68421052631578938</v>
      </c>
      <c r="R603" s="696">
        <v>13</v>
      </c>
      <c r="S603" s="701">
        <v>0.68421052631578949</v>
      </c>
      <c r="T603" s="700">
        <v>4</v>
      </c>
      <c r="U603" s="702">
        <v>0.8</v>
      </c>
    </row>
    <row r="604" spans="1:21" ht="14.4" customHeight="1" x14ac:dyDescent="0.3">
      <c r="A604" s="695">
        <v>7</v>
      </c>
      <c r="B604" s="696" t="s">
        <v>1978</v>
      </c>
      <c r="C604" s="696">
        <v>89301074</v>
      </c>
      <c r="D604" s="697" t="s">
        <v>3238</v>
      </c>
      <c r="E604" s="698" t="s">
        <v>2159</v>
      </c>
      <c r="F604" s="696" t="s">
        <v>2133</v>
      </c>
      <c r="G604" s="696" t="s">
        <v>2624</v>
      </c>
      <c r="H604" s="696" t="s">
        <v>1438</v>
      </c>
      <c r="I604" s="696" t="s">
        <v>2818</v>
      </c>
      <c r="J604" s="696" t="s">
        <v>2819</v>
      </c>
      <c r="K604" s="696" t="s">
        <v>2820</v>
      </c>
      <c r="L604" s="699">
        <v>1896.14</v>
      </c>
      <c r="M604" s="699">
        <v>43611.22</v>
      </c>
      <c r="N604" s="696">
        <v>23</v>
      </c>
      <c r="O604" s="700">
        <v>5</v>
      </c>
      <c r="P604" s="699">
        <v>18961.400000000001</v>
      </c>
      <c r="Q604" s="701">
        <v>0.43478260869565222</v>
      </c>
      <c r="R604" s="696">
        <v>10</v>
      </c>
      <c r="S604" s="701">
        <v>0.43478260869565216</v>
      </c>
      <c r="T604" s="700">
        <v>2</v>
      </c>
      <c r="U604" s="702">
        <v>0.4</v>
      </c>
    </row>
    <row r="605" spans="1:21" ht="14.4" customHeight="1" x14ac:dyDescent="0.3">
      <c r="A605" s="695">
        <v>7</v>
      </c>
      <c r="B605" s="696" t="s">
        <v>1978</v>
      </c>
      <c r="C605" s="696">
        <v>89301074</v>
      </c>
      <c r="D605" s="697" t="s">
        <v>3238</v>
      </c>
      <c r="E605" s="698" t="s">
        <v>2159</v>
      </c>
      <c r="F605" s="696" t="s">
        <v>2133</v>
      </c>
      <c r="G605" s="696" t="s">
        <v>2624</v>
      </c>
      <c r="H605" s="696" t="s">
        <v>1438</v>
      </c>
      <c r="I605" s="696" t="s">
        <v>2818</v>
      </c>
      <c r="J605" s="696" t="s">
        <v>2819</v>
      </c>
      <c r="K605" s="696" t="s">
        <v>2820</v>
      </c>
      <c r="L605" s="699">
        <v>1602.45</v>
      </c>
      <c r="M605" s="699">
        <v>27241.65</v>
      </c>
      <c r="N605" s="696">
        <v>17</v>
      </c>
      <c r="O605" s="700">
        <v>3</v>
      </c>
      <c r="P605" s="699">
        <v>9614.7000000000007</v>
      </c>
      <c r="Q605" s="701">
        <v>0.35294117647058826</v>
      </c>
      <c r="R605" s="696">
        <v>6</v>
      </c>
      <c r="S605" s="701">
        <v>0.35294117647058826</v>
      </c>
      <c r="T605" s="700">
        <v>1</v>
      </c>
      <c r="U605" s="702">
        <v>0.33333333333333331</v>
      </c>
    </row>
    <row r="606" spans="1:21" ht="14.4" customHeight="1" x14ac:dyDescent="0.3">
      <c r="A606" s="695">
        <v>7</v>
      </c>
      <c r="B606" s="696" t="s">
        <v>1978</v>
      </c>
      <c r="C606" s="696">
        <v>89301074</v>
      </c>
      <c r="D606" s="697" t="s">
        <v>3238</v>
      </c>
      <c r="E606" s="698" t="s">
        <v>2159</v>
      </c>
      <c r="F606" s="696" t="s">
        <v>2133</v>
      </c>
      <c r="G606" s="696" t="s">
        <v>2624</v>
      </c>
      <c r="H606" s="696" t="s">
        <v>547</v>
      </c>
      <c r="I606" s="696" t="s">
        <v>3136</v>
      </c>
      <c r="J606" s="696" t="s">
        <v>3137</v>
      </c>
      <c r="K606" s="696" t="s">
        <v>3138</v>
      </c>
      <c r="L606" s="699">
        <v>1418.07</v>
      </c>
      <c r="M606" s="699">
        <v>11344.56</v>
      </c>
      <c r="N606" s="696">
        <v>8</v>
      </c>
      <c r="O606" s="700">
        <v>2</v>
      </c>
      <c r="P606" s="699"/>
      <c r="Q606" s="701">
        <v>0</v>
      </c>
      <c r="R606" s="696"/>
      <c r="S606" s="701">
        <v>0</v>
      </c>
      <c r="T606" s="700"/>
      <c r="U606" s="702">
        <v>0</v>
      </c>
    </row>
    <row r="607" spans="1:21" ht="14.4" customHeight="1" x14ac:dyDescent="0.3">
      <c r="A607" s="695">
        <v>7</v>
      </c>
      <c r="B607" s="696" t="s">
        <v>1978</v>
      </c>
      <c r="C607" s="696">
        <v>89301074</v>
      </c>
      <c r="D607" s="697" t="s">
        <v>3238</v>
      </c>
      <c r="E607" s="698" t="s">
        <v>2159</v>
      </c>
      <c r="F607" s="696" t="s">
        <v>2133</v>
      </c>
      <c r="G607" s="696" t="s">
        <v>2624</v>
      </c>
      <c r="H607" s="696" t="s">
        <v>547</v>
      </c>
      <c r="I607" s="696" t="s">
        <v>2821</v>
      </c>
      <c r="J607" s="696" t="s">
        <v>2822</v>
      </c>
      <c r="K607" s="696" t="s">
        <v>2823</v>
      </c>
      <c r="L607" s="699">
        <v>770.7</v>
      </c>
      <c r="M607" s="699">
        <v>6165.6</v>
      </c>
      <c r="N607" s="696">
        <v>8</v>
      </c>
      <c r="O607" s="700">
        <v>2</v>
      </c>
      <c r="P607" s="699">
        <v>6165.6</v>
      </c>
      <c r="Q607" s="701">
        <v>1</v>
      </c>
      <c r="R607" s="696">
        <v>8</v>
      </c>
      <c r="S607" s="701">
        <v>1</v>
      </c>
      <c r="T607" s="700">
        <v>2</v>
      </c>
      <c r="U607" s="702">
        <v>1</v>
      </c>
    </row>
    <row r="608" spans="1:21" ht="14.4" customHeight="1" x14ac:dyDescent="0.3">
      <c r="A608" s="695">
        <v>7</v>
      </c>
      <c r="B608" s="696" t="s">
        <v>1978</v>
      </c>
      <c r="C608" s="696">
        <v>89301074</v>
      </c>
      <c r="D608" s="697" t="s">
        <v>3238</v>
      </c>
      <c r="E608" s="698" t="s">
        <v>2159</v>
      </c>
      <c r="F608" s="696" t="s">
        <v>2133</v>
      </c>
      <c r="G608" s="696" t="s">
        <v>2208</v>
      </c>
      <c r="H608" s="696" t="s">
        <v>1438</v>
      </c>
      <c r="I608" s="696" t="s">
        <v>2209</v>
      </c>
      <c r="J608" s="696" t="s">
        <v>2210</v>
      </c>
      <c r="K608" s="696" t="s">
        <v>2211</v>
      </c>
      <c r="L608" s="699">
        <v>184.22</v>
      </c>
      <c r="M608" s="699">
        <v>552.66</v>
      </c>
      <c r="N608" s="696">
        <v>3</v>
      </c>
      <c r="O608" s="700">
        <v>1</v>
      </c>
      <c r="P608" s="699"/>
      <c r="Q608" s="701">
        <v>0</v>
      </c>
      <c r="R608" s="696"/>
      <c r="S608" s="701">
        <v>0</v>
      </c>
      <c r="T608" s="700"/>
      <c r="U608" s="702">
        <v>0</v>
      </c>
    </row>
    <row r="609" spans="1:21" ht="14.4" customHeight="1" x14ac:dyDescent="0.3">
      <c r="A609" s="695">
        <v>7</v>
      </c>
      <c r="B609" s="696" t="s">
        <v>1978</v>
      </c>
      <c r="C609" s="696">
        <v>89301074</v>
      </c>
      <c r="D609" s="697" t="s">
        <v>3238</v>
      </c>
      <c r="E609" s="698" t="s">
        <v>2159</v>
      </c>
      <c r="F609" s="696" t="s">
        <v>2133</v>
      </c>
      <c r="G609" s="696" t="s">
        <v>2250</v>
      </c>
      <c r="H609" s="696" t="s">
        <v>1438</v>
      </c>
      <c r="I609" s="696" t="s">
        <v>2481</v>
      </c>
      <c r="J609" s="696" t="s">
        <v>2482</v>
      </c>
      <c r="K609" s="696" t="s">
        <v>834</v>
      </c>
      <c r="L609" s="699">
        <v>216.16</v>
      </c>
      <c r="M609" s="699">
        <v>648.48</v>
      </c>
      <c r="N609" s="696">
        <v>3</v>
      </c>
      <c r="O609" s="700">
        <v>0.5</v>
      </c>
      <c r="P609" s="699"/>
      <c r="Q609" s="701">
        <v>0</v>
      </c>
      <c r="R609" s="696"/>
      <c r="S609" s="701">
        <v>0</v>
      </c>
      <c r="T609" s="700"/>
      <c r="U609" s="702">
        <v>0</v>
      </c>
    </row>
    <row r="610" spans="1:21" ht="14.4" customHeight="1" x14ac:dyDescent="0.3">
      <c r="A610" s="695">
        <v>7</v>
      </c>
      <c r="B610" s="696" t="s">
        <v>1978</v>
      </c>
      <c r="C610" s="696">
        <v>89301074</v>
      </c>
      <c r="D610" s="697" t="s">
        <v>3238</v>
      </c>
      <c r="E610" s="698" t="s">
        <v>2159</v>
      </c>
      <c r="F610" s="696" t="s">
        <v>2133</v>
      </c>
      <c r="G610" s="696" t="s">
        <v>2250</v>
      </c>
      <c r="H610" s="696" t="s">
        <v>1438</v>
      </c>
      <c r="I610" s="696" t="s">
        <v>2824</v>
      </c>
      <c r="J610" s="696" t="s">
        <v>2825</v>
      </c>
      <c r="K610" s="696" t="s">
        <v>2826</v>
      </c>
      <c r="L610" s="699">
        <v>162.13</v>
      </c>
      <c r="M610" s="699">
        <v>486.39</v>
      </c>
      <c r="N610" s="696">
        <v>3</v>
      </c>
      <c r="O610" s="700">
        <v>1</v>
      </c>
      <c r="P610" s="699">
        <v>486.39</v>
      </c>
      <c r="Q610" s="701">
        <v>1</v>
      </c>
      <c r="R610" s="696">
        <v>3</v>
      </c>
      <c r="S610" s="701">
        <v>1</v>
      </c>
      <c r="T610" s="700">
        <v>1</v>
      </c>
      <c r="U610" s="702">
        <v>1</v>
      </c>
    </row>
    <row r="611" spans="1:21" ht="14.4" customHeight="1" x14ac:dyDescent="0.3">
      <c r="A611" s="695">
        <v>7</v>
      </c>
      <c r="B611" s="696" t="s">
        <v>1978</v>
      </c>
      <c r="C611" s="696">
        <v>89301074</v>
      </c>
      <c r="D611" s="697" t="s">
        <v>3238</v>
      </c>
      <c r="E611" s="698" t="s">
        <v>2159</v>
      </c>
      <c r="F611" s="696" t="s">
        <v>2133</v>
      </c>
      <c r="G611" s="696" t="s">
        <v>2250</v>
      </c>
      <c r="H611" s="696" t="s">
        <v>1438</v>
      </c>
      <c r="I611" s="696" t="s">
        <v>2628</v>
      </c>
      <c r="J611" s="696" t="s">
        <v>2482</v>
      </c>
      <c r="K611" s="696" t="s">
        <v>2629</v>
      </c>
      <c r="L611" s="699">
        <v>216.16</v>
      </c>
      <c r="M611" s="699">
        <v>1729.28</v>
      </c>
      <c r="N611" s="696">
        <v>8</v>
      </c>
      <c r="O611" s="700">
        <v>4</v>
      </c>
      <c r="P611" s="699">
        <v>432.32</v>
      </c>
      <c r="Q611" s="701">
        <v>0.25</v>
      </c>
      <c r="R611" s="696">
        <v>2</v>
      </c>
      <c r="S611" s="701">
        <v>0.25</v>
      </c>
      <c r="T611" s="700">
        <v>1</v>
      </c>
      <c r="U611" s="702">
        <v>0.25</v>
      </c>
    </row>
    <row r="612" spans="1:21" ht="14.4" customHeight="1" x14ac:dyDescent="0.3">
      <c r="A612" s="695">
        <v>7</v>
      </c>
      <c r="B612" s="696" t="s">
        <v>1978</v>
      </c>
      <c r="C612" s="696">
        <v>89301074</v>
      </c>
      <c r="D612" s="697" t="s">
        <v>3238</v>
      </c>
      <c r="E612" s="698" t="s">
        <v>2159</v>
      </c>
      <c r="F612" s="696" t="s">
        <v>2133</v>
      </c>
      <c r="G612" s="696" t="s">
        <v>2364</v>
      </c>
      <c r="H612" s="696" t="s">
        <v>547</v>
      </c>
      <c r="I612" s="696" t="s">
        <v>3139</v>
      </c>
      <c r="J612" s="696" t="s">
        <v>2832</v>
      </c>
      <c r="K612" s="696" t="s">
        <v>3140</v>
      </c>
      <c r="L612" s="699">
        <v>221.03</v>
      </c>
      <c r="M612" s="699">
        <v>663.09</v>
      </c>
      <c r="N612" s="696">
        <v>3</v>
      </c>
      <c r="O612" s="700">
        <v>1.5</v>
      </c>
      <c r="P612" s="699"/>
      <c r="Q612" s="701">
        <v>0</v>
      </c>
      <c r="R612" s="696"/>
      <c r="S612" s="701">
        <v>0</v>
      </c>
      <c r="T612" s="700"/>
      <c r="U612" s="702">
        <v>0</v>
      </c>
    </row>
    <row r="613" spans="1:21" ht="14.4" customHeight="1" x14ac:dyDescent="0.3">
      <c r="A613" s="695">
        <v>7</v>
      </c>
      <c r="B613" s="696" t="s">
        <v>1978</v>
      </c>
      <c r="C613" s="696">
        <v>89301074</v>
      </c>
      <c r="D613" s="697" t="s">
        <v>3238</v>
      </c>
      <c r="E613" s="698" t="s">
        <v>2159</v>
      </c>
      <c r="F613" s="696" t="s">
        <v>2133</v>
      </c>
      <c r="G613" s="696" t="s">
        <v>2364</v>
      </c>
      <c r="H613" s="696" t="s">
        <v>547</v>
      </c>
      <c r="I613" s="696" t="s">
        <v>2365</v>
      </c>
      <c r="J613" s="696" t="s">
        <v>2366</v>
      </c>
      <c r="K613" s="696" t="s">
        <v>2367</v>
      </c>
      <c r="L613" s="699">
        <v>0</v>
      </c>
      <c r="M613" s="699">
        <v>0</v>
      </c>
      <c r="N613" s="696">
        <v>2</v>
      </c>
      <c r="O613" s="700">
        <v>0.5</v>
      </c>
      <c r="P613" s="699"/>
      <c r="Q613" s="701"/>
      <c r="R613" s="696"/>
      <c r="S613" s="701">
        <v>0</v>
      </c>
      <c r="T613" s="700"/>
      <c r="U613" s="702">
        <v>0</v>
      </c>
    </row>
    <row r="614" spans="1:21" ht="14.4" customHeight="1" x14ac:dyDescent="0.3">
      <c r="A614" s="695">
        <v>7</v>
      </c>
      <c r="B614" s="696" t="s">
        <v>1978</v>
      </c>
      <c r="C614" s="696">
        <v>89301074</v>
      </c>
      <c r="D614" s="697" t="s">
        <v>3238</v>
      </c>
      <c r="E614" s="698" t="s">
        <v>2159</v>
      </c>
      <c r="F614" s="696" t="s">
        <v>2133</v>
      </c>
      <c r="G614" s="696" t="s">
        <v>2364</v>
      </c>
      <c r="H614" s="696" t="s">
        <v>547</v>
      </c>
      <c r="I614" s="696" t="s">
        <v>3141</v>
      </c>
      <c r="J614" s="696" t="s">
        <v>2366</v>
      </c>
      <c r="K614" s="696" t="s">
        <v>3142</v>
      </c>
      <c r="L614" s="699">
        <v>294.7</v>
      </c>
      <c r="M614" s="699">
        <v>884.09999999999991</v>
      </c>
      <c r="N614" s="696">
        <v>3</v>
      </c>
      <c r="O614" s="700">
        <v>1</v>
      </c>
      <c r="P614" s="699"/>
      <c r="Q614" s="701">
        <v>0</v>
      </c>
      <c r="R614" s="696"/>
      <c r="S614" s="701">
        <v>0</v>
      </c>
      <c r="T614" s="700"/>
      <c r="U614" s="702">
        <v>0</v>
      </c>
    </row>
    <row r="615" spans="1:21" ht="14.4" customHeight="1" x14ac:dyDescent="0.3">
      <c r="A615" s="695">
        <v>7</v>
      </c>
      <c r="B615" s="696" t="s">
        <v>1978</v>
      </c>
      <c r="C615" s="696">
        <v>89301074</v>
      </c>
      <c r="D615" s="697" t="s">
        <v>3238</v>
      </c>
      <c r="E615" s="698" t="s">
        <v>2159</v>
      </c>
      <c r="F615" s="696" t="s">
        <v>2133</v>
      </c>
      <c r="G615" s="696" t="s">
        <v>2605</v>
      </c>
      <c r="H615" s="696" t="s">
        <v>547</v>
      </c>
      <c r="I615" s="696" t="s">
        <v>3143</v>
      </c>
      <c r="J615" s="696" t="s">
        <v>3144</v>
      </c>
      <c r="K615" s="696" t="s">
        <v>3145</v>
      </c>
      <c r="L615" s="699">
        <v>84.78</v>
      </c>
      <c r="M615" s="699">
        <v>84.78</v>
      </c>
      <c r="N615" s="696">
        <v>1</v>
      </c>
      <c r="O615" s="700">
        <v>1</v>
      </c>
      <c r="P615" s="699">
        <v>84.78</v>
      </c>
      <c r="Q615" s="701">
        <v>1</v>
      </c>
      <c r="R615" s="696">
        <v>1</v>
      </c>
      <c r="S615" s="701">
        <v>1</v>
      </c>
      <c r="T615" s="700">
        <v>1</v>
      </c>
      <c r="U615" s="702">
        <v>1</v>
      </c>
    </row>
    <row r="616" spans="1:21" ht="14.4" customHeight="1" x14ac:dyDescent="0.3">
      <c r="A616" s="695">
        <v>7</v>
      </c>
      <c r="B616" s="696" t="s">
        <v>1978</v>
      </c>
      <c r="C616" s="696">
        <v>89301074</v>
      </c>
      <c r="D616" s="697" t="s">
        <v>3238</v>
      </c>
      <c r="E616" s="698" t="s">
        <v>2159</v>
      </c>
      <c r="F616" s="696" t="s">
        <v>2133</v>
      </c>
      <c r="G616" s="696" t="s">
        <v>2375</v>
      </c>
      <c r="H616" s="696" t="s">
        <v>547</v>
      </c>
      <c r="I616" s="696" t="s">
        <v>2376</v>
      </c>
      <c r="J616" s="696" t="s">
        <v>2377</v>
      </c>
      <c r="K616" s="696" t="s">
        <v>2378</v>
      </c>
      <c r="L616" s="699">
        <v>115.3</v>
      </c>
      <c r="M616" s="699">
        <v>115.3</v>
      </c>
      <c r="N616" s="696">
        <v>1</v>
      </c>
      <c r="O616" s="700">
        <v>1</v>
      </c>
      <c r="P616" s="699">
        <v>115.3</v>
      </c>
      <c r="Q616" s="701">
        <v>1</v>
      </c>
      <c r="R616" s="696">
        <v>1</v>
      </c>
      <c r="S616" s="701">
        <v>1</v>
      </c>
      <c r="T616" s="700">
        <v>1</v>
      </c>
      <c r="U616" s="702">
        <v>1</v>
      </c>
    </row>
    <row r="617" spans="1:21" ht="14.4" customHeight="1" x14ac:dyDescent="0.3">
      <c r="A617" s="695">
        <v>7</v>
      </c>
      <c r="B617" s="696" t="s">
        <v>1978</v>
      </c>
      <c r="C617" s="696">
        <v>89301074</v>
      </c>
      <c r="D617" s="697" t="s">
        <v>3238</v>
      </c>
      <c r="E617" s="698" t="s">
        <v>2159</v>
      </c>
      <c r="F617" s="696" t="s">
        <v>2133</v>
      </c>
      <c r="G617" s="696" t="s">
        <v>2633</v>
      </c>
      <c r="H617" s="696" t="s">
        <v>547</v>
      </c>
      <c r="I617" s="696" t="s">
        <v>2634</v>
      </c>
      <c r="J617" s="696" t="s">
        <v>2635</v>
      </c>
      <c r="K617" s="696" t="s">
        <v>2636</v>
      </c>
      <c r="L617" s="699">
        <v>25.8</v>
      </c>
      <c r="M617" s="699">
        <v>1419</v>
      </c>
      <c r="N617" s="696">
        <v>55</v>
      </c>
      <c r="O617" s="700">
        <v>14</v>
      </c>
      <c r="P617" s="699">
        <v>567.6</v>
      </c>
      <c r="Q617" s="701">
        <v>0.4</v>
      </c>
      <c r="R617" s="696">
        <v>22</v>
      </c>
      <c r="S617" s="701">
        <v>0.4</v>
      </c>
      <c r="T617" s="700">
        <v>5.5</v>
      </c>
      <c r="U617" s="702">
        <v>0.39285714285714285</v>
      </c>
    </row>
    <row r="618" spans="1:21" ht="14.4" customHeight="1" x14ac:dyDescent="0.3">
      <c r="A618" s="695">
        <v>7</v>
      </c>
      <c r="B618" s="696" t="s">
        <v>1978</v>
      </c>
      <c r="C618" s="696">
        <v>89301074</v>
      </c>
      <c r="D618" s="697" t="s">
        <v>3238</v>
      </c>
      <c r="E618" s="698" t="s">
        <v>2159</v>
      </c>
      <c r="F618" s="696" t="s">
        <v>2133</v>
      </c>
      <c r="G618" s="696" t="s">
        <v>2633</v>
      </c>
      <c r="H618" s="696" t="s">
        <v>547</v>
      </c>
      <c r="I618" s="696" t="s">
        <v>2637</v>
      </c>
      <c r="J618" s="696" t="s">
        <v>2638</v>
      </c>
      <c r="K618" s="696" t="s">
        <v>2639</v>
      </c>
      <c r="L618" s="699">
        <v>77.42</v>
      </c>
      <c r="M618" s="699">
        <v>387.1</v>
      </c>
      <c r="N618" s="696">
        <v>5</v>
      </c>
      <c r="O618" s="700">
        <v>3</v>
      </c>
      <c r="P618" s="699">
        <v>154.84</v>
      </c>
      <c r="Q618" s="701">
        <v>0.39999999999999997</v>
      </c>
      <c r="R618" s="696">
        <v>2</v>
      </c>
      <c r="S618" s="701">
        <v>0.4</v>
      </c>
      <c r="T618" s="700">
        <v>1.5</v>
      </c>
      <c r="U618" s="702">
        <v>0.5</v>
      </c>
    </row>
    <row r="619" spans="1:21" ht="14.4" customHeight="1" x14ac:dyDescent="0.3">
      <c r="A619" s="695">
        <v>7</v>
      </c>
      <c r="B619" s="696" t="s">
        <v>1978</v>
      </c>
      <c r="C619" s="696">
        <v>89301074</v>
      </c>
      <c r="D619" s="697" t="s">
        <v>3238</v>
      </c>
      <c r="E619" s="698" t="s">
        <v>2159</v>
      </c>
      <c r="F619" s="696" t="s">
        <v>2133</v>
      </c>
      <c r="G619" s="696" t="s">
        <v>2430</v>
      </c>
      <c r="H619" s="696" t="s">
        <v>547</v>
      </c>
      <c r="I619" s="696" t="s">
        <v>2431</v>
      </c>
      <c r="J619" s="696" t="s">
        <v>2432</v>
      </c>
      <c r="K619" s="696" t="s">
        <v>2433</v>
      </c>
      <c r="L619" s="699">
        <v>46.3</v>
      </c>
      <c r="M619" s="699">
        <v>46.3</v>
      </c>
      <c r="N619" s="696">
        <v>1</v>
      </c>
      <c r="O619" s="700">
        <v>1</v>
      </c>
      <c r="P619" s="699"/>
      <c r="Q619" s="701">
        <v>0</v>
      </c>
      <c r="R619" s="696"/>
      <c r="S619" s="701">
        <v>0</v>
      </c>
      <c r="T619" s="700"/>
      <c r="U619" s="702">
        <v>0</v>
      </c>
    </row>
    <row r="620" spans="1:21" ht="14.4" customHeight="1" x14ac:dyDescent="0.3">
      <c r="A620" s="695">
        <v>7</v>
      </c>
      <c r="B620" s="696" t="s">
        <v>1978</v>
      </c>
      <c r="C620" s="696">
        <v>89301074</v>
      </c>
      <c r="D620" s="697" t="s">
        <v>3238</v>
      </c>
      <c r="E620" s="698" t="s">
        <v>2159</v>
      </c>
      <c r="F620" s="696" t="s">
        <v>2133</v>
      </c>
      <c r="G620" s="696" t="s">
        <v>2593</v>
      </c>
      <c r="H620" s="696" t="s">
        <v>1438</v>
      </c>
      <c r="I620" s="696" t="s">
        <v>2848</v>
      </c>
      <c r="J620" s="696" t="s">
        <v>2849</v>
      </c>
      <c r="K620" s="696" t="s">
        <v>2406</v>
      </c>
      <c r="L620" s="699">
        <v>232.44</v>
      </c>
      <c r="M620" s="699">
        <v>697.31999999999994</v>
      </c>
      <c r="N620" s="696">
        <v>3</v>
      </c>
      <c r="O620" s="700">
        <v>0.5</v>
      </c>
      <c r="P620" s="699">
        <v>697.31999999999994</v>
      </c>
      <c r="Q620" s="701">
        <v>1</v>
      </c>
      <c r="R620" s="696">
        <v>3</v>
      </c>
      <c r="S620" s="701">
        <v>1</v>
      </c>
      <c r="T620" s="700">
        <v>0.5</v>
      </c>
      <c r="U620" s="702">
        <v>1</v>
      </c>
    </row>
    <row r="621" spans="1:21" ht="14.4" customHeight="1" x14ac:dyDescent="0.3">
      <c r="A621" s="695">
        <v>7</v>
      </c>
      <c r="B621" s="696" t="s">
        <v>1978</v>
      </c>
      <c r="C621" s="696">
        <v>89301074</v>
      </c>
      <c r="D621" s="697" t="s">
        <v>3238</v>
      </c>
      <c r="E621" s="698" t="s">
        <v>2159</v>
      </c>
      <c r="F621" s="696" t="s">
        <v>2133</v>
      </c>
      <c r="G621" s="696" t="s">
        <v>2593</v>
      </c>
      <c r="H621" s="696" t="s">
        <v>547</v>
      </c>
      <c r="I621" s="696" t="s">
        <v>3146</v>
      </c>
      <c r="J621" s="696" t="s">
        <v>3147</v>
      </c>
      <c r="K621" s="696" t="s">
        <v>2406</v>
      </c>
      <c r="L621" s="699">
        <v>0</v>
      </c>
      <c r="M621" s="699">
        <v>0</v>
      </c>
      <c r="N621" s="696">
        <v>1</v>
      </c>
      <c r="O621" s="700">
        <v>0.5</v>
      </c>
      <c r="P621" s="699">
        <v>0</v>
      </c>
      <c r="Q621" s="701"/>
      <c r="R621" s="696">
        <v>1</v>
      </c>
      <c r="S621" s="701">
        <v>1</v>
      </c>
      <c r="T621" s="700">
        <v>0.5</v>
      </c>
      <c r="U621" s="702">
        <v>1</v>
      </c>
    </row>
    <row r="622" spans="1:21" ht="14.4" customHeight="1" x14ac:dyDescent="0.3">
      <c r="A622" s="695">
        <v>7</v>
      </c>
      <c r="B622" s="696" t="s">
        <v>1978</v>
      </c>
      <c r="C622" s="696">
        <v>89301074</v>
      </c>
      <c r="D622" s="697" t="s">
        <v>3238</v>
      </c>
      <c r="E622" s="698" t="s">
        <v>2159</v>
      </c>
      <c r="F622" s="696" t="s">
        <v>2133</v>
      </c>
      <c r="G622" s="696" t="s">
        <v>2434</v>
      </c>
      <c r="H622" s="696" t="s">
        <v>547</v>
      </c>
      <c r="I622" s="696" t="s">
        <v>2647</v>
      </c>
      <c r="J622" s="696" t="s">
        <v>2648</v>
      </c>
      <c r="K622" s="696" t="s">
        <v>2649</v>
      </c>
      <c r="L622" s="699">
        <v>629.07000000000005</v>
      </c>
      <c r="M622" s="699">
        <v>11323.259999999998</v>
      </c>
      <c r="N622" s="696">
        <v>18</v>
      </c>
      <c r="O622" s="700">
        <v>4</v>
      </c>
      <c r="P622" s="699">
        <v>9436.0499999999993</v>
      </c>
      <c r="Q622" s="701">
        <v>0.83333333333333337</v>
      </c>
      <c r="R622" s="696">
        <v>15</v>
      </c>
      <c r="S622" s="701">
        <v>0.83333333333333337</v>
      </c>
      <c r="T622" s="700">
        <v>3</v>
      </c>
      <c r="U622" s="702">
        <v>0.75</v>
      </c>
    </row>
    <row r="623" spans="1:21" ht="14.4" customHeight="1" x14ac:dyDescent="0.3">
      <c r="A623" s="695">
        <v>7</v>
      </c>
      <c r="B623" s="696" t="s">
        <v>1978</v>
      </c>
      <c r="C623" s="696">
        <v>89301074</v>
      </c>
      <c r="D623" s="697" t="s">
        <v>3238</v>
      </c>
      <c r="E623" s="698" t="s">
        <v>2159</v>
      </c>
      <c r="F623" s="696" t="s">
        <v>2133</v>
      </c>
      <c r="G623" s="696" t="s">
        <v>2434</v>
      </c>
      <c r="H623" s="696" t="s">
        <v>547</v>
      </c>
      <c r="I623" s="696" t="s">
        <v>2647</v>
      </c>
      <c r="J623" s="696" t="s">
        <v>2648</v>
      </c>
      <c r="K623" s="696" t="s">
        <v>2649</v>
      </c>
      <c r="L623" s="699">
        <v>247.24</v>
      </c>
      <c r="M623" s="699">
        <v>2966.88</v>
      </c>
      <c r="N623" s="696">
        <v>12</v>
      </c>
      <c r="O623" s="700">
        <v>2</v>
      </c>
      <c r="P623" s="699">
        <v>2966.88</v>
      </c>
      <c r="Q623" s="701">
        <v>1</v>
      </c>
      <c r="R623" s="696">
        <v>12</v>
      </c>
      <c r="S623" s="701">
        <v>1</v>
      </c>
      <c r="T623" s="700">
        <v>2</v>
      </c>
      <c r="U623" s="702">
        <v>1</v>
      </c>
    </row>
    <row r="624" spans="1:21" ht="14.4" customHeight="1" x14ac:dyDescent="0.3">
      <c r="A624" s="695">
        <v>7</v>
      </c>
      <c r="B624" s="696" t="s">
        <v>1978</v>
      </c>
      <c r="C624" s="696">
        <v>89301074</v>
      </c>
      <c r="D624" s="697" t="s">
        <v>3238</v>
      </c>
      <c r="E624" s="698" t="s">
        <v>2159</v>
      </c>
      <c r="F624" s="696" t="s">
        <v>2133</v>
      </c>
      <c r="G624" s="696" t="s">
        <v>2434</v>
      </c>
      <c r="H624" s="696" t="s">
        <v>547</v>
      </c>
      <c r="I624" s="696" t="s">
        <v>2850</v>
      </c>
      <c r="J624" s="696" t="s">
        <v>2851</v>
      </c>
      <c r="K624" s="696" t="s">
        <v>2852</v>
      </c>
      <c r="L624" s="699">
        <v>1030.1500000000001</v>
      </c>
      <c r="M624" s="699">
        <v>6180.9000000000005</v>
      </c>
      <c r="N624" s="696">
        <v>6</v>
      </c>
      <c r="O624" s="700">
        <v>2</v>
      </c>
      <c r="P624" s="699">
        <v>2060.3000000000002</v>
      </c>
      <c r="Q624" s="701">
        <v>0.33333333333333331</v>
      </c>
      <c r="R624" s="696">
        <v>2</v>
      </c>
      <c r="S624" s="701">
        <v>0.33333333333333331</v>
      </c>
      <c r="T624" s="700">
        <v>1</v>
      </c>
      <c r="U624" s="702">
        <v>0.5</v>
      </c>
    </row>
    <row r="625" spans="1:21" ht="14.4" customHeight="1" x14ac:dyDescent="0.3">
      <c r="A625" s="695">
        <v>7</v>
      </c>
      <c r="B625" s="696" t="s">
        <v>1978</v>
      </c>
      <c r="C625" s="696">
        <v>89301074</v>
      </c>
      <c r="D625" s="697" t="s">
        <v>3238</v>
      </c>
      <c r="E625" s="698" t="s">
        <v>2159</v>
      </c>
      <c r="F625" s="696" t="s">
        <v>2133</v>
      </c>
      <c r="G625" s="696" t="s">
        <v>2434</v>
      </c>
      <c r="H625" s="696" t="s">
        <v>547</v>
      </c>
      <c r="I625" s="696" t="s">
        <v>2853</v>
      </c>
      <c r="J625" s="696" t="s">
        <v>2854</v>
      </c>
      <c r="K625" s="696" t="s">
        <v>2855</v>
      </c>
      <c r="L625" s="699">
        <v>1545.22</v>
      </c>
      <c r="M625" s="699">
        <v>38630.5</v>
      </c>
      <c r="N625" s="696">
        <v>25</v>
      </c>
      <c r="O625" s="700">
        <v>6</v>
      </c>
      <c r="P625" s="699">
        <v>21633.08</v>
      </c>
      <c r="Q625" s="701">
        <v>0.56000000000000005</v>
      </c>
      <c r="R625" s="696">
        <v>14</v>
      </c>
      <c r="S625" s="701">
        <v>0.56000000000000005</v>
      </c>
      <c r="T625" s="700">
        <v>3</v>
      </c>
      <c r="U625" s="702">
        <v>0.5</v>
      </c>
    </row>
    <row r="626" spans="1:21" ht="14.4" customHeight="1" x14ac:dyDescent="0.3">
      <c r="A626" s="695">
        <v>7</v>
      </c>
      <c r="B626" s="696" t="s">
        <v>1978</v>
      </c>
      <c r="C626" s="696">
        <v>89301074</v>
      </c>
      <c r="D626" s="697" t="s">
        <v>3238</v>
      </c>
      <c r="E626" s="698" t="s">
        <v>2159</v>
      </c>
      <c r="F626" s="696" t="s">
        <v>2133</v>
      </c>
      <c r="G626" s="696" t="s">
        <v>2434</v>
      </c>
      <c r="H626" s="696" t="s">
        <v>547</v>
      </c>
      <c r="I626" s="696" t="s">
        <v>2856</v>
      </c>
      <c r="J626" s="696" t="s">
        <v>2857</v>
      </c>
      <c r="K626" s="696" t="s">
        <v>2858</v>
      </c>
      <c r="L626" s="699">
        <v>2060.3000000000002</v>
      </c>
      <c r="M626" s="699">
        <v>26783.9</v>
      </c>
      <c r="N626" s="696">
        <v>13</v>
      </c>
      <c r="O626" s="700">
        <v>3</v>
      </c>
      <c r="P626" s="699">
        <v>6180.9000000000005</v>
      </c>
      <c r="Q626" s="701">
        <v>0.23076923076923078</v>
      </c>
      <c r="R626" s="696">
        <v>3</v>
      </c>
      <c r="S626" s="701">
        <v>0.23076923076923078</v>
      </c>
      <c r="T626" s="700">
        <v>1</v>
      </c>
      <c r="U626" s="702">
        <v>0.33333333333333331</v>
      </c>
    </row>
    <row r="627" spans="1:21" ht="14.4" customHeight="1" x14ac:dyDescent="0.3">
      <c r="A627" s="695">
        <v>7</v>
      </c>
      <c r="B627" s="696" t="s">
        <v>1978</v>
      </c>
      <c r="C627" s="696">
        <v>89301074</v>
      </c>
      <c r="D627" s="697" t="s">
        <v>3238</v>
      </c>
      <c r="E627" s="698" t="s">
        <v>2159</v>
      </c>
      <c r="F627" s="696" t="s">
        <v>2133</v>
      </c>
      <c r="G627" s="696" t="s">
        <v>2434</v>
      </c>
      <c r="H627" s="696" t="s">
        <v>547</v>
      </c>
      <c r="I627" s="696" t="s">
        <v>2650</v>
      </c>
      <c r="J627" s="696" t="s">
        <v>2651</v>
      </c>
      <c r="K627" s="696" t="s">
        <v>2652</v>
      </c>
      <c r="L627" s="699">
        <v>5889.6</v>
      </c>
      <c r="M627" s="699">
        <v>5889.6</v>
      </c>
      <c r="N627" s="696">
        <v>1</v>
      </c>
      <c r="O627" s="700">
        <v>1</v>
      </c>
      <c r="P627" s="699">
        <v>5889.6</v>
      </c>
      <c r="Q627" s="701">
        <v>1</v>
      </c>
      <c r="R627" s="696">
        <v>1</v>
      </c>
      <c r="S627" s="701">
        <v>1</v>
      </c>
      <c r="T627" s="700">
        <v>1</v>
      </c>
      <c r="U627" s="702">
        <v>1</v>
      </c>
    </row>
    <row r="628" spans="1:21" ht="14.4" customHeight="1" x14ac:dyDescent="0.3">
      <c r="A628" s="695">
        <v>7</v>
      </c>
      <c r="B628" s="696" t="s">
        <v>1978</v>
      </c>
      <c r="C628" s="696">
        <v>89301074</v>
      </c>
      <c r="D628" s="697" t="s">
        <v>3238</v>
      </c>
      <c r="E628" s="698" t="s">
        <v>2159</v>
      </c>
      <c r="F628" s="696" t="s">
        <v>2133</v>
      </c>
      <c r="G628" s="696" t="s">
        <v>2434</v>
      </c>
      <c r="H628" s="696" t="s">
        <v>547</v>
      </c>
      <c r="I628" s="696" t="s">
        <v>3148</v>
      </c>
      <c r="J628" s="696" t="s">
        <v>3149</v>
      </c>
      <c r="K628" s="696" t="s">
        <v>3150</v>
      </c>
      <c r="L628" s="699">
        <v>1063.33</v>
      </c>
      <c r="M628" s="699">
        <v>8506.64</v>
      </c>
      <c r="N628" s="696">
        <v>8</v>
      </c>
      <c r="O628" s="700">
        <v>2</v>
      </c>
      <c r="P628" s="699"/>
      <c r="Q628" s="701">
        <v>0</v>
      </c>
      <c r="R628" s="696"/>
      <c r="S628" s="701">
        <v>0</v>
      </c>
      <c r="T628" s="700"/>
      <c r="U628" s="702">
        <v>0</v>
      </c>
    </row>
    <row r="629" spans="1:21" ht="14.4" customHeight="1" x14ac:dyDescent="0.3">
      <c r="A629" s="695">
        <v>7</v>
      </c>
      <c r="B629" s="696" t="s">
        <v>1978</v>
      </c>
      <c r="C629" s="696">
        <v>89301074</v>
      </c>
      <c r="D629" s="697" t="s">
        <v>3238</v>
      </c>
      <c r="E629" s="698" t="s">
        <v>2159</v>
      </c>
      <c r="F629" s="696" t="s">
        <v>2133</v>
      </c>
      <c r="G629" s="696" t="s">
        <v>2434</v>
      </c>
      <c r="H629" s="696" t="s">
        <v>547</v>
      </c>
      <c r="I629" s="696" t="s">
        <v>2435</v>
      </c>
      <c r="J629" s="696" t="s">
        <v>2436</v>
      </c>
      <c r="K629" s="696" t="s">
        <v>2437</v>
      </c>
      <c r="L629" s="699">
        <v>1545.22</v>
      </c>
      <c r="M629" s="699">
        <v>9271.32</v>
      </c>
      <c r="N629" s="696">
        <v>6</v>
      </c>
      <c r="O629" s="700">
        <v>1</v>
      </c>
      <c r="P629" s="699">
        <v>9271.32</v>
      </c>
      <c r="Q629" s="701">
        <v>1</v>
      </c>
      <c r="R629" s="696">
        <v>6</v>
      </c>
      <c r="S629" s="701">
        <v>1</v>
      </c>
      <c r="T629" s="700">
        <v>1</v>
      </c>
      <c r="U629" s="702">
        <v>1</v>
      </c>
    </row>
    <row r="630" spans="1:21" ht="14.4" customHeight="1" x14ac:dyDescent="0.3">
      <c r="A630" s="695">
        <v>7</v>
      </c>
      <c r="B630" s="696" t="s">
        <v>1978</v>
      </c>
      <c r="C630" s="696">
        <v>89301074</v>
      </c>
      <c r="D630" s="697" t="s">
        <v>3238</v>
      </c>
      <c r="E630" s="698" t="s">
        <v>2159</v>
      </c>
      <c r="F630" s="696" t="s">
        <v>2133</v>
      </c>
      <c r="G630" s="696" t="s">
        <v>2434</v>
      </c>
      <c r="H630" s="696" t="s">
        <v>547</v>
      </c>
      <c r="I630" s="696" t="s">
        <v>2656</v>
      </c>
      <c r="J630" s="696" t="s">
        <v>2657</v>
      </c>
      <c r="K630" s="696" t="s">
        <v>2658</v>
      </c>
      <c r="L630" s="699">
        <v>2060.3000000000002</v>
      </c>
      <c r="M630" s="699">
        <v>10301.5</v>
      </c>
      <c r="N630" s="696">
        <v>5</v>
      </c>
      <c r="O630" s="700">
        <v>1</v>
      </c>
      <c r="P630" s="699">
        <v>10301.5</v>
      </c>
      <c r="Q630" s="701">
        <v>1</v>
      </c>
      <c r="R630" s="696">
        <v>5</v>
      </c>
      <c r="S630" s="701">
        <v>1</v>
      </c>
      <c r="T630" s="700">
        <v>1</v>
      </c>
      <c r="U630" s="702">
        <v>1</v>
      </c>
    </row>
    <row r="631" spans="1:21" ht="14.4" customHeight="1" x14ac:dyDescent="0.3">
      <c r="A631" s="695">
        <v>7</v>
      </c>
      <c r="B631" s="696" t="s">
        <v>1978</v>
      </c>
      <c r="C631" s="696">
        <v>89301074</v>
      </c>
      <c r="D631" s="697" t="s">
        <v>3238</v>
      </c>
      <c r="E631" s="698" t="s">
        <v>2159</v>
      </c>
      <c r="F631" s="696" t="s">
        <v>2133</v>
      </c>
      <c r="G631" s="696" t="s">
        <v>2434</v>
      </c>
      <c r="H631" s="696" t="s">
        <v>547</v>
      </c>
      <c r="I631" s="696" t="s">
        <v>2659</v>
      </c>
      <c r="J631" s="696" t="s">
        <v>2660</v>
      </c>
      <c r="K631" s="696" t="s">
        <v>2661</v>
      </c>
      <c r="L631" s="699">
        <v>2787.72</v>
      </c>
      <c r="M631" s="699">
        <v>52966.68</v>
      </c>
      <c r="N631" s="696">
        <v>19</v>
      </c>
      <c r="O631" s="700">
        <v>4</v>
      </c>
      <c r="P631" s="699">
        <v>52966.68</v>
      </c>
      <c r="Q631" s="701">
        <v>1</v>
      </c>
      <c r="R631" s="696">
        <v>19</v>
      </c>
      <c r="S631" s="701">
        <v>1</v>
      </c>
      <c r="T631" s="700">
        <v>4</v>
      </c>
      <c r="U631" s="702">
        <v>1</v>
      </c>
    </row>
    <row r="632" spans="1:21" ht="14.4" customHeight="1" x14ac:dyDescent="0.3">
      <c r="A632" s="695">
        <v>7</v>
      </c>
      <c r="B632" s="696" t="s">
        <v>1978</v>
      </c>
      <c r="C632" s="696">
        <v>89301074</v>
      </c>
      <c r="D632" s="697" t="s">
        <v>3238</v>
      </c>
      <c r="E632" s="698" t="s">
        <v>2159</v>
      </c>
      <c r="F632" s="696" t="s">
        <v>2133</v>
      </c>
      <c r="G632" s="696" t="s">
        <v>2434</v>
      </c>
      <c r="H632" s="696" t="s">
        <v>547</v>
      </c>
      <c r="I632" s="696" t="s">
        <v>2659</v>
      </c>
      <c r="J632" s="696" t="s">
        <v>2660</v>
      </c>
      <c r="K632" s="696" t="s">
        <v>2661</v>
      </c>
      <c r="L632" s="699">
        <v>2060.3000000000002</v>
      </c>
      <c r="M632" s="699">
        <v>18542.7</v>
      </c>
      <c r="N632" s="696">
        <v>9</v>
      </c>
      <c r="O632" s="700">
        <v>3</v>
      </c>
      <c r="P632" s="699">
        <v>18542.7</v>
      </c>
      <c r="Q632" s="701">
        <v>1</v>
      </c>
      <c r="R632" s="696">
        <v>9</v>
      </c>
      <c r="S632" s="701">
        <v>1</v>
      </c>
      <c r="T632" s="700">
        <v>3</v>
      </c>
      <c r="U632" s="702">
        <v>1</v>
      </c>
    </row>
    <row r="633" spans="1:21" ht="14.4" customHeight="1" x14ac:dyDescent="0.3">
      <c r="A633" s="695">
        <v>7</v>
      </c>
      <c r="B633" s="696" t="s">
        <v>1978</v>
      </c>
      <c r="C633" s="696">
        <v>89301074</v>
      </c>
      <c r="D633" s="697" t="s">
        <v>3238</v>
      </c>
      <c r="E633" s="698" t="s">
        <v>2159</v>
      </c>
      <c r="F633" s="696" t="s">
        <v>2133</v>
      </c>
      <c r="G633" s="696" t="s">
        <v>2434</v>
      </c>
      <c r="H633" s="696" t="s">
        <v>547</v>
      </c>
      <c r="I633" s="696" t="s">
        <v>2662</v>
      </c>
      <c r="J633" s="696" t="s">
        <v>2663</v>
      </c>
      <c r="K633" s="696" t="s">
        <v>2664</v>
      </c>
      <c r="L633" s="699">
        <v>1545.22</v>
      </c>
      <c r="M633" s="699">
        <v>41720.94</v>
      </c>
      <c r="N633" s="696">
        <v>27</v>
      </c>
      <c r="O633" s="700">
        <v>6</v>
      </c>
      <c r="P633" s="699">
        <v>18542.64</v>
      </c>
      <c r="Q633" s="701">
        <v>0.44444444444444442</v>
      </c>
      <c r="R633" s="696">
        <v>12</v>
      </c>
      <c r="S633" s="701">
        <v>0.44444444444444442</v>
      </c>
      <c r="T633" s="700">
        <v>3</v>
      </c>
      <c r="U633" s="702">
        <v>0.5</v>
      </c>
    </row>
    <row r="634" spans="1:21" ht="14.4" customHeight="1" x14ac:dyDescent="0.3">
      <c r="A634" s="695">
        <v>7</v>
      </c>
      <c r="B634" s="696" t="s">
        <v>1978</v>
      </c>
      <c r="C634" s="696">
        <v>89301074</v>
      </c>
      <c r="D634" s="697" t="s">
        <v>3238</v>
      </c>
      <c r="E634" s="698" t="s">
        <v>2159</v>
      </c>
      <c r="F634" s="696" t="s">
        <v>2133</v>
      </c>
      <c r="G634" s="696" t="s">
        <v>2434</v>
      </c>
      <c r="H634" s="696" t="s">
        <v>547</v>
      </c>
      <c r="I634" s="696" t="s">
        <v>2662</v>
      </c>
      <c r="J634" s="696" t="s">
        <v>2663</v>
      </c>
      <c r="K634" s="696" t="s">
        <v>2664</v>
      </c>
      <c r="L634" s="699">
        <v>2332.38</v>
      </c>
      <c r="M634" s="699">
        <v>83965.680000000008</v>
      </c>
      <c r="N634" s="696">
        <v>36</v>
      </c>
      <c r="O634" s="700">
        <v>9</v>
      </c>
      <c r="P634" s="699">
        <v>39650.460000000006</v>
      </c>
      <c r="Q634" s="701">
        <v>0.47222222222222227</v>
      </c>
      <c r="R634" s="696">
        <v>17</v>
      </c>
      <c r="S634" s="701">
        <v>0.47222222222222221</v>
      </c>
      <c r="T634" s="700">
        <v>5</v>
      </c>
      <c r="U634" s="702">
        <v>0.55555555555555558</v>
      </c>
    </row>
    <row r="635" spans="1:21" ht="14.4" customHeight="1" x14ac:dyDescent="0.3">
      <c r="A635" s="695">
        <v>7</v>
      </c>
      <c r="B635" s="696" t="s">
        <v>1978</v>
      </c>
      <c r="C635" s="696">
        <v>89301074</v>
      </c>
      <c r="D635" s="697" t="s">
        <v>3238</v>
      </c>
      <c r="E635" s="698" t="s">
        <v>2159</v>
      </c>
      <c r="F635" s="696" t="s">
        <v>2133</v>
      </c>
      <c r="G635" s="696" t="s">
        <v>2434</v>
      </c>
      <c r="H635" s="696" t="s">
        <v>547</v>
      </c>
      <c r="I635" s="696" t="s">
        <v>2868</v>
      </c>
      <c r="J635" s="696" t="s">
        <v>2869</v>
      </c>
      <c r="K635" s="696" t="s">
        <v>2870</v>
      </c>
      <c r="L635" s="699">
        <v>880.88</v>
      </c>
      <c r="M635" s="699">
        <v>11451.439999999999</v>
      </c>
      <c r="N635" s="696">
        <v>13</v>
      </c>
      <c r="O635" s="700">
        <v>3</v>
      </c>
      <c r="P635" s="699">
        <v>8808.7999999999993</v>
      </c>
      <c r="Q635" s="701">
        <v>0.76923076923076927</v>
      </c>
      <c r="R635" s="696">
        <v>10</v>
      </c>
      <c r="S635" s="701">
        <v>0.76923076923076927</v>
      </c>
      <c r="T635" s="700">
        <v>2</v>
      </c>
      <c r="U635" s="702">
        <v>0.66666666666666663</v>
      </c>
    </row>
    <row r="636" spans="1:21" ht="14.4" customHeight="1" x14ac:dyDescent="0.3">
      <c r="A636" s="695">
        <v>7</v>
      </c>
      <c r="B636" s="696" t="s">
        <v>1978</v>
      </c>
      <c r="C636" s="696">
        <v>89301074</v>
      </c>
      <c r="D636" s="697" t="s">
        <v>3238</v>
      </c>
      <c r="E636" s="698" t="s">
        <v>2159</v>
      </c>
      <c r="F636" s="696" t="s">
        <v>2133</v>
      </c>
      <c r="G636" s="696" t="s">
        <v>2434</v>
      </c>
      <c r="H636" s="696" t="s">
        <v>547</v>
      </c>
      <c r="I636" s="696" t="s">
        <v>2868</v>
      </c>
      <c r="J636" s="696" t="s">
        <v>2869</v>
      </c>
      <c r="K636" s="696" t="s">
        <v>2870</v>
      </c>
      <c r="L636" s="699">
        <v>515.07000000000005</v>
      </c>
      <c r="M636" s="699">
        <v>14937.03</v>
      </c>
      <c r="N636" s="696">
        <v>29</v>
      </c>
      <c r="O636" s="700">
        <v>8</v>
      </c>
      <c r="P636" s="699">
        <v>3090.42</v>
      </c>
      <c r="Q636" s="701">
        <v>0.20689655172413793</v>
      </c>
      <c r="R636" s="696">
        <v>6</v>
      </c>
      <c r="S636" s="701">
        <v>0.20689655172413793</v>
      </c>
      <c r="T636" s="700">
        <v>2</v>
      </c>
      <c r="U636" s="702">
        <v>0.25</v>
      </c>
    </row>
    <row r="637" spans="1:21" ht="14.4" customHeight="1" x14ac:dyDescent="0.3">
      <c r="A637" s="695">
        <v>7</v>
      </c>
      <c r="B637" s="696" t="s">
        <v>1978</v>
      </c>
      <c r="C637" s="696">
        <v>89301074</v>
      </c>
      <c r="D637" s="697" t="s">
        <v>3238</v>
      </c>
      <c r="E637" s="698" t="s">
        <v>2159</v>
      </c>
      <c r="F637" s="696" t="s">
        <v>2133</v>
      </c>
      <c r="G637" s="696" t="s">
        <v>2434</v>
      </c>
      <c r="H637" s="696" t="s">
        <v>547</v>
      </c>
      <c r="I637" s="696" t="s">
        <v>2665</v>
      </c>
      <c r="J637" s="696" t="s">
        <v>2666</v>
      </c>
      <c r="K637" s="696" t="s">
        <v>2667</v>
      </c>
      <c r="L637" s="699">
        <v>1629.03</v>
      </c>
      <c r="M637" s="699">
        <v>17919.330000000002</v>
      </c>
      <c r="N637" s="696">
        <v>11</v>
      </c>
      <c r="O637" s="700">
        <v>4</v>
      </c>
      <c r="P637" s="699">
        <v>17919.330000000002</v>
      </c>
      <c r="Q637" s="701">
        <v>1</v>
      </c>
      <c r="R637" s="696">
        <v>11</v>
      </c>
      <c r="S637" s="701">
        <v>1</v>
      </c>
      <c r="T637" s="700">
        <v>4</v>
      </c>
      <c r="U637" s="702">
        <v>1</v>
      </c>
    </row>
    <row r="638" spans="1:21" ht="14.4" customHeight="1" x14ac:dyDescent="0.3">
      <c r="A638" s="695">
        <v>7</v>
      </c>
      <c r="B638" s="696" t="s">
        <v>1978</v>
      </c>
      <c r="C638" s="696">
        <v>89301074</v>
      </c>
      <c r="D638" s="697" t="s">
        <v>3238</v>
      </c>
      <c r="E638" s="698" t="s">
        <v>2159</v>
      </c>
      <c r="F638" s="696" t="s">
        <v>2133</v>
      </c>
      <c r="G638" s="696" t="s">
        <v>2434</v>
      </c>
      <c r="H638" s="696" t="s">
        <v>547</v>
      </c>
      <c r="I638" s="696" t="s">
        <v>2665</v>
      </c>
      <c r="J638" s="696" t="s">
        <v>2666</v>
      </c>
      <c r="K638" s="696" t="s">
        <v>2667</v>
      </c>
      <c r="L638" s="699">
        <v>1030.1500000000001</v>
      </c>
      <c r="M638" s="699">
        <v>4120.6000000000004</v>
      </c>
      <c r="N638" s="696">
        <v>4</v>
      </c>
      <c r="O638" s="700">
        <v>1</v>
      </c>
      <c r="P638" s="699">
        <v>4120.6000000000004</v>
      </c>
      <c r="Q638" s="701">
        <v>1</v>
      </c>
      <c r="R638" s="696">
        <v>4</v>
      </c>
      <c r="S638" s="701">
        <v>1</v>
      </c>
      <c r="T638" s="700">
        <v>1</v>
      </c>
      <c r="U638" s="702">
        <v>1</v>
      </c>
    </row>
    <row r="639" spans="1:21" ht="14.4" customHeight="1" x14ac:dyDescent="0.3">
      <c r="A639" s="695">
        <v>7</v>
      </c>
      <c r="B639" s="696" t="s">
        <v>1978</v>
      </c>
      <c r="C639" s="696">
        <v>89301074</v>
      </c>
      <c r="D639" s="697" t="s">
        <v>3238</v>
      </c>
      <c r="E639" s="698" t="s">
        <v>2159</v>
      </c>
      <c r="F639" s="696" t="s">
        <v>2133</v>
      </c>
      <c r="G639" s="696" t="s">
        <v>2434</v>
      </c>
      <c r="H639" s="696" t="s">
        <v>547</v>
      </c>
      <c r="I639" s="696" t="s">
        <v>2668</v>
      </c>
      <c r="J639" s="696" t="s">
        <v>2669</v>
      </c>
      <c r="K639" s="696" t="s">
        <v>2670</v>
      </c>
      <c r="L639" s="699">
        <v>515.07000000000005</v>
      </c>
      <c r="M639" s="699">
        <v>2575.3500000000004</v>
      </c>
      <c r="N639" s="696">
        <v>5</v>
      </c>
      <c r="O639" s="700">
        <v>1</v>
      </c>
      <c r="P639" s="699">
        <v>2575.3500000000004</v>
      </c>
      <c r="Q639" s="701">
        <v>1</v>
      </c>
      <c r="R639" s="696">
        <v>5</v>
      </c>
      <c r="S639" s="701">
        <v>1</v>
      </c>
      <c r="T639" s="700">
        <v>1</v>
      </c>
      <c r="U639" s="702">
        <v>1</v>
      </c>
    </row>
    <row r="640" spans="1:21" ht="14.4" customHeight="1" x14ac:dyDescent="0.3">
      <c r="A640" s="695">
        <v>7</v>
      </c>
      <c r="B640" s="696" t="s">
        <v>1978</v>
      </c>
      <c r="C640" s="696">
        <v>89301074</v>
      </c>
      <c r="D640" s="697" t="s">
        <v>3238</v>
      </c>
      <c r="E640" s="698" t="s">
        <v>2159</v>
      </c>
      <c r="F640" s="696" t="s">
        <v>2133</v>
      </c>
      <c r="G640" s="696" t="s">
        <v>2434</v>
      </c>
      <c r="H640" s="696" t="s">
        <v>547</v>
      </c>
      <c r="I640" s="696" t="s">
        <v>2871</v>
      </c>
      <c r="J640" s="696" t="s">
        <v>2872</v>
      </c>
      <c r="K640" s="696" t="s">
        <v>2873</v>
      </c>
      <c r="L640" s="699">
        <v>515.07000000000005</v>
      </c>
      <c r="M640" s="699">
        <v>3605.4900000000007</v>
      </c>
      <c r="N640" s="696">
        <v>7</v>
      </c>
      <c r="O640" s="700">
        <v>4</v>
      </c>
      <c r="P640" s="699">
        <v>2575.3500000000004</v>
      </c>
      <c r="Q640" s="701">
        <v>0.7142857142857143</v>
      </c>
      <c r="R640" s="696">
        <v>5</v>
      </c>
      <c r="S640" s="701">
        <v>0.7142857142857143</v>
      </c>
      <c r="T640" s="700">
        <v>3</v>
      </c>
      <c r="U640" s="702">
        <v>0.75</v>
      </c>
    </row>
    <row r="641" spans="1:21" ht="14.4" customHeight="1" x14ac:dyDescent="0.3">
      <c r="A641" s="695">
        <v>7</v>
      </c>
      <c r="B641" s="696" t="s">
        <v>1978</v>
      </c>
      <c r="C641" s="696">
        <v>89301074</v>
      </c>
      <c r="D641" s="697" t="s">
        <v>3238</v>
      </c>
      <c r="E641" s="698" t="s">
        <v>2159</v>
      </c>
      <c r="F641" s="696" t="s">
        <v>2133</v>
      </c>
      <c r="G641" s="696" t="s">
        <v>2434</v>
      </c>
      <c r="H641" s="696" t="s">
        <v>547</v>
      </c>
      <c r="I641" s="696" t="s">
        <v>3151</v>
      </c>
      <c r="J641" s="696" t="s">
        <v>3152</v>
      </c>
      <c r="K641" s="696" t="s">
        <v>3153</v>
      </c>
      <c r="L641" s="699">
        <v>1416.77</v>
      </c>
      <c r="M641" s="699">
        <v>5667.08</v>
      </c>
      <c r="N641" s="696">
        <v>4</v>
      </c>
      <c r="O641" s="700">
        <v>1</v>
      </c>
      <c r="P641" s="699">
        <v>5667.08</v>
      </c>
      <c r="Q641" s="701">
        <v>1</v>
      </c>
      <c r="R641" s="696">
        <v>4</v>
      </c>
      <c r="S641" s="701">
        <v>1</v>
      </c>
      <c r="T641" s="700">
        <v>1</v>
      </c>
      <c r="U641" s="702">
        <v>1</v>
      </c>
    </row>
    <row r="642" spans="1:21" ht="14.4" customHeight="1" x14ac:dyDescent="0.3">
      <c r="A642" s="695">
        <v>7</v>
      </c>
      <c r="B642" s="696" t="s">
        <v>1978</v>
      </c>
      <c r="C642" s="696">
        <v>89301074</v>
      </c>
      <c r="D642" s="697" t="s">
        <v>3238</v>
      </c>
      <c r="E642" s="698" t="s">
        <v>2159</v>
      </c>
      <c r="F642" s="696" t="s">
        <v>2133</v>
      </c>
      <c r="G642" s="696" t="s">
        <v>2434</v>
      </c>
      <c r="H642" s="696" t="s">
        <v>547</v>
      </c>
      <c r="I642" s="696" t="s">
        <v>3154</v>
      </c>
      <c r="J642" s="696" t="s">
        <v>2857</v>
      </c>
      <c r="K642" s="696" t="s">
        <v>3155</v>
      </c>
      <c r="L642" s="699">
        <v>0</v>
      </c>
      <c r="M642" s="699">
        <v>0</v>
      </c>
      <c r="N642" s="696">
        <v>2</v>
      </c>
      <c r="O642" s="700">
        <v>1</v>
      </c>
      <c r="P642" s="699">
        <v>0</v>
      </c>
      <c r="Q642" s="701"/>
      <c r="R642" s="696">
        <v>2</v>
      </c>
      <c r="S642" s="701">
        <v>1</v>
      </c>
      <c r="T642" s="700">
        <v>1</v>
      </c>
      <c r="U642" s="702">
        <v>1</v>
      </c>
    </row>
    <row r="643" spans="1:21" ht="14.4" customHeight="1" x14ac:dyDescent="0.3">
      <c r="A643" s="695">
        <v>7</v>
      </c>
      <c r="B643" s="696" t="s">
        <v>1978</v>
      </c>
      <c r="C643" s="696">
        <v>89301074</v>
      </c>
      <c r="D643" s="697" t="s">
        <v>3238</v>
      </c>
      <c r="E643" s="698" t="s">
        <v>2159</v>
      </c>
      <c r="F643" s="696" t="s">
        <v>2133</v>
      </c>
      <c r="G643" s="696" t="s">
        <v>3156</v>
      </c>
      <c r="H643" s="696" t="s">
        <v>547</v>
      </c>
      <c r="I643" s="696" t="s">
        <v>3157</v>
      </c>
      <c r="J643" s="696" t="s">
        <v>3158</v>
      </c>
      <c r="K643" s="696" t="s">
        <v>3159</v>
      </c>
      <c r="L643" s="699">
        <v>0</v>
      </c>
      <c r="M643" s="699">
        <v>0</v>
      </c>
      <c r="N643" s="696">
        <v>2</v>
      </c>
      <c r="O643" s="700">
        <v>0.5</v>
      </c>
      <c r="P643" s="699">
        <v>0</v>
      </c>
      <c r="Q643" s="701"/>
      <c r="R643" s="696">
        <v>2</v>
      </c>
      <c r="S643" s="701">
        <v>1</v>
      </c>
      <c r="T643" s="700">
        <v>0.5</v>
      </c>
      <c r="U643" s="702">
        <v>1</v>
      </c>
    </row>
    <row r="644" spans="1:21" ht="14.4" customHeight="1" x14ac:dyDescent="0.3">
      <c r="A644" s="695">
        <v>7</v>
      </c>
      <c r="B644" s="696" t="s">
        <v>1978</v>
      </c>
      <c r="C644" s="696">
        <v>89301074</v>
      </c>
      <c r="D644" s="697" t="s">
        <v>3238</v>
      </c>
      <c r="E644" s="698" t="s">
        <v>2159</v>
      </c>
      <c r="F644" s="696" t="s">
        <v>2133</v>
      </c>
      <c r="G644" s="696" t="s">
        <v>2680</v>
      </c>
      <c r="H644" s="696" t="s">
        <v>547</v>
      </c>
      <c r="I644" s="696" t="s">
        <v>2999</v>
      </c>
      <c r="J644" s="696" t="s">
        <v>3000</v>
      </c>
      <c r="K644" s="696" t="s">
        <v>3001</v>
      </c>
      <c r="L644" s="699">
        <v>999.6</v>
      </c>
      <c r="M644" s="699">
        <v>1999.2</v>
      </c>
      <c r="N644" s="696">
        <v>2</v>
      </c>
      <c r="O644" s="700">
        <v>1.5</v>
      </c>
      <c r="P644" s="699"/>
      <c r="Q644" s="701">
        <v>0</v>
      </c>
      <c r="R644" s="696"/>
      <c r="S644" s="701">
        <v>0</v>
      </c>
      <c r="T644" s="700"/>
      <c r="U644" s="702">
        <v>0</v>
      </c>
    </row>
    <row r="645" spans="1:21" ht="14.4" customHeight="1" x14ac:dyDescent="0.3">
      <c r="A645" s="695">
        <v>7</v>
      </c>
      <c r="B645" s="696" t="s">
        <v>1978</v>
      </c>
      <c r="C645" s="696">
        <v>89301074</v>
      </c>
      <c r="D645" s="697" t="s">
        <v>3238</v>
      </c>
      <c r="E645" s="698" t="s">
        <v>2159</v>
      </c>
      <c r="F645" s="696" t="s">
        <v>2133</v>
      </c>
      <c r="G645" s="696" t="s">
        <v>2680</v>
      </c>
      <c r="H645" s="696" t="s">
        <v>547</v>
      </c>
      <c r="I645" s="696" t="s">
        <v>3002</v>
      </c>
      <c r="J645" s="696" t="s">
        <v>3003</v>
      </c>
      <c r="K645" s="696" t="s">
        <v>2688</v>
      </c>
      <c r="L645" s="699">
        <v>887.05</v>
      </c>
      <c r="M645" s="699">
        <v>8870.5</v>
      </c>
      <c r="N645" s="696">
        <v>10</v>
      </c>
      <c r="O645" s="700">
        <v>4</v>
      </c>
      <c r="P645" s="699">
        <v>1774.1</v>
      </c>
      <c r="Q645" s="701">
        <v>0.19999999999999998</v>
      </c>
      <c r="R645" s="696">
        <v>2</v>
      </c>
      <c r="S645" s="701">
        <v>0.2</v>
      </c>
      <c r="T645" s="700">
        <v>1</v>
      </c>
      <c r="U645" s="702">
        <v>0.25</v>
      </c>
    </row>
    <row r="646" spans="1:21" ht="14.4" customHeight="1" x14ac:dyDescent="0.3">
      <c r="A646" s="695">
        <v>7</v>
      </c>
      <c r="B646" s="696" t="s">
        <v>1978</v>
      </c>
      <c r="C646" s="696">
        <v>89301074</v>
      </c>
      <c r="D646" s="697" t="s">
        <v>3238</v>
      </c>
      <c r="E646" s="698" t="s">
        <v>2159</v>
      </c>
      <c r="F646" s="696" t="s">
        <v>2133</v>
      </c>
      <c r="G646" s="696" t="s">
        <v>2680</v>
      </c>
      <c r="H646" s="696" t="s">
        <v>1438</v>
      </c>
      <c r="I646" s="696" t="s">
        <v>2681</v>
      </c>
      <c r="J646" s="696" t="s">
        <v>2682</v>
      </c>
      <c r="K646" s="696" t="s">
        <v>2683</v>
      </c>
      <c r="L646" s="699">
        <v>591.66999999999996</v>
      </c>
      <c r="M646" s="699">
        <v>2366.6799999999998</v>
      </c>
      <c r="N646" s="696">
        <v>4</v>
      </c>
      <c r="O646" s="700">
        <v>1.5</v>
      </c>
      <c r="P646" s="699"/>
      <c r="Q646" s="701">
        <v>0</v>
      </c>
      <c r="R646" s="696"/>
      <c r="S646" s="701">
        <v>0</v>
      </c>
      <c r="T646" s="700"/>
      <c r="U646" s="702">
        <v>0</v>
      </c>
    </row>
    <row r="647" spans="1:21" ht="14.4" customHeight="1" x14ac:dyDescent="0.3">
      <c r="A647" s="695">
        <v>7</v>
      </c>
      <c r="B647" s="696" t="s">
        <v>1978</v>
      </c>
      <c r="C647" s="696">
        <v>89301074</v>
      </c>
      <c r="D647" s="697" t="s">
        <v>3238</v>
      </c>
      <c r="E647" s="698" t="s">
        <v>2159</v>
      </c>
      <c r="F647" s="696" t="s">
        <v>2133</v>
      </c>
      <c r="G647" s="696" t="s">
        <v>2680</v>
      </c>
      <c r="H647" s="696" t="s">
        <v>547</v>
      </c>
      <c r="I647" s="696" t="s">
        <v>3160</v>
      </c>
      <c r="J647" s="696" t="s">
        <v>3161</v>
      </c>
      <c r="K647" s="696" t="s">
        <v>2683</v>
      </c>
      <c r="L647" s="699">
        <v>591.66999999999996</v>
      </c>
      <c r="M647" s="699">
        <v>1775.0099999999998</v>
      </c>
      <c r="N647" s="696">
        <v>3</v>
      </c>
      <c r="O647" s="700">
        <v>0.5</v>
      </c>
      <c r="P647" s="699"/>
      <c r="Q647" s="701">
        <v>0</v>
      </c>
      <c r="R647" s="696"/>
      <c r="S647" s="701">
        <v>0</v>
      </c>
      <c r="T647" s="700"/>
      <c r="U647" s="702">
        <v>0</v>
      </c>
    </row>
    <row r="648" spans="1:21" ht="14.4" customHeight="1" x14ac:dyDescent="0.3">
      <c r="A648" s="695">
        <v>7</v>
      </c>
      <c r="B648" s="696" t="s">
        <v>1978</v>
      </c>
      <c r="C648" s="696">
        <v>89301074</v>
      </c>
      <c r="D648" s="697" t="s">
        <v>3238</v>
      </c>
      <c r="E648" s="698" t="s">
        <v>2159</v>
      </c>
      <c r="F648" s="696" t="s">
        <v>2133</v>
      </c>
      <c r="G648" s="696" t="s">
        <v>2680</v>
      </c>
      <c r="H648" s="696" t="s">
        <v>1438</v>
      </c>
      <c r="I648" s="696" t="s">
        <v>2879</v>
      </c>
      <c r="J648" s="696" t="s">
        <v>2880</v>
      </c>
      <c r="K648" s="696" t="s">
        <v>2881</v>
      </c>
      <c r="L648" s="699">
        <v>561.54</v>
      </c>
      <c r="M648" s="699">
        <v>2246.16</v>
      </c>
      <c r="N648" s="696">
        <v>4</v>
      </c>
      <c r="O648" s="700">
        <v>3.5</v>
      </c>
      <c r="P648" s="699">
        <v>1123.08</v>
      </c>
      <c r="Q648" s="701">
        <v>0.5</v>
      </c>
      <c r="R648" s="696">
        <v>2</v>
      </c>
      <c r="S648" s="701">
        <v>0.5</v>
      </c>
      <c r="T648" s="700">
        <v>2</v>
      </c>
      <c r="U648" s="702">
        <v>0.5714285714285714</v>
      </c>
    </row>
    <row r="649" spans="1:21" ht="14.4" customHeight="1" x14ac:dyDescent="0.3">
      <c r="A649" s="695">
        <v>7</v>
      </c>
      <c r="B649" s="696" t="s">
        <v>1978</v>
      </c>
      <c r="C649" s="696">
        <v>89301074</v>
      </c>
      <c r="D649" s="697" t="s">
        <v>3238</v>
      </c>
      <c r="E649" s="698" t="s">
        <v>2159</v>
      </c>
      <c r="F649" s="696" t="s">
        <v>2133</v>
      </c>
      <c r="G649" s="696" t="s">
        <v>2680</v>
      </c>
      <c r="H649" s="696" t="s">
        <v>1438</v>
      </c>
      <c r="I649" s="696" t="s">
        <v>2684</v>
      </c>
      <c r="J649" s="696" t="s">
        <v>2685</v>
      </c>
      <c r="K649" s="696" t="s">
        <v>2686</v>
      </c>
      <c r="L649" s="699">
        <v>443.52</v>
      </c>
      <c r="M649" s="699">
        <v>887.04</v>
      </c>
      <c r="N649" s="696">
        <v>2</v>
      </c>
      <c r="O649" s="700">
        <v>1</v>
      </c>
      <c r="P649" s="699"/>
      <c r="Q649" s="701">
        <v>0</v>
      </c>
      <c r="R649" s="696"/>
      <c r="S649" s="701">
        <v>0</v>
      </c>
      <c r="T649" s="700"/>
      <c r="U649" s="702">
        <v>0</v>
      </c>
    </row>
    <row r="650" spans="1:21" ht="14.4" customHeight="1" x14ac:dyDescent="0.3">
      <c r="A650" s="695">
        <v>7</v>
      </c>
      <c r="B650" s="696" t="s">
        <v>1978</v>
      </c>
      <c r="C650" s="696">
        <v>89301074</v>
      </c>
      <c r="D650" s="697" t="s">
        <v>3238</v>
      </c>
      <c r="E650" s="698" t="s">
        <v>2159</v>
      </c>
      <c r="F650" s="696" t="s">
        <v>2133</v>
      </c>
      <c r="G650" s="696" t="s">
        <v>2680</v>
      </c>
      <c r="H650" s="696" t="s">
        <v>1438</v>
      </c>
      <c r="I650" s="696" t="s">
        <v>2687</v>
      </c>
      <c r="J650" s="696" t="s">
        <v>2685</v>
      </c>
      <c r="K650" s="696" t="s">
        <v>2688</v>
      </c>
      <c r="L650" s="699">
        <v>887.05</v>
      </c>
      <c r="M650" s="699">
        <v>36369.049999999996</v>
      </c>
      <c r="N650" s="696">
        <v>41</v>
      </c>
      <c r="O650" s="700">
        <v>19.5</v>
      </c>
      <c r="P650" s="699">
        <v>12418.699999999999</v>
      </c>
      <c r="Q650" s="701">
        <v>0.34146341463414637</v>
      </c>
      <c r="R650" s="696">
        <v>14</v>
      </c>
      <c r="S650" s="701">
        <v>0.34146341463414637</v>
      </c>
      <c r="T650" s="700">
        <v>7.5</v>
      </c>
      <c r="U650" s="702">
        <v>0.38461538461538464</v>
      </c>
    </row>
    <row r="651" spans="1:21" ht="14.4" customHeight="1" x14ac:dyDescent="0.3">
      <c r="A651" s="695">
        <v>7</v>
      </c>
      <c r="B651" s="696" t="s">
        <v>1978</v>
      </c>
      <c r="C651" s="696">
        <v>89301074</v>
      </c>
      <c r="D651" s="697" t="s">
        <v>3238</v>
      </c>
      <c r="E651" s="698" t="s">
        <v>2159</v>
      </c>
      <c r="F651" s="696" t="s">
        <v>2133</v>
      </c>
      <c r="G651" s="696" t="s">
        <v>2882</v>
      </c>
      <c r="H651" s="696" t="s">
        <v>547</v>
      </c>
      <c r="I651" s="696" t="s">
        <v>2883</v>
      </c>
      <c r="J651" s="696" t="s">
        <v>2884</v>
      </c>
      <c r="K651" s="696" t="s">
        <v>740</v>
      </c>
      <c r="L651" s="699">
        <v>33.36</v>
      </c>
      <c r="M651" s="699">
        <v>200.16</v>
      </c>
      <c r="N651" s="696">
        <v>6</v>
      </c>
      <c r="O651" s="700">
        <v>3</v>
      </c>
      <c r="P651" s="699">
        <v>66.72</v>
      </c>
      <c r="Q651" s="701">
        <v>0.33333333333333331</v>
      </c>
      <c r="R651" s="696">
        <v>2</v>
      </c>
      <c r="S651" s="701">
        <v>0.33333333333333331</v>
      </c>
      <c r="T651" s="700">
        <v>1</v>
      </c>
      <c r="U651" s="702">
        <v>0.33333333333333331</v>
      </c>
    </row>
    <row r="652" spans="1:21" ht="14.4" customHeight="1" x14ac:dyDescent="0.3">
      <c r="A652" s="695">
        <v>7</v>
      </c>
      <c r="B652" s="696" t="s">
        <v>1978</v>
      </c>
      <c r="C652" s="696">
        <v>89301074</v>
      </c>
      <c r="D652" s="697" t="s">
        <v>3238</v>
      </c>
      <c r="E652" s="698" t="s">
        <v>2159</v>
      </c>
      <c r="F652" s="696" t="s">
        <v>2133</v>
      </c>
      <c r="G652" s="696" t="s">
        <v>2317</v>
      </c>
      <c r="H652" s="696" t="s">
        <v>547</v>
      </c>
      <c r="I652" s="696" t="s">
        <v>2885</v>
      </c>
      <c r="J652" s="696" t="s">
        <v>2886</v>
      </c>
      <c r="K652" s="696" t="s">
        <v>2320</v>
      </c>
      <c r="L652" s="699">
        <v>86.16</v>
      </c>
      <c r="M652" s="699">
        <v>86.16</v>
      </c>
      <c r="N652" s="696">
        <v>1</v>
      </c>
      <c r="O652" s="700">
        <v>0.5</v>
      </c>
      <c r="P652" s="699">
        <v>86.16</v>
      </c>
      <c r="Q652" s="701">
        <v>1</v>
      </c>
      <c r="R652" s="696">
        <v>1</v>
      </c>
      <c r="S652" s="701">
        <v>1</v>
      </c>
      <c r="T652" s="700">
        <v>0.5</v>
      </c>
      <c r="U652" s="702">
        <v>1</v>
      </c>
    </row>
    <row r="653" spans="1:21" ht="14.4" customHeight="1" x14ac:dyDescent="0.3">
      <c r="A653" s="695">
        <v>7</v>
      </c>
      <c r="B653" s="696" t="s">
        <v>1978</v>
      </c>
      <c r="C653" s="696">
        <v>89301074</v>
      </c>
      <c r="D653" s="697" t="s">
        <v>3238</v>
      </c>
      <c r="E653" s="698" t="s">
        <v>2159</v>
      </c>
      <c r="F653" s="696" t="s">
        <v>2133</v>
      </c>
      <c r="G653" s="696" t="s">
        <v>2317</v>
      </c>
      <c r="H653" s="696" t="s">
        <v>547</v>
      </c>
      <c r="I653" s="696" t="s">
        <v>3009</v>
      </c>
      <c r="J653" s="696" t="s">
        <v>2886</v>
      </c>
      <c r="K653" s="696" t="s">
        <v>2230</v>
      </c>
      <c r="L653" s="699">
        <v>0</v>
      </c>
      <c r="M653" s="699">
        <v>0</v>
      </c>
      <c r="N653" s="696">
        <v>1</v>
      </c>
      <c r="O653" s="700">
        <v>1</v>
      </c>
      <c r="P653" s="699">
        <v>0</v>
      </c>
      <c r="Q653" s="701"/>
      <c r="R653" s="696">
        <v>1</v>
      </c>
      <c r="S653" s="701">
        <v>1</v>
      </c>
      <c r="T653" s="700">
        <v>1</v>
      </c>
      <c r="U653" s="702">
        <v>1</v>
      </c>
    </row>
    <row r="654" spans="1:21" ht="14.4" customHeight="1" x14ac:dyDescent="0.3">
      <c r="A654" s="695">
        <v>7</v>
      </c>
      <c r="B654" s="696" t="s">
        <v>1978</v>
      </c>
      <c r="C654" s="696">
        <v>89301074</v>
      </c>
      <c r="D654" s="697" t="s">
        <v>3238</v>
      </c>
      <c r="E654" s="698" t="s">
        <v>2159</v>
      </c>
      <c r="F654" s="696" t="s">
        <v>2133</v>
      </c>
      <c r="G654" s="696" t="s">
        <v>2692</v>
      </c>
      <c r="H654" s="696" t="s">
        <v>547</v>
      </c>
      <c r="I654" s="696" t="s">
        <v>2693</v>
      </c>
      <c r="J654" s="696" t="s">
        <v>2694</v>
      </c>
      <c r="K654" s="696" t="s">
        <v>2695</v>
      </c>
      <c r="L654" s="699">
        <v>876.77</v>
      </c>
      <c r="M654" s="699">
        <v>38577.879999999997</v>
      </c>
      <c r="N654" s="696">
        <v>44</v>
      </c>
      <c r="O654" s="700">
        <v>9</v>
      </c>
      <c r="P654" s="699">
        <v>14905.09</v>
      </c>
      <c r="Q654" s="701">
        <v>0.38636363636363641</v>
      </c>
      <c r="R654" s="696">
        <v>17</v>
      </c>
      <c r="S654" s="701">
        <v>0.38636363636363635</v>
      </c>
      <c r="T654" s="700">
        <v>4</v>
      </c>
      <c r="U654" s="702">
        <v>0.44444444444444442</v>
      </c>
    </row>
    <row r="655" spans="1:21" ht="14.4" customHeight="1" x14ac:dyDescent="0.3">
      <c r="A655" s="695">
        <v>7</v>
      </c>
      <c r="B655" s="696" t="s">
        <v>1978</v>
      </c>
      <c r="C655" s="696">
        <v>89301074</v>
      </c>
      <c r="D655" s="697" t="s">
        <v>3238</v>
      </c>
      <c r="E655" s="698" t="s">
        <v>2159</v>
      </c>
      <c r="F655" s="696" t="s">
        <v>2133</v>
      </c>
      <c r="G655" s="696" t="s">
        <v>2692</v>
      </c>
      <c r="H655" s="696" t="s">
        <v>547</v>
      </c>
      <c r="I655" s="696" t="s">
        <v>2890</v>
      </c>
      <c r="J655" s="696" t="s">
        <v>2891</v>
      </c>
      <c r="K655" s="696" t="s">
        <v>2892</v>
      </c>
      <c r="L655" s="699">
        <v>1753.54</v>
      </c>
      <c r="M655" s="699">
        <v>22796.02</v>
      </c>
      <c r="N655" s="696">
        <v>13</v>
      </c>
      <c r="O655" s="700">
        <v>4</v>
      </c>
      <c r="P655" s="699">
        <v>17535.400000000001</v>
      </c>
      <c r="Q655" s="701">
        <v>0.76923076923076927</v>
      </c>
      <c r="R655" s="696">
        <v>10</v>
      </c>
      <c r="S655" s="701">
        <v>0.76923076923076927</v>
      </c>
      <c r="T655" s="700">
        <v>3</v>
      </c>
      <c r="U655" s="702">
        <v>0.75</v>
      </c>
    </row>
    <row r="656" spans="1:21" ht="14.4" customHeight="1" x14ac:dyDescent="0.3">
      <c r="A656" s="695">
        <v>7</v>
      </c>
      <c r="B656" s="696" t="s">
        <v>1978</v>
      </c>
      <c r="C656" s="696">
        <v>89301074</v>
      </c>
      <c r="D656" s="697" t="s">
        <v>3238</v>
      </c>
      <c r="E656" s="698" t="s">
        <v>2159</v>
      </c>
      <c r="F656" s="696" t="s">
        <v>2133</v>
      </c>
      <c r="G656" s="696" t="s">
        <v>2692</v>
      </c>
      <c r="H656" s="696" t="s">
        <v>547</v>
      </c>
      <c r="I656" s="696" t="s">
        <v>2893</v>
      </c>
      <c r="J656" s="696" t="s">
        <v>2894</v>
      </c>
      <c r="K656" s="696" t="s">
        <v>2895</v>
      </c>
      <c r="L656" s="699">
        <v>474.91</v>
      </c>
      <c r="M656" s="699">
        <v>474.91</v>
      </c>
      <c r="N656" s="696">
        <v>1</v>
      </c>
      <c r="O656" s="700">
        <v>1</v>
      </c>
      <c r="P656" s="699">
        <v>474.91</v>
      </c>
      <c r="Q656" s="701">
        <v>1</v>
      </c>
      <c r="R656" s="696">
        <v>1</v>
      </c>
      <c r="S656" s="701">
        <v>1</v>
      </c>
      <c r="T656" s="700">
        <v>1</v>
      </c>
      <c r="U656" s="702">
        <v>1</v>
      </c>
    </row>
    <row r="657" spans="1:21" ht="14.4" customHeight="1" x14ac:dyDescent="0.3">
      <c r="A657" s="695">
        <v>7</v>
      </c>
      <c r="B657" s="696" t="s">
        <v>1978</v>
      </c>
      <c r="C657" s="696">
        <v>89301074</v>
      </c>
      <c r="D657" s="697" t="s">
        <v>3238</v>
      </c>
      <c r="E657" s="698" t="s">
        <v>2159</v>
      </c>
      <c r="F657" s="696" t="s">
        <v>2133</v>
      </c>
      <c r="G657" s="696" t="s">
        <v>2692</v>
      </c>
      <c r="H657" s="696" t="s">
        <v>547</v>
      </c>
      <c r="I657" s="696" t="s">
        <v>3010</v>
      </c>
      <c r="J657" s="696" t="s">
        <v>2694</v>
      </c>
      <c r="K657" s="696" t="s">
        <v>3011</v>
      </c>
      <c r="L657" s="699">
        <v>1753.54</v>
      </c>
      <c r="M657" s="699">
        <v>5260.62</v>
      </c>
      <c r="N657" s="696">
        <v>3</v>
      </c>
      <c r="O657" s="700">
        <v>1</v>
      </c>
      <c r="P657" s="699"/>
      <c r="Q657" s="701">
        <v>0</v>
      </c>
      <c r="R657" s="696"/>
      <c r="S657" s="701">
        <v>0</v>
      </c>
      <c r="T657" s="700"/>
      <c r="U657" s="702">
        <v>0</v>
      </c>
    </row>
    <row r="658" spans="1:21" ht="14.4" customHeight="1" x14ac:dyDescent="0.3">
      <c r="A658" s="695">
        <v>7</v>
      </c>
      <c r="B658" s="696" t="s">
        <v>1978</v>
      </c>
      <c r="C658" s="696">
        <v>89301074</v>
      </c>
      <c r="D658" s="697" t="s">
        <v>3238</v>
      </c>
      <c r="E658" s="698" t="s">
        <v>2159</v>
      </c>
      <c r="F658" s="696" t="s">
        <v>2133</v>
      </c>
      <c r="G658" s="696" t="s">
        <v>2902</v>
      </c>
      <c r="H658" s="696" t="s">
        <v>547</v>
      </c>
      <c r="I658" s="696" t="s">
        <v>951</v>
      </c>
      <c r="J658" s="696" t="s">
        <v>952</v>
      </c>
      <c r="K658" s="696" t="s">
        <v>2903</v>
      </c>
      <c r="L658" s="699">
        <v>63.67</v>
      </c>
      <c r="M658" s="699">
        <v>191.01</v>
      </c>
      <c r="N658" s="696">
        <v>3</v>
      </c>
      <c r="O658" s="700">
        <v>0.5</v>
      </c>
      <c r="P658" s="699"/>
      <c r="Q658" s="701">
        <v>0</v>
      </c>
      <c r="R658" s="696"/>
      <c r="S658" s="701">
        <v>0</v>
      </c>
      <c r="T658" s="700"/>
      <c r="U658" s="702">
        <v>0</v>
      </c>
    </row>
    <row r="659" spans="1:21" ht="14.4" customHeight="1" x14ac:dyDescent="0.3">
      <c r="A659" s="695">
        <v>7</v>
      </c>
      <c r="B659" s="696" t="s">
        <v>1978</v>
      </c>
      <c r="C659" s="696">
        <v>89301074</v>
      </c>
      <c r="D659" s="697" t="s">
        <v>3238</v>
      </c>
      <c r="E659" s="698" t="s">
        <v>2159</v>
      </c>
      <c r="F659" s="696" t="s">
        <v>2133</v>
      </c>
      <c r="G659" s="696" t="s">
        <v>3162</v>
      </c>
      <c r="H659" s="696" t="s">
        <v>547</v>
      </c>
      <c r="I659" s="696" t="s">
        <v>3163</v>
      </c>
      <c r="J659" s="696" t="s">
        <v>3164</v>
      </c>
      <c r="K659" s="696" t="s">
        <v>3165</v>
      </c>
      <c r="L659" s="699">
        <v>7132.29</v>
      </c>
      <c r="M659" s="699">
        <v>35661.449999999997</v>
      </c>
      <c r="N659" s="696">
        <v>5</v>
      </c>
      <c r="O659" s="700">
        <v>4.5</v>
      </c>
      <c r="P659" s="699">
        <v>35661.449999999997</v>
      </c>
      <c r="Q659" s="701">
        <v>1</v>
      </c>
      <c r="R659" s="696">
        <v>5</v>
      </c>
      <c r="S659" s="701">
        <v>1</v>
      </c>
      <c r="T659" s="700">
        <v>4.5</v>
      </c>
      <c r="U659" s="702">
        <v>1</v>
      </c>
    </row>
    <row r="660" spans="1:21" ht="14.4" customHeight="1" x14ac:dyDescent="0.3">
      <c r="A660" s="695">
        <v>7</v>
      </c>
      <c r="B660" s="696" t="s">
        <v>1978</v>
      </c>
      <c r="C660" s="696">
        <v>89301074</v>
      </c>
      <c r="D660" s="697" t="s">
        <v>3238</v>
      </c>
      <c r="E660" s="698" t="s">
        <v>2159</v>
      </c>
      <c r="F660" s="696" t="s">
        <v>2133</v>
      </c>
      <c r="G660" s="696" t="s">
        <v>2696</v>
      </c>
      <c r="H660" s="696" t="s">
        <v>547</v>
      </c>
      <c r="I660" s="696" t="s">
        <v>3103</v>
      </c>
      <c r="J660" s="696" t="s">
        <v>2698</v>
      </c>
      <c r="K660" s="696" t="s">
        <v>2699</v>
      </c>
      <c r="L660" s="699">
        <v>144.01</v>
      </c>
      <c r="M660" s="699">
        <v>576.04</v>
      </c>
      <c r="N660" s="696">
        <v>4</v>
      </c>
      <c r="O660" s="700">
        <v>1</v>
      </c>
      <c r="P660" s="699"/>
      <c r="Q660" s="701">
        <v>0</v>
      </c>
      <c r="R660" s="696"/>
      <c r="S660" s="701">
        <v>0</v>
      </c>
      <c r="T660" s="700"/>
      <c r="U660" s="702">
        <v>0</v>
      </c>
    </row>
    <row r="661" spans="1:21" ht="14.4" customHeight="1" x14ac:dyDescent="0.3">
      <c r="A661" s="695">
        <v>7</v>
      </c>
      <c r="B661" s="696" t="s">
        <v>1978</v>
      </c>
      <c r="C661" s="696">
        <v>89301074</v>
      </c>
      <c r="D661" s="697" t="s">
        <v>3238</v>
      </c>
      <c r="E661" s="698" t="s">
        <v>2159</v>
      </c>
      <c r="F661" s="696" t="s">
        <v>2133</v>
      </c>
      <c r="G661" s="696" t="s">
        <v>2696</v>
      </c>
      <c r="H661" s="696" t="s">
        <v>547</v>
      </c>
      <c r="I661" s="696" t="s">
        <v>2904</v>
      </c>
      <c r="J661" s="696" t="s">
        <v>2905</v>
      </c>
      <c r="K661" s="696" t="s">
        <v>2906</v>
      </c>
      <c r="L661" s="699">
        <v>71.2</v>
      </c>
      <c r="M661" s="699">
        <v>356</v>
      </c>
      <c r="N661" s="696">
        <v>5</v>
      </c>
      <c r="O661" s="700">
        <v>2</v>
      </c>
      <c r="P661" s="699">
        <v>142.4</v>
      </c>
      <c r="Q661" s="701">
        <v>0.4</v>
      </c>
      <c r="R661" s="696">
        <v>2</v>
      </c>
      <c r="S661" s="701">
        <v>0.4</v>
      </c>
      <c r="T661" s="700">
        <v>1</v>
      </c>
      <c r="U661" s="702">
        <v>0.5</v>
      </c>
    </row>
    <row r="662" spans="1:21" ht="14.4" customHeight="1" x14ac:dyDescent="0.3">
      <c r="A662" s="695">
        <v>7</v>
      </c>
      <c r="B662" s="696" t="s">
        <v>1978</v>
      </c>
      <c r="C662" s="696">
        <v>89301074</v>
      </c>
      <c r="D662" s="697" t="s">
        <v>3238</v>
      </c>
      <c r="E662" s="698" t="s">
        <v>2159</v>
      </c>
      <c r="F662" s="696" t="s">
        <v>2133</v>
      </c>
      <c r="G662" s="696" t="s">
        <v>2696</v>
      </c>
      <c r="H662" s="696" t="s">
        <v>547</v>
      </c>
      <c r="I662" s="696" t="s">
        <v>2697</v>
      </c>
      <c r="J662" s="696" t="s">
        <v>2698</v>
      </c>
      <c r="K662" s="696" t="s">
        <v>2699</v>
      </c>
      <c r="L662" s="699">
        <v>144.01</v>
      </c>
      <c r="M662" s="699">
        <v>1008.0699999999999</v>
      </c>
      <c r="N662" s="696">
        <v>7</v>
      </c>
      <c r="O662" s="700">
        <v>4</v>
      </c>
      <c r="P662" s="699"/>
      <c r="Q662" s="701">
        <v>0</v>
      </c>
      <c r="R662" s="696"/>
      <c r="S662" s="701">
        <v>0</v>
      </c>
      <c r="T662" s="700"/>
      <c r="U662" s="702">
        <v>0</v>
      </c>
    </row>
    <row r="663" spans="1:21" ht="14.4" customHeight="1" x14ac:dyDescent="0.3">
      <c r="A663" s="695">
        <v>7</v>
      </c>
      <c r="B663" s="696" t="s">
        <v>1978</v>
      </c>
      <c r="C663" s="696">
        <v>89301074</v>
      </c>
      <c r="D663" s="697" t="s">
        <v>3238</v>
      </c>
      <c r="E663" s="698" t="s">
        <v>2159</v>
      </c>
      <c r="F663" s="696" t="s">
        <v>2133</v>
      </c>
      <c r="G663" s="696" t="s">
        <v>2700</v>
      </c>
      <c r="H663" s="696" t="s">
        <v>547</v>
      </c>
      <c r="I663" s="696" t="s">
        <v>2907</v>
      </c>
      <c r="J663" s="696" t="s">
        <v>2908</v>
      </c>
      <c r="K663" s="696" t="s">
        <v>2909</v>
      </c>
      <c r="L663" s="699">
        <v>55.71</v>
      </c>
      <c r="M663" s="699">
        <v>891.3599999999999</v>
      </c>
      <c r="N663" s="696">
        <v>16</v>
      </c>
      <c r="O663" s="700">
        <v>8.5</v>
      </c>
      <c r="P663" s="699">
        <v>111.42</v>
      </c>
      <c r="Q663" s="701">
        <v>0.12500000000000003</v>
      </c>
      <c r="R663" s="696">
        <v>2</v>
      </c>
      <c r="S663" s="701">
        <v>0.125</v>
      </c>
      <c r="T663" s="700">
        <v>2</v>
      </c>
      <c r="U663" s="702">
        <v>0.23529411764705882</v>
      </c>
    </row>
    <row r="664" spans="1:21" ht="14.4" customHeight="1" x14ac:dyDescent="0.3">
      <c r="A664" s="695">
        <v>7</v>
      </c>
      <c r="B664" s="696" t="s">
        <v>1978</v>
      </c>
      <c r="C664" s="696">
        <v>89301074</v>
      </c>
      <c r="D664" s="697" t="s">
        <v>3238</v>
      </c>
      <c r="E664" s="698" t="s">
        <v>2159</v>
      </c>
      <c r="F664" s="696" t="s">
        <v>2133</v>
      </c>
      <c r="G664" s="696" t="s">
        <v>2700</v>
      </c>
      <c r="H664" s="696" t="s">
        <v>547</v>
      </c>
      <c r="I664" s="696" t="s">
        <v>2701</v>
      </c>
      <c r="J664" s="696" t="s">
        <v>2702</v>
      </c>
      <c r="K664" s="696" t="s">
        <v>2703</v>
      </c>
      <c r="L664" s="699">
        <v>59.43</v>
      </c>
      <c r="M664" s="699">
        <v>416.01</v>
      </c>
      <c r="N664" s="696">
        <v>7</v>
      </c>
      <c r="O664" s="700">
        <v>5</v>
      </c>
      <c r="P664" s="699"/>
      <c r="Q664" s="701">
        <v>0</v>
      </c>
      <c r="R664" s="696"/>
      <c r="S664" s="701">
        <v>0</v>
      </c>
      <c r="T664" s="700"/>
      <c r="U664" s="702">
        <v>0</v>
      </c>
    </row>
    <row r="665" spans="1:21" ht="14.4" customHeight="1" x14ac:dyDescent="0.3">
      <c r="A665" s="695">
        <v>7</v>
      </c>
      <c r="B665" s="696" t="s">
        <v>1978</v>
      </c>
      <c r="C665" s="696">
        <v>89301074</v>
      </c>
      <c r="D665" s="697" t="s">
        <v>3238</v>
      </c>
      <c r="E665" s="698" t="s">
        <v>2159</v>
      </c>
      <c r="F665" s="696" t="s">
        <v>2133</v>
      </c>
      <c r="G665" s="696" t="s">
        <v>2700</v>
      </c>
      <c r="H665" s="696" t="s">
        <v>547</v>
      </c>
      <c r="I665" s="696" t="s">
        <v>3016</v>
      </c>
      <c r="J665" s="696" t="s">
        <v>2702</v>
      </c>
      <c r="K665" s="696" t="s">
        <v>3017</v>
      </c>
      <c r="L665" s="699">
        <v>0</v>
      </c>
      <c r="M665" s="699">
        <v>0</v>
      </c>
      <c r="N665" s="696">
        <v>1</v>
      </c>
      <c r="O665" s="700">
        <v>0.5</v>
      </c>
      <c r="P665" s="699">
        <v>0</v>
      </c>
      <c r="Q665" s="701"/>
      <c r="R665" s="696">
        <v>1</v>
      </c>
      <c r="S665" s="701">
        <v>1</v>
      </c>
      <c r="T665" s="700">
        <v>0.5</v>
      </c>
      <c r="U665" s="702">
        <v>1</v>
      </c>
    </row>
    <row r="666" spans="1:21" ht="14.4" customHeight="1" x14ac:dyDescent="0.3">
      <c r="A666" s="695">
        <v>7</v>
      </c>
      <c r="B666" s="696" t="s">
        <v>1978</v>
      </c>
      <c r="C666" s="696">
        <v>89301074</v>
      </c>
      <c r="D666" s="697" t="s">
        <v>3238</v>
      </c>
      <c r="E666" s="698" t="s">
        <v>2159</v>
      </c>
      <c r="F666" s="696" t="s">
        <v>2133</v>
      </c>
      <c r="G666" s="696" t="s">
        <v>3018</v>
      </c>
      <c r="H666" s="696" t="s">
        <v>547</v>
      </c>
      <c r="I666" s="696" t="s">
        <v>3019</v>
      </c>
      <c r="J666" s="696" t="s">
        <v>3020</v>
      </c>
      <c r="K666" s="696" t="s">
        <v>3021</v>
      </c>
      <c r="L666" s="699">
        <v>0</v>
      </c>
      <c r="M666" s="699">
        <v>0</v>
      </c>
      <c r="N666" s="696">
        <v>12</v>
      </c>
      <c r="O666" s="700">
        <v>5.5</v>
      </c>
      <c r="P666" s="699">
        <v>0</v>
      </c>
      <c r="Q666" s="701"/>
      <c r="R666" s="696">
        <v>5</v>
      </c>
      <c r="S666" s="701">
        <v>0.41666666666666669</v>
      </c>
      <c r="T666" s="700">
        <v>2.5</v>
      </c>
      <c r="U666" s="702">
        <v>0.45454545454545453</v>
      </c>
    </row>
    <row r="667" spans="1:21" ht="14.4" customHeight="1" x14ac:dyDescent="0.3">
      <c r="A667" s="695">
        <v>7</v>
      </c>
      <c r="B667" s="696" t="s">
        <v>1978</v>
      </c>
      <c r="C667" s="696">
        <v>89301074</v>
      </c>
      <c r="D667" s="697" t="s">
        <v>3238</v>
      </c>
      <c r="E667" s="698" t="s">
        <v>2159</v>
      </c>
      <c r="F667" s="696" t="s">
        <v>2133</v>
      </c>
      <c r="G667" s="696" t="s">
        <v>2385</v>
      </c>
      <c r="H667" s="696" t="s">
        <v>547</v>
      </c>
      <c r="I667" s="696" t="s">
        <v>2386</v>
      </c>
      <c r="J667" s="696" t="s">
        <v>2387</v>
      </c>
      <c r="K667" s="696" t="s">
        <v>2388</v>
      </c>
      <c r="L667" s="699">
        <v>91.14</v>
      </c>
      <c r="M667" s="699">
        <v>91.14</v>
      </c>
      <c r="N667" s="696">
        <v>1</v>
      </c>
      <c r="O667" s="700">
        <v>1</v>
      </c>
      <c r="P667" s="699">
        <v>91.14</v>
      </c>
      <c r="Q667" s="701">
        <v>1</v>
      </c>
      <c r="R667" s="696">
        <v>1</v>
      </c>
      <c r="S667" s="701">
        <v>1</v>
      </c>
      <c r="T667" s="700">
        <v>1</v>
      </c>
      <c r="U667" s="702">
        <v>1</v>
      </c>
    </row>
    <row r="668" spans="1:21" ht="14.4" customHeight="1" x14ac:dyDescent="0.3">
      <c r="A668" s="695">
        <v>7</v>
      </c>
      <c r="B668" s="696" t="s">
        <v>1978</v>
      </c>
      <c r="C668" s="696">
        <v>89301074</v>
      </c>
      <c r="D668" s="697" t="s">
        <v>3238</v>
      </c>
      <c r="E668" s="698" t="s">
        <v>2159</v>
      </c>
      <c r="F668" s="696" t="s">
        <v>2133</v>
      </c>
      <c r="G668" s="696" t="s">
        <v>2533</v>
      </c>
      <c r="H668" s="696" t="s">
        <v>1438</v>
      </c>
      <c r="I668" s="696" t="s">
        <v>1478</v>
      </c>
      <c r="J668" s="696" t="s">
        <v>1479</v>
      </c>
      <c r="K668" s="696" t="s">
        <v>1480</v>
      </c>
      <c r="L668" s="699">
        <v>0</v>
      </c>
      <c r="M668" s="699">
        <v>0</v>
      </c>
      <c r="N668" s="696">
        <v>1</v>
      </c>
      <c r="O668" s="700">
        <v>0.5</v>
      </c>
      <c r="P668" s="699">
        <v>0</v>
      </c>
      <c r="Q668" s="701"/>
      <c r="R668" s="696">
        <v>1</v>
      </c>
      <c r="S668" s="701">
        <v>1</v>
      </c>
      <c r="T668" s="700">
        <v>0.5</v>
      </c>
      <c r="U668" s="702">
        <v>1</v>
      </c>
    </row>
    <row r="669" spans="1:21" ht="14.4" customHeight="1" x14ac:dyDescent="0.3">
      <c r="A669" s="695">
        <v>7</v>
      </c>
      <c r="B669" s="696" t="s">
        <v>1978</v>
      </c>
      <c r="C669" s="696">
        <v>89301074</v>
      </c>
      <c r="D669" s="697" t="s">
        <v>3238</v>
      </c>
      <c r="E669" s="698" t="s">
        <v>2159</v>
      </c>
      <c r="F669" s="696" t="s">
        <v>2133</v>
      </c>
      <c r="G669" s="696" t="s">
        <v>2533</v>
      </c>
      <c r="H669" s="696" t="s">
        <v>1438</v>
      </c>
      <c r="I669" s="696" t="s">
        <v>2534</v>
      </c>
      <c r="J669" s="696" t="s">
        <v>1479</v>
      </c>
      <c r="K669" s="696" t="s">
        <v>2535</v>
      </c>
      <c r="L669" s="699">
        <v>0</v>
      </c>
      <c r="M669" s="699">
        <v>0</v>
      </c>
      <c r="N669" s="696">
        <v>1</v>
      </c>
      <c r="O669" s="700">
        <v>0.5</v>
      </c>
      <c r="P669" s="699">
        <v>0</v>
      </c>
      <c r="Q669" s="701"/>
      <c r="R669" s="696">
        <v>1</v>
      </c>
      <c r="S669" s="701">
        <v>1</v>
      </c>
      <c r="T669" s="700">
        <v>0.5</v>
      </c>
      <c r="U669" s="702">
        <v>1</v>
      </c>
    </row>
    <row r="670" spans="1:21" ht="14.4" customHeight="1" x14ac:dyDescent="0.3">
      <c r="A670" s="695">
        <v>7</v>
      </c>
      <c r="B670" s="696" t="s">
        <v>1978</v>
      </c>
      <c r="C670" s="696">
        <v>89301074</v>
      </c>
      <c r="D670" s="697" t="s">
        <v>3238</v>
      </c>
      <c r="E670" s="698" t="s">
        <v>2159</v>
      </c>
      <c r="F670" s="696" t="s">
        <v>2133</v>
      </c>
      <c r="G670" s="696" t="s">
        <v>3027</v>
      </c>
      <c r="H670" s="696" t="s">
        <v>547</v>
      </c>
      <c r="I670" s="696" t="s">
        <v>3028</v>
      </c>
      <c r="J670" s="696" t="s">
        <v>3029</v>
      </c>
      <c r="K670" s="696" t="s">
        <v>3030</v>
      </c>
      <c r="L670" s="699">
        <v>1638.59</v>
      </c>
      <c r="M670" s="699">
        <v>8192.9499999999989</v>
      </c>
      <c r="N670" s="696">
        <v>5</v>
      </c>
      <c r="O670" s="700">
        <v>4.5</v>
      </c>
      <c r="P670" s="699">
        <v>1638.59</v>
      </c>
      <c r="Q670" s="701">
        <v>0.2</v>
      </c>
      <c r="R670" s="696">
        <v>1</v>
      </c>
      <c r="S670" s="701">
        <v>0.2</v>
      </c>
      <c r="T670" s="700">
        <v>1</v>
      </c>
      <c r="U670" s="702">
        <v>0.22222222222222221</v>
      </c>
    </row>
    <row r="671" spans="1:21" ht="14.4" customHeight="1" x14ac:dyDescent="0.3">
      <c r="A671" s="695">
        <v>7</v>
      </c>
      <c r="B671" s="696" t="s">
        <v>1978</v>
      </c>
      <c r="C671" s="696">
        <v>89301074</v>
      </c>
      <c r="D671" s="697" t="s">
        <v>3238</v>
      </c>
      <c r="E671" s="698" t="s">
        <v>2159</v>
      </c>
      <c r="F671" s="696" t="s">
        <v>2133</v>
      </c>
      <c r="G671" s="696" t="s">
        <v>3027</v>
      </c>
      <c r="H671" s="696" t="s">
        <v>547</v>
      </c>
      <c r="I671" s="696" t="s">
        <v>3166</v>
      </c>
      <c r="J671" s="696" t="s">
        <v>3029</v>
      </c>
      <c r="K671" s="696" t="s">
        <v>3030</v>
      </c>
      <c r="L671" s="699">
        <v>1638.59</v>
      </c>
      <c r="M671" s="699">
        <v>1638.59</v>
      </c>
      <c r="N671" s="696">
        <v>1</v>
      </c>
      <c r="O671" s="700">
        <v>1</v>
      </c>
      <c r="P671" s="699"/>
      <c r="Q671" s="701">
        <v>0</v>
      </c>
      <c r="R671" s="696"/>
      <c r="S671" s="701">
        <v>0</v>
      </c>
      <c r="T671" s="700"/>
      <c r="U671" s="702">
        <v>0</v>
      </c>
    </row>
    <row r="672" spans="1:21" ht="14.4" customHeight="1" x14ac:dyDescent="0.3">
      <c r="A672" s="695">
        <v>7</v>
      </c>
      <c r="B672" s="696" t="s">
        <v>1978</v>
      </c>
      <c r="C672" s="696">
        <v>89301074</v>
      </c>
      <c r="D672" s="697" t="s">
        <v>3238</v>
      </c>
      <c r="E672" s="698" t="s">
        <v>2159</v>
      </c>
      <c r="F672" s="696" t="s">
        <v>2133</v>
      </c>
      <c r="G672" s="696" t="s">
        <v>2706</v>
      </c>
      <c r="H672" s="696" t="s">
        <v>1438</v>
      </c>
      <c r="I672" s="696" t="s">
        <v>2707</v>
      </c>
      <c r="J672" s="696" t="s">
        <v>2708</v>
      </c>
      <c r="K672" s="696" t="s">
        <v>2709</v>
      </c>
      <c r="L672" s="699">
        <v>137.74</v>
      </c>
      <c r="M672" s="699">
        <v>137.74</v>
      </c>
      <c r="N672" s="696">
        <v>1</v>
      </c>
      <c r="O672" s="700">
        <v>1</v>
      </c>
      <c r="P672" s="699"/>
      <c r="Q672" s="701">
        <v>0</v>
      </c>
      <c r="R672" s="696"/>
      <c r="S672" s="701">
        <v>0</v>
      </c>
      <c r="T672" s="700"/>
      <c r="U672" s="702">
        <v>0</v>
      </c>
    </row>
    <row r="673" spans="1:21" ht="14.4" customHeight="1" x14ac:dyDescent="0.3">
      <c r="A673" s="695">
        <v>7</v>
      </c>
      <c r="B673" s="696" t="s">
        <v>1978</v>
      </c>
      <c r="C673" s="696">
        <v>89301074</v>
      </c>
      <c r="D673" s="697" t="s">
        <v>3238</v>
      </c>
      <c r="E673" s="698" t="s">
        <v>2159</v>
      </c>
      <c r="F673" s="696" t="s">
        <v>2133</v>
      </c>
      <c r="G673" s="696" t="s">
        <v>2706</v>
      </c>
      <c r="H673" s="696" t="s">
        <v>1438</v>
      </c>
      <c r="I673" s="696" t="s">
        <v>2707</v>
      </c>
      <c r="J673" s="696" t="s">
        <v>2708</v>
      </c>
      <c r="K673" s="696" t="s">
        <v>2709</v>
      </c>
      <c r="L673" s="699">
        <v>118.82</v>
      </c>
      <c r="M673" s="699">
        <v>356.46</v>
      </c>
      <c r="N673" s="696">
        <v>3</v>
      </c>
      <c r="O673" s="700">
        <v>1</v>
      </c>
      <c r="P673" s="699"/>
      <c r="Q673" s="701">
        <v>0</v>
      </c>
      <c r="R673" s="696"/>
      <c r="S673" s="701">
        <v>0</v>
      </c>
      <c r="T673" s="700"/>
      <c r="U673" s="702">
        <v>0</v>
      </c>
    </row>
    <row r="674" spans="1:21" ht="14.4" customHeight="1" x14ac:dyDescent="0.3">
      <c r="A674" s="695">
        <v>7</v>
      </c>
      <c r="B674" s="696" t="s">
        <v>1978</v>
      </c>
      <c r="C674" s="696">
        <v>89301074</v>
      </c>
      <c r="D674" s="697" t="s">
        <v>3238</v>
      </c>
      <c r="E674" s="698" t="s">
        <v>2159</v>
      </c>
      <c r="F674" s="696" t="s">
        <v>2133</v>
      </c>
      <c r="G674" s="696" t="s">
        <v>3031</v>
      </c>
      <c r="H674" s="696" t="s">
        <v>547</v>
      </c>
      <c r="I674" s="696" t="s">
        <v>3032</v>
      </c>
      <c r="J674" s="696" t="s">
        <v>3033</v>
      </c>
      <c r="K674" s="696" t="s">
        <v>3034</v>
      </c>
      <c r="L674" s="699">
        <v>65.89</v>
      </c>
      <c r="M674" s="699">
        <v>197.67000000000002</v>
      </c>
      <c r="N674" s="696">
        <v>3</v>
      </c>
      <c r="O674" s="700">
        <v>2</v>
      </c>
      <c r="P674" s="699">
        <v>131.78</v>
      </c>
      <c r="Q674" s="701">
        <v>0.66666666666666663</v>
      </c>
      <c r="R674" s="696">
        <v>2</v>
      </c>
      <c r="S674" s="701">
        <v>0.66666666666666663</v>
      </c>
      <c r="T674" s="700">
        <v>1.5</v>
      </c>
      <c r="U674" s="702">
        <v>0.75</v>
      </c>
    </row>
    <row r="675" spans="1:21" ht="14.4" customHeight="1" x14ac:dyDescent="0.3">
      <c r="A675" s="695">
        <v>7</v>
      </c>
      <c r="B675" s="696" t="s">
        <v>1978</v>
      </c>
      <c r="C675" s="696">
        <v>89301074</v>
      </c>
      <c r="D675" s="697" t="s">
        <v>3238</v>
      </c>
      <c r="E675" s="698" t="s">
        <v>2159</v>
      </c>
      <c r="F675" s="696" t="s">
        <v>2133</v>
      </c>
      <c r="G675" s="696" t="s">
        <v>3031</v>
      </c>
      <c r="H675" s="696" t="s">
        <v>547</v>
      </c>
      <c r="I675" s="696" t="s">
        <v>3110</v>
      </c>
      <c r="J675" s="696" t="s">
        <v>3033</v>
      </c>
      <c r="K675" s="696" t="s">
        <v>3111</v>
      </c>
      <c r="L675" s="699">
        <v>0</v>
      </c>
      <c r="M675" s="699">
        <v>0</v>
      </c>
      <c r="N675" s="696">
        <v>3</v>
      </c>
      <c r="O675" s="700">
        <v>0.5</v>
      </c>
      <c r="P675" s="699"/>
      <c r="Q675" s="701"/>
      <c r="R675" s="696"/>
      <c r="S675" s="701">
        <v>0</v>
      </c>
      <c r="T675" s="700"/>
      <c r="U675" s="702">
        <v>0</v>
      </c>
    </row>
    <row r="676" spans="1:21" ht="14.4" customHeight="1" x14ac:dyDescent="0.3">
      <c r="A676" s="695">
        <v>7</v>
      </c>
      <c r="B676" s="696" t="s">
        <v>1978</v>
      </c>
      <c r="C676" s="696">
        <v>89301074</v>
      </c>
      <c r="D676" s="697" t="s">
        <v>3238</v>
      </c>
      <c r="E676" s="698" t="s">
        <v>2159</v>
      </c>
      <c r="F676" s="696" t="s">
        <v>2133</v>
      </c>
      <c r="G676" s="696" t="s">
        <v>2710</v>
      </c>
      <c r="H676" s="696" t="s">
        <v>547</v>
      </c>
      <c r="I676" s="696" t="s">
        <v>2711</v>
      </c>
      <c r="J676" s="696" t="s">
        <v>2712</v>
      </c>
      <c r="K676" s="696" t="s">
        <v>2713</v>
      </c>
      <c r="L676" s="699">
        <v>64.13</v>
      </c>
      <c r="M676" s="699">
        <v>128.26</v>
      </c>
      <c r="N676" s="696">
        <v>2</v>
      </c>
      <c r="O676" s="700">
        <v>0.5</v>
      </c>
      <c r="P676" s="699"/>
      <c r="Q676" s="701">
        <v>0</v>
      </c>
      <c r="R676" s="696"/>
      <c r="S676" s="701">
        <v>0</v>
      </c>
      <c r="T676" s="700"/>
      <c r="U676" s="702">
        <v>0</v>
      </c>
    </row>
    <row r="677" spans="1:21" ht="14.4" customHeight="1" x14ac:dyDescent="0.3">
      <c r="A677" s="695">
        <v>7</v>
      </c>
      <c r="B677" s="696" t="s">
        <v>1978</v>
      </c>
      <c r="C677" s="696">
        <v>89301074</v>
      </c>
      <c r="D677" s="697" t="s">
        <v>3238</v>
      </c>
      <c r="E677" s="698" t="s">
        <v>2159</v>
      </c>
      <c r="F677" s="696" t="s">
        <v>2133</v>
      </c>
      <c r="G677" s="696" t="s">
        <v>2710</v>
      </c>
      <c r="H677" s="696" t="s">
        <v>547</v>
      </c>
      <c r="I677" s="696" t="s">
        <v>2714</v>
      </c>
      <c r="J677" s="696" t="s">
        <v>2715</v>
      </c>
      <c r="K677" s="696" t="s">
        <v>2713</v>
      </c>
      <c r="L677" s="699">
        <v>64.13</v>
      </c>
      <c r="M677" s="699">
        <v>128.26</v>
      </c>
      <c r="N677" s="696">
        <v>2</v>
      </c>
      <c r="O677" s="700">
        <v>1</v>
      </c>
      <c r="P677" s="699">
        <v>128.26</v>
      </c>
      <c r="Q677" s="701">
        <v>1</v>
      </c>
      <c r="R677" s="696">
        <v>2</v>
      </c>
      <c r="S677" s="701">
        <v>1</v>
      </c>
      <c r="T677" s="700">
        <v>1</v>
      </c>
      <c r="U677" s="702">
        <v>1</v>
      </c>
    </row>
    <row r="678" spans="1:21" ht="14.4" customHeight="1" x14ac:dyDescent="0.3">
      <c r="A678" s="695">
        <v>7</v>
      </c>
      <c r="B678" s="696" t="s">
        <v>1978</v>
      </c>
      <c r="C678" s="696">
        <v>89301074</v>
      </c>
      <c r="D678" s="697" t="s">
        <v>3238</v>
      </c>
      <c r="E678" s="698" t="s">
        <v>2159</v>
      </c>
      <c r="F678" s="696" t="s">
        <v>2133</v>
      </c>
      <c r="G678" s="696" t="s">
        <v>2498</v>
      </c>
      <c r="H678" s="696" t="s">
        <v>1438</v>
      </c>
      <c r="I678" s="696" t="s">
        <v>2716</v>
      </c>
      <c r="J678" s="696" t="s">
        <v>2500</v>
      </c>
      <c r="K678" s="696" t="s">
        <v>2717</v>
      </c>
      <c r="L678" s="699">
        <v>193.26</v>
      </c>
      <c r="M678" s="699">
        <v>4444.9799999999996</v>
      </c>
      <c r="N678" s="696">
        <v>23</v>
      </c>
      <c r="O678" s="700">
        <v>9.5</v>
      </c>
      <c r="P678" s="699">
        <v>773.04</v>
      </c>
      <c r="Q678" s="701">
        <v>0.17391304347826086</v>
      </c>
      <c r="R678" s="696">
        <v>4</v>
      </c>
      <c r="S678" s="701">
        <v>0.17391304347826086</v>
      </c>
      <c r="T678" s="700">
        <v>1.5</v>
      </c>
      <c r="U678" s="702">
        <v>0.15789473684210525</v>
      </c>
    </row>
    <row r="679" spans="1:21" ht="14.4" customHeight="1" x14ac:dyDescent="0.3">
      <c r="A679" s="695">
        <v>7</v>
      </c>
      <c r="B679" s="696" t="s">
        <v>1978</v>
      </c>
      <c r="C679" s="696">
        <v>89301074</v>
      </c>
      <c r="D679" s="697" t="s">
        <v>3238</v>
      </c>
      <c r="E679" s="698" t="s">
        <v>2159</v>
      </c>
      <c r="F679" s="696" t="s">
        <v>2133</v>
      </c>
      <c r="G679" s="696" t="s">
        <v>2722</v>
      </c>
      <c r="H679" s="696" t="s">
        <v>547</v>
      </c>
      <c r="I679" s="696" t="s">
        <v>3035</v>
      </c>
      <c r="J679" s="696" t="s">
        <v>1905</v>
      </c>
      <c r="K679" s="696" t="s">
        <v>2619</v>
      </c>
      <c r="L679" s="699">
        <v>70.02</v>
      </c>
      <c r="M679" s="699">
        <v>210.06</v>
      </c>
      <c r="N679" s="696">
        <v>3</v>
      </c>
      <c r="O679" s="700">
        <v>3</v>
      </c>
      <c r="P679" s="699">
        <v>210.06</v>
      </c>
      <c r="Q679" s="701">
        <v>1</v>
      </c>
      <c r="R679" s="696">
        <v>3</v>
      </c>
      <c r="S679" s="701">
        <v>1</v>
      </c>
      <c r="T679" s="700">
        <v>3</v>
      </c>
      <c r="U679" s="702">
        <v>1</v>
      </c>
    </row>
    <row r="680" spans="1:21" ht="14.4" customHeight="1" x14ac:dyDescent="0.3">
      <c r="A680" s="695">
        <v>7</v>
      </c>
      <c r="B680" s="696" t="s">
        <v>1978</v>
      </c>
      <c r="C680" s="696">
        <v>89301074</v>
      </c>
      <c r="D680" s="697" t="s">
        <v>3238</v>
      </c>
      <c r="E680" s="698" t="s">
        <v>2159</v>
      </c>
      <c r="F680" s="696" t="s">
        <v>2133</v>
      </c>
      <c r="G680" s="696" t="s">
        <v>2393</v>
      </c>
      <c r="H680" s="696" t="s">
        <v>547</v>
      </c>
      <c r="I680" s="696" t="s">
        <v>3167</v>
      </c>
      <c r="J680" s="696" t="s">
        <v>2395</v>
      </c>
      <c r="K680" s="696" t="s">
        <v>2396</v>
      </c>
      <c r="L680" s="699">
        <v>49.92</v>
      </c>
      <c r="M680" s="699">
        <v>49.92</v>
      </c>
      <c r="N680" s="696">
        <v>1</v>
      </c>
      <c r="O680" s="700">
        <v>1</v>
      </c>
      <c r="P680" s="699"/>
      <c r="Q680" s="701">
        <v>0</v>
      </c>
      <c r="R680" s="696"/>
      <c r="S680" s="701">
        <v>0</v>
      </c>
      <c r="T680" s="700"/>
      <c r="U680" s="702">
        <v>0</v>
      </c>
    </row>
    <row r="681" spans="1:21" ht="14.4" customHeight="1" x14ac:dyDescent="0.3">
      <c r="A681" s="695">
        <v>7</v>
      </c>
      <c r="B681" s="696" t="s">
        <v>1978</v>
      </c>
      <c r="C681" s="696">
        <v>89301074</v>
      </c>
      <c r="D681" s="697" t="s">
        <v>3238</v>
      </c>
      <c r="E681" s="698" t="s">
        <v>2159</v>
      </c>
      <c r="F681" s="696" t="s">
        <v>2133</v>
      </c>
      <c r="G681" s="696" t="s">
        <v>2438</v>
      </c>
      <c r="H681" s="696" t="s">
        <v>547</v>
      </c>
      <c r="I681" s="696" t="s">
        <v>2910</v>
      </c>
      <c r="J681" s="696" t="s">
        <v>2443</v>
      </c>
      <c r="K681" s="696" t="s">
        <v>2444</v>
      </c>
      <c r="L681" s="699">
        <v>132.77000000000001</v>
      </c>
      <c r="M681" s="699">
        <v>663.85000000000014</v>
      </c>
      <c r="N681" s="696">
        <v>5</v>
      </c>
      <c r="O681" s="700">
        <v>2</v>
      </c>
      <c r="P681" s="699">
        <v>265.54000000000002</v>
      </c>
      <c r="Q681" s="701">
        <v>0.39999999999999997</v>
      </c>
      <c r="R681" s="696">
        <v>2</v>
      </c>
      <c r="S681" s="701">
        <v>0.4</v>
      </c>
      <c r="T681" s="700">
        <v>1</v>
      </c>
      <c r="U681" s="702">
        <v>0.5</v>
      </c>
    </row>
    <row r="682" spans="1:21" ht="14.4" customHeight="1" x14ac:dyDescent="0.3">
      <c r="A682" s="695">
        <v>7</v>
      </c>
      <c r="B682" s="696" t="s">
        <v>1978</v>
      </c>
      <c r="C682" s="696">
        <v>89301074</v>
      </c>
      <c r="D682" s="697" t="s">
        <v>3238</v>
      </c>
      <c r="E682" s="698" t="s">
        <v>2159</v>
      </c>
      <c r="F682" s="696" t="s">
        <v>2133</v>
      </c>
      <c r="G682" s="696" t="s">
        <v>2438</v>
      </c>
      <c r="H682" s="696" t="s">
        <v>547</v>
      </c>
      <c r="I682" s="696" t="s">
        <v>2911</v>
      </c>
      <c r="J682" s="696" t="s">
        <v>2449</v>
      </c>
      <c r="K682" s="696" t="s">
        <v>2450</v>
      </c>
      <c r="L682" s="699">
        <v>407.64</v>
      </c>
      <c r="M682" s="699">
        <v>5299.32</v>
      </c>
      <c r="N682" s="696">
        <v>13</v>
      </c>
      <c r="O682" s="700">
        <v>4</v>
      </c>
      <c r="P682" s="699">
        <v>1630.56</v>
      </c>
      <c r="Q682" s="701">
        <v>0.30769230769230771</v>
      </c>
      <c r="R682" s="696">
        <v>4</v>
      </c>
      <c r="S682" s="701">
        <v>0.30769230769230771</v>
      </c>
      <c r="T682" s="700">
        <v>3</v>
      </c>
      <c r="U682" s="702">
        <v>0.75</v>
      </c>
    </row>
    <row r="683" spans="1:21" ht="14.4" customHeight="1" x14ac:dyDescent="0.3">
      <c r="A683" s="695">
        <v>7</v>
      </c>
      <c r="B683" s="696" t="s">
        <v>1978</v>
      </c>
      <c r="C683" s="696">
        <v>89301074</v>
      </c>
      <c r="D683" s="697" t="s">
        <v>3238</v>
      </c>
      <c r="E683" s="698" t="s">
        <v>2159</v>
      </c>
      <c r="F683" s="696" t="s">
        <v>2133</v>
      </c>
      <c r="G683" s="696" t="s">
        <v>2438</v>
      </c>
      <c r="H683" s="696" t="s">
        <v>547</v>
      </c>
      <c r="I683" s="696" t="s">
        <v>2439</v>
      </c>
      <c r="J683" s="696" t="s">
        <v>2440</v>
      </c>
      <c r="K683" s="696" t="s">
        <v>2441</v>
      </c>
      <c r="L683" s="699">
        <v>733.54</v>
      </c>
      <c r="M683" s="699">
        <v>11736.64</v>
      </c>
      <c r="N683" s="696">
        <v>16</v>
      </c>
      <c r="O683" s="700">
        <v>3</v>
      </c>
      <c r="P683" s="699">
        <v>11736.64</v>
      </c>
      <c r="Q683" s="701">
        <v>1</v>
      </c>
      <c r="R683" s="696">
        <v>16</v>
      </c>
      <c r="S683" s="701">
        <v>1</v>
      </c>
      <c r="T683" s="700">
        <v>3</v>
      </c>
      <c r="U683" s="702">
        <v>1</v>
      </c>
    </row>
    <row r="684" spans="1:21" ht="14.4" customHeight="1" x14ac:dyDescent="0.3">
      <c r="A684" s="695">
        <v>7</v>
      </c>
      <c r="B684" s="696" t="s">
        <v>1978</v>
      </c>
      <c r="C684" s="696">
        <v>89301074</v>
      </c>
      <c r="D684" s="697" t="s">
        <v>3238</v>
      </c>
      <c r="E684" s="698" t="s">
        <v>2159</v>
      </c>
      <c r="F684" s="696" t="s">
        <v>2133</v>
      </c>
      <c r="G684" s="696" t="s">
        <v>2438</v>
      </c>
      <c r="H684" s="696" t="s">
        <v>547</v>
      </c>
      <c r="I684" s="696" t="s">
        <v>2724</v>
      </c>
      <c r="J684" s="696" t="s">
        <v>2725</v>
      </c>
      <c r="K684" s="696" t="s">
        <v>2406</v>
      </c>
      <c r="L684" s="699">
        <v>57.48</v>
      </c>
      <c r="M684" s="699">
        <v>574.79999999999995</v>
      </c>
      <c r="N684" s="696">
        <v>10</v>
      </c>
      <c r="O684" s="700">
        <v>9</v>
      </c>
      <c r="P684" s="699">
        <v>287.39999999999998</v>
      </c>
      <c r="Q684" s="701">
        <v>0.5</v>
      </c>
      <c r="R684" s="696">
        <v>5</v>
      </c>
      <c r="S684" s="701">
        <v>0.5</v>
      </c>
      <c r="T684" s="700">
        <v>5</v>
      </c>
      <c r="U684" s="702">
        <v>0.55555555555555558</v>
      </c>
    </row>
    <row r="685" spans="1:21" ht="14.4" customHeight="1" x14ac:dyDescent="0.3">
      <c r="A685" s="695">
        <v>7</v>
      </c>
      <c r="B685" s="696" t="s">
        <v>1978</v>
      </c>
      <c r="C685" s="696">
        <v>89301074</v>
      </c>
      <c r="D685" s="697" t="s">
        <v>3238</v>
      </c>
      <c r="E685" s="698" t="s">
        <v>2159</v>
      </c>
      <c r="F685" s="696" t="s">
        <v>2133</v>
      </c>
      <c r="G685" s="696" t="s">
        <v>2438</v>
      </c>
      <c r="H685" s="696" t="s">
        <v>547</v>
      </c>
      <c r="I685" s="696" t="s">
        <v>2726</v>
      </c>
      <c r="J685" s="696" t="s">
        <v>2727</v>
      </c>
      <c r="K685" s="696" t="s">
        <v>834</v>
      </c>
      <c r="L685" s="699">
        <v>105.85</v>
      </c>
      <c r="M685" s="699">
        <v>740.94999999999993</v>
      </c>
      <c r="N685" s="696">
        <v>7</v>
      </c>
      <c r="O685" s="700">
        <v>5</v>
      </c>
      <c r="P685" s="699">
        <v>317.54999999999995</v>
      </c>
      <c r="Q685" s="701">
        <v>0.42857142857142855</v>
      </c>
      <c r="R685" s="696">
        <v>3</v>
      </c>
      <c r="S685" s="701">
        <v>0.42857142857142855</v>
      </c>
      <c r="T685" s="700">
        <v>2</v>
      </c>
      <c r="U685" s="702">
        <v>0.4</v>
      </c>
    </row>
    <row r="686" spans="1:21" ht="14.4" customHeight="1" x14ac:dyDescent="0.3">
      <c r="A686" s="695">
        <v>7</v>
      </c>
      <c r="B686" s="696" t="s">
        <v>1978</v>
      </c>
      <c r="C686" s="696">
        <v>89301074</v>
      </c>
      <c r="D686" s="697" t="s">
        <v>3238</v>
      </c>
      <c r="E686" s="698" t="s">
        <v>2159</v>
      </c>
      <c r="F686" s="696" t="s">
        <v>2133</v>
      </c>
      <c r="G686" s="696" t="s">
        <v>2438</v>
      </c>
      <c r="H686" s="696" t="s">
        <v>547</v>
      </c>
      <c r="I686" s="696" t="s">
        <v>2442</v>
      </c>
      <c r="J686" s="696" t="s">
        <v>2443</v>
      </c>
      <c r="K686" s="696" t="s">
        <v>2444</v>
      </c>
      <c r="L686" s="699">
        <v>132.77000000000001</v>
      </c>
      <c r="M686" s="699">
        <v>3053.71</v>
      </c>
      <c r="N686" s="696">
        <v>23</v>
      </c>
      <c r="O686" s="700">
        <v>5</v>
      </c>
      <c r="P686" s="699">
        <v>1062.1600000000001</v>
      </c>
      <c r="Q686" s="701">
        <v>0.34782608695652178</v>
      </c>
      <c r="R686" s="696">
        <v>8</v>
      </c>
      <c r="S686" s="701">
        <v>0.34782608695652173</v>
      </c>
      <c r="T686" s="700">
        <v>3</v>
      </c>
      <c r="U686" s="702">
        <v>0.6</v>
      </c>
    </row>
    <row r="687" spans="1:21" ht="14.4" customHeight="1" x14ac:dyDescent="0.3">
      <c r="A687" s="695">
        <v>7</v>
      </c>
      <c r="B687" s="696" t="s">
        <v>1978</v>
      </c>
      <c r="C687" s="696">
        <v>89301074</v>
      </c>
      <c r="D687" s="697" t="s">
        <v>3238</v>
      </c>
      <c r="E687" s="698" t="s">
        <v>2159</v>
      </c>
      <c r="F687" s="696" t="s">
        <v>2133</v>
      </c>
      <c r="G687" s="696" t="s">
        <v>2438</v>
      </c>
      <c r="H687" s="696" t="s">
        <v>547</v>
      </c>
      <c r="I687" s="696" t="s">
        <v>2445</v>
      </c>
      <c r="J687" s="696" t="s">
        <v>2446</v>
      </c>
      <c r="K687" s="696" t="s">
        <v>2447</v>
      </c>
      <c r="L687" s="699">
        <v>244.58</v>
      </c>
      <c r="M687" s="699">
        <v>1222.9000000000001</v>
      </c>
      <c r="N687" s="696">
        <v>5</v>
      </c>
      <c r="O687" s="700">
        <v>2</v>
      </c>
      <c r="P687" s="699">
        <v>1222.9000000000001</v>
      </c>
      <c r="Q687" s="701">
        <v>1</v>
      </c>
      <c r="R687" s="696">
        <v>5</v>
      </c>
      <c r="S687" s="701">
        <v>1</v>
      </c>
      <c r="T687" s="700">
        <v>2</v>
      </c>
      <c r="U687" s="702">
        <v>1</v>
      </c>
    </row>
    <row r="688" spans="1:21" ht="14.4" customHeight="1" x14ac:dyDescent="0.3">
      <c r="A688" s="695">
        <v>7</v>
      </c>
      <c r="B688" s="696" t="s">
        <v>1978</v>
      </c>
      <c r="C688" s="696">
        <v>89301074</v>
      </c>
      <c r="D688" s="697" t="s">
        <v>3238</v>
      </c>
      <c r="E688" s="698" t="s">
        <v>2159</v>
      </c>
      <c r="F688" s="696" t="s">
        <v>2133</v>
      </c>
      <c r="G688" s="696" t="s">
        <v>2438</v>
      </c>
      <c r="H688" s="696" t="s">
        <v>547</v>
      </c>
      <c r="I688" s="696" t="s">
        <v>2448</v>
      </c>
      <c r="J688" s="696" t="s">
        <v>2449</v>
      </c>
      <c r="K688" s="696" t="s">
        <v>2450</v>
      </c>
      <c r="L688" s="699">
        <v>407.64</v>
      </c>
      <c r="M688" s="699">
        <v>8968.08</v>
      </c>
      <c r="N688" s="696">
        <v>22</v>
      </c>
      <c r="O688" s="700">
        <v>5</v>
      </c>
      <c r="P688" s="699">
        <v>4891.68</v>
      </c>
      <c r="Q688" s="701">
        <v>0.54545454545454553</v>
      </c>
      <c r="R688" s="696">
        <v>12</v>
      </c>
      <c r="S688" s="701">
        <v>0.54545454545454541</v>
      </c>
      <c r="T688" s="700">
        <v>3</v>
      </c>
      <c r="U688" s="702">
        <v>0.6</v>
      </c>
    </row>
    <row r="689" spans="1:21" ht="14.4" customHeight="1" x14ac:dyDescent="0.3">
      <c r="A689" s="695">
        <v>7</v>
      </c>
      <c r="B689" s="696" t="s">
        <v>1978</v>
      </c>
      <c r="C689" s="696">
        <v>89301074</v>
      </c>
      <c r="D689" s="697" t="s">
        <v>3238</v>
      </c>
      <c r="E689" s="698" t="s">
        <v>2159</v>
      </c>
      <c r="F689" s="696" t="s">
        <v>2133</v>
      </c>
      <c r="G689" s="696" t="s">
        <v>2438</v>
      </c>
      <c r="H689" s="696" t="s">
        <v>547</v>
      </c>
      <c r="I689" s="696" t="s">
        <v>1831</v>
      </c>
      <c r="J689" s="696" t="s">
        <v>1088</v>
      </c>
      <c r="K689" s="696" t="s">
        <v>3168</v>
      </c>
      <c r="L689" s="699">
        <v>55.6</v>
      </c>
      <c r="M689" s="699">
        <v>111.2</v>
      </c>
      <c r="N689" s="696">
        <v>2</v>
      </c>
      <c r="O689" s="700">
        <v>1</v>
      </c>
      <c r="P689" s="699"/>
      <c r="Q689" s="701">
        <v>0</v>
      </c>
      <c r="R689" s="696"/>
      <c r="S689" s="701">
        <v>0</v>
      </c>
      <c r="T689" s="700"/>
      <c r="U689" s="702">
        <v>0</v>
      </c>
    </row>
    <row r="690" spans="1:21" ht="14.4" customHeight="1" x14ac:dyDescent="0.3">
      <c r="A690" s="695">
        <v>7</v>
      </c>
      <c r="B690" s="696" t="s">
        <v>1978</v>
      </c>
      <c r="C690" s="696">
        <v>89301074</v>
      </c>
      <c r="D690" s="697" t="s">
        <v>3238</v>
      </c>
      <c r="E690" s="698" t="s">
        <v>2159</v>
      </c>
      <c r="F690" s="696" t="s">
        <v>2133</v>
      </c>
      <c r="G690" s="696" t="s">
        <v>2913</v>
      </c>
      <c r="H690" s="696" t="s">
        <v>547</v>
      </c>
      <c r="I690" s="696" t="s">
        <v>2914</v>
      </c>
      <c r="J690" s="696" t="s">
        <v>2915</v>
      </c>
      <c r="K690" s="696" t="s">
        <v>2916</v>
      </c>
      <c r="L690" s="699">
        <v>0</v>
      </c>
      <c r="M690" s="699">
        <v>0</v>
      </c>
      <c r="N690" s="696">
        <v>1</v>
      </c>
      <c r="O690" s="700">
        <v>0.5</v>
      </c>
      <c r="P690" s="699"/>
      <c r="Q690" s="701"/>
      <c r="R690" s="696"/>
      <c r="S690" s="701">
        <v>0</v>
      </c>
      <c r="T690" s="700"/>
      <c r="U690" s="702">
        <v>0</v>
      </c>
    </row>
    <row r="691" spans="1:21" ht="14.4" customHeight="1" x14ac:dyDescent="0.3">
      <c r="A691" s="695">
        <v>7</v>
      </c>
      <c r="B691" s="696" t="s">
        <v>1978</v>
      </c>
      <c r="C691" s="696">
        <v>89301074</v>
      </c>
      <c r="D691" s="697" t="s">
        <v>3238</v>
      </c>
      <c r="E691" s="698" t="s">
        <v>2159</v>
      </c>
      <c r="F691" s="696" t="s">
        <v>2133</v>
      </c>
      <c r="G691" s="696" t="s">
        <v>2913</v>
      </c>
      <c r="H691" s="696" t="s">
        <v>547</v>
      </c>
      <c r="I691" s="696" t="s">
        <v>3169</v>
      </c>
      <c r="J691" s="696" t="s">
        <v>2915</v>
      </c>
      <c r="K691" s="696" t="s">
        <v>2204</v>
      </c>
      <c r="L691" s="699">
        <v>59.89</v>
      </c>
      <c r="M691" s="699">
        <v>59.89</v>
      </c>
      <c r="N691" s="696">
        <v>1</v>
      </c>
      <c r="O691" s="700">
        <v>0.5</v>
      </c>
      <c r="P691" s="699"/>
      <c r="Q691" s="701">
        <v>0</v>
      </c>
      <c r="R691" s="696"/>
      <c r="S691" s="701">
        <v>0</v>
      </c>
      <c r="T691" s="700"/>
      <c r="U691" s="702">
        <v>0</v>
      </c>
    </row>
    <row r="692" spans="1:21" ht="14.4" customHeight="1" x14ac:dyDescent="0.3">
      <c r="A692" s="695">
        <v>7</v>
      </c>
      <c r="B692" s="696" t="s">
        <v>1978</v>
      </c>
      <c r="C692" s="696">
        <v>89301074</v>
      </c>
      <c r="D692" s="697" t="s">
        <v>3238</v>
      </c>
      <c r="E692" s="698" t="s">
        <v>2159</v>
      </c>
      <c r="F692" s="696" t="s">
        <v>2133</v>
      </c>
      <c r="G692" s="696" t="s">
        <v>2233</v>
      </c>
      <c r="H692" s="696" t="s">
        <v>1438</v>
      </c>
      <c r="I692" s="696" t="s">
        <v>2397</v>
      </c>
      <c r="J692" s="696" t="s">
        <v>2235</v>
      </c>
      <c r="K692" s="696" t="s">
        <v>2398</v>
      </c>
      <c r="L692" s="699">
        <v>96.63</v>
      </c>
      <c r="M692" s="699">
        <v>676.41</v>
      </c>
      <c r="N692" s="696">
        <v>7</v>
      </c>
      <c r="O692" s="700">
        <v>2</v>
      </c>
      <c r="P692" s="699">
        <v>676.41</v>
      </c>
      <c r="Q692" s="701">
        <v>1</v>
      </c>
      <c r="R692" s="696">
        <v>7</v>
      </c>
      <c r="S692" s="701">
        <v>1</v>
      </c>
      <c r="T692" s="700">
        <v>2</v>
      </c>
      <c r="U692" s="702">
        <v>1</v>
      </c>
    </row>
    <row r="693" spans="1:21" ht="14.4" customHeight="1" x14ac:dyDescent="0.3">
      <c r="A693" s="695">
        <v>7</v>
      </c>
      <c r="B693" s="696" t="s">
        <v>1978</v>
      </c>
      <c r="C693" s="696">
        <v>89301074</v>
      </c>
      <c r="D693" s="697" t="s">
        <v>3238</v>
      </c>
      <c r="E693" s="698" t="s">
        <v>2159</v>
      </c>
      <c r="F693" s="696" t="s">
        <v>2133</v>
      </c>
      <c r="G693" s="696" t="s">
        <v>2233</v>
      </c>
      <c r="H693" s="696" t="s">
        <v>547</v>
      </c>
      <c r="I693" s="696" t="s">
        <v>2234</v>
      </c>
      <c r="J693" s="696" t="s">
        <v>2235</v>
      </c>
      <c r="K693" s="696" t="s">
        <v>2236</v>
      </c>
      <c r="L693" s="699">
        <v>96.63</v>
      </c>
      <c r="M693" s="699">
        <v>193.26</v>
      </c>
      <c r="N693" s="696">
        <v>2</v>
      </c>
      <c r="O693" s="700">
        <v>1.5</v>
      </c>
      <c r="P693" s="699"/>
      <c r="Q693" s="701">
        <v>0</v>
      </c>
      <c r="R693" s="696"/>
      <c r="S693" s="701">
        <v>0</v>
      </c>
      <c r="T693" s="700"/>
      <c r="U693" s="702">
        <v>0</v>
      </c>
    </row>
    <row r="694" spans="1:21" ht="14.4" customHeight="1" x14ac:dyDescent="0.3">
      <c r="A694" s="695">
        <v>7</v>
      </c>
      <c r="B694" s="696" t="s">
        <v>1978</v>
      </c>
      <c r="C694" s="696">
        <v>89301074</v>
      </c>
      <c r="D694" s="697" t="s">
        <v>3238</v>
      </c>
      <c r="E694" s="698" t="s">
        <v>2159</v>
      </c>
      <c r="F694" s="696" t="s">
        <v>2133</v>
      </c>
      <c r="G694" s="696" t="s">
        <v>2233</v>
      </c>
      <c r="H694" s="696" t="s">
        <v>547</v>
      </c>
      <c r="I694" s="696" t="s">
        <v>2917</v>
      </c>
      <c r="J694" s="696" t="s">
        <v>2918</v>
      </c>
      <c r="K694" s="696" t="s">
        <v>2919</v>
      </c>
      <c r="L694" s="699">
        <v>96.63</v>
      </c>
      <c r="M694" s="699">
        <v>193.26</v>
      </c>
      <c r="N694" s="696">
        <v>2</v>
      </c>
      <c r="O694" s="700">
        <v>1</v>
      </c>
      <c r="P694" s="699">
        <v>193.26</v>
      </c>
      <c r="Q694" s="701">
        <v>1</v>
      </c>
      <c r="R694" s="696">
        <v>2</v>
      </c>
      <c r="S694" s="701">
        <v>1</v>
      </c>
      <c r="T694" s="700">
        <v>1</v>
      </c>
      <c r="U694" s="702">
        <v>1</v>
      </c>
    </row>
    <row r="695" spans="1:21" ht="14.4" customHeight="1" x14ac:dyDescent="0.3">
      <c r="A695" s="695">
        <v>7</v>
      </c>
      <c r="B695" s="696" t="s">
        <v>1978</v>
      </c>
      <c r="C695" s="696">
        <v>89301074</v>
      </c>
      <c r="D695" s="697" t="s">
        <v>3238</v>
      </c>
      <c r="E695" s="698" t="s">
        <v>2159</v>
      </c>
      <c r="F695" s="696" t="s">
        <v>2133</v>
      </c>
      <c r="G695" s="696" t="s">
        <v>2734</v>
      </c>
      <c r="H695" s="696" t="s">
        <v>547</v>
      </c>
      <c r="I695" s="696" t="s">
        <v>2735</v>
      </c>
      <c r="J695" s="696" t="s">
        <v>2736</v>
      </c>
      <c r="K695" s="696" t="s">
        <v>2737</v>
      </c>
      <c r="L695" s="699">
        <v>1753.54</v>
      </c>
      <c r="M695" s="699">
        <v>5260.62</v>
      </c>
      <c r="N695" s="696">
        <v>3</v>
      </c>
      <c r="O695" s="700">
        <v>1</v>
      </c>
      <c r="P695" s="699"/>
      <c r="Q695" s="701">
        <v>0</v>
      </c>
      <c r="R695" s="696"/>
      <c r="S695" s="701">
        <v>0</v>
      </c>
      <c r="T695" s="700"/>
      <c r="U695" s="702">
        <v>0</v>
      </c>
    </row>
    <row r="696" spans="1:21" ht="14.4" customHeight="1" x14ac:dyDescent="0.3">
      <c r="A696" s="695">
        <v>7</v>
      </c>
      <c r="B696" s="696" t="s">
        <v>1978</v>
      </c>
      <c r="C696" s="696">
        <v>89301074</v>
      </c>
      <c r="D696" s="697" t="s">
        <v>3238</v>
      </c>
      <c r="E696" s="698" t="s">
        <v>2159</v>
      </c>
      <c r="F696" s="696" t="s">
        <v>2133</v>
      </c>
      <c r="G696" s="696" t="s">
        <v>2734</v>
      </c>
      <c r="H696" s="696" t="s">
        <v>547</v>
      </c>
      <c r="I696" s="696" t="s">
        <v>2738</v>
      </c>
      <c r="J696" s="696" t="s">
        <v>2736</v>
      </c>
      <c r="K696" s="696" t="s">
        <v>2739</v>
      </c>
      <c r="L696" s="699">
        <v>3507.07</v>
      </c>
      <c r="M696" s="699">
        <v>140282.80000000002</v>
      </c>
      <c r="N696" s="696">
        <v>40</v>
      </c>
      <c r="O696" s="700">
        <v>14</v>
      </c>
      <c r="P696" s="699">
        <v>91183.820000000022</v>
      </c>
      <c r="Q696" s="701">
        <v>0.65</v>
      </c>
      <c r="R696" s="696">
        <v>26</v>
      </c>
      <c r="S696" s="701">
        <v>0.65</v>
      </c>
      <c r="T696" s="700">
        <v>8</v>
      </c>
      <c r="U696" s="702">
        <v>0.5714285714285714</v>
      </c>
    </row>
    <row r="697" spans="1:21" ht="14.4" customHeight="1" x14ac:dyDescent="0.3">
      <c r="A697" s="695">
        <v>7</v>
      </c>
      <c r="B697" s="696" t="s">
        <v>1978</v>
      </c>
      <c r="C697" s="696">
        <v>89301074</v>
      </c>
      <c r="D697" s="697" t="s">
        <v>3238</v>
      </c>
      <c r="E697" s="698" t="s">
        <v>2159</v>
      </c>
      <c r="F697" s="696" t="s">
        <v>2133</v>
      </c>
      <c r="G697" s="696" t="s">
        <v>2734</v>
      </c>
      <c r="H697" s="696" t="s">
        <v>547</v>
      </c>
      <c r="I697" s="696" t="s">
        <v>2740</v>
      </c>
      <c r="J697" s="696" t="s">
        <v>2741</v>
      </c>
      <c r="K697" s="696" t="s">
        <v>2742</v>
      </c>
      <c r="L697" s="699">
        <v>474.91</v>
      </c>
      <c r="M697" s="699">
        <v>2849.46</v>
      </c>
      <c r="N697" s="696">
        <v>6</v>
      </c>
      <c r="O697" s="700">
        <v>2</v>
      </c>
      <c r="P697" s="699">
        <v>2849.46</v>
      </c>
      <c r="Q697" s="701">
        <v>1</v>
      </c>
      <c r="R697" s="696">
        <v>6</v>
      </c>
      <c r="S697" s="701">
        <v>1</v>
      </c>
      <c r="T697" s="700">
        <v>2</v>
      </c>
      <c r="U697" s="702">
        <v>1</v>
      </c>
    </row>
    <row r="698" spans="1:21" ht="14.4" customHeight="1" x14ac:dyDescent="0.3">
      <c r="A698" s="695">
        <v>7</v>
      </c>
      <c r="B698" s="696" t="s">
        <v>1978</v>
      </c>
      <c r="C698" s="696">
        <v>89301074</v>
      </c>
      <c r="D698" s="697" t="s">
        <v>3238</v>
      </c>
      <c r="E698" s="698" t="s">
        <v>2159</v>
      </c>
      <c r="F698" s="696" t="s">
        <v>2133</v>
      </c>
      <c r="G698" s="696" t="s">
        <v>2734</v>
      </c>
      <c r="H698" s="696" t="s">
        <v>547</v>
      </c>
      <c r="I698" s="696" t="s">
        <v>2920</v>
      </c>
      <c r="J698" s="696" t="s">
        <v>2741</v>
      </c>
      <c r="K698" s="696" t="s">
        <v>2921</v>
      </c>
      <c r="L698" s="699">
        <v>949.83</v>
      </c>
      <c r="M698" s="699">
        <v>18996.600000000002</v>
      </c>
      <c r="N698" s="696">
        <v>20</v>
      </c>
      <c r="O698" s="700">
        <v>7</v>
      </c>
      <c r="P698" s="699">
        <v>12347.79</v>
      </c>
      <c r="Q698" s="701">
        <v>0.65</v>
      </c>
      <c r="R698" s="696">
        <v>13</v>
      </c>
      <c r="S698" s="701">
        <v>0.65</v>
      </c>
      <c r="T698" s="700">
        <v>5</v>
      </c>
      <c r="U698" s="702">
        <v>0.7142857142857143</v>
      </c>
    </row>
    <row r="699" spans="1:21" ht="14.4" customHeight="1" x14ac:dyDescent="0.3">
      <c r="A699" s="695">
        <v>7</v>
      </c>
      <c r="B699" s="696" t="s">
        <v>1978</v>
      </c>
      <c r="C699" s="696">
        <v>89301074</v>
      </c>
      <c r="D699" s="697" t="s">
        <v>3238</v>
      </c>
      <c r="E699" s="698" t="s">
        <v>2159</v>
      </c>
      <c r="F699" s="696" t="s">
        <v>2133</v>
      </c>
      <c r="G699" s="696" t="s">
        <v>2734</v>
      </c>
      <c r="H699" s="696" t="s">
        <v>547</v>
      </c>
      <c r="I699" s="696" t="s">
        <v>2922</v>
      </c>
      <c r="J699" s="696" t="s">
        <v>2923</v>
      </c>
      <c r="K699" s="696" t="s">
        <v>2924</v>
      </c>
      <c r="L699" s="699">
        <v>305.12</v>
      </c>
      <c r="M699" s="699">
        <v>1830.72</v>
      </c>
      <c r="N699" s="696">
        <v>6</v>
      </c>
      <c r="O699" s="700">
        <v>1</v>
      </c>
      <c r="P699" s="699">
        <v>1830.72</v>
      </c>
      <c r="Q699" s="701">
        <v>1</v>
      </c>
      <c r="R699" s="696">
        <v>6</v>
      </c>
      <c r="S699" s="701">
        <v>1</v>
      </c>
      <c r="T699" s="700">
        <v>1</v>
      </c>
      <c r="U699" s="702">
        <v>1</v>
      </c>
    </row>
    <row r="700" spans="1:21" ht="14.4" customHeight="1" x14ac:dyDescent="0.3">
      <c r="A700" s="695">
        <v>7</v>
      </c>
      <c r="B700" s="696" t="s">
        <v>1978</v>
      </c>
      <c r="C700" s="696">
        <v>89301074</v>
      </c>
      <c r="D700" s="697" t="s">
        <v>3238</v>
      </c>
      <c r="E700" s="698" t="s">
        <v>2159</v>
      </c>
      <c r="F700" s="696" t="s">
        <v>2133</v>
      </c>
      <c r="G700" s="696" t="s">
        <v>2734</v>
      </c>
      <c r="H700" s="696" t="s">
        <v>547</v>
      </c>
      <c r="I700" s="696" t="s">
        <v>3119</v>
      </c>
      <c r="J700" s="696" t="s">
        <v>2923</v>
      </c>
      <c r="K700" s="696" t="s">
        <v>3052</v>
      </c>
      <c r="L700" s="699">
        <v>610.23</v>
      </c>
      <c r="M700" s="699">
        <v>610.23</v>
      </c>
      <c r="N700" s="696">
        <v>1</v>
      </c>
      <c r="O700" s="700">
        <v>1</v>
      </c>
      <c r="P700" s="699">
        <v>610.23</v>
      </c>
      <c r="Q700" s="701">
        <v>1</v>
      </c>
      <c r="R700" s="696">
        <v>1</v>
      </c>
      <c r="S700" s="701">
        <v>1</v>
      </c>
      <c r="T700" s="700">
        <v>1</v>
      </c>
      <c r="U700" s="702">
        <v>1</v>
      </c>
    </row>
    <row r="701" spans="1:21" ht="14.4" customHeight="1" x14ac:dyDescent="0.3">
      <c r="A701" s="695">
        <v>7</v>
      </c>
      <c r="B701" s="696" t="s">
        <v>1978</v>
      </c>
      <c r="C701" s="696">
        <v>89301074</v>
      </c>
      <c r="D701" s="697" t="s">
        <v>3238</v>
      </c>
      <c r="E701" s="698" t="s">
        <v>2159</v>
      </c>
      <c r="F701" s="696" t="s">
        <v>2133</v>
      </c>
      <c r="G701" s="696" t="s">
        <v>2734</v>
      </c>
      <c r="H701" s="696" t="s">
        <v>547</v>
      </c>
      <c r="I701" s="696" t="s">
        <v>2743</v>
      </c>
      <c r="J701" s="696" t="s">
        <v>2744</v>
      </c>
      <c r="K701" s="696" t="s">
        <v>2745</v>
      </c>
      <c r="L701" s="699">
        <v>876.77</v>
      </c>
      <c r="M701" s="699">
        <v>19288.939999999999</v>
      </c>
      <c r="N701" s="696">
        <v>22</v>
      </c>
      <c r="O701" s="700">
        <v>6</v>
      </c>
      <c r="P701" s="699">
        <v>13151.55</v>
      </c>
      <c r="Q701" s="701">
        <v>0.68181818181818188</v>
      </c>
      <c r="R701" s="696">
        <v>15</v>
      </c>
      <c r="S701" s="701">
        <v>0.68181818181818177</v>
      </c>
      <c r="T701" s="700">
        <v>3</v>
      </c>
      <c r="U701" s="702">
        <v>0.5</v>
      </c>
    </row>
    <row r="702" spans="1:21" ht="14.4" customHeight="1" x14ac:dyDescent="0.3">
      <c r="A702" s="695">
        <v>7</v>
      </c>
      <c r="B702" s="696" t="s">
        <v>1978</v>
      </c>
      <c r="C702" s="696">
        <v>89301074</v>
      </c>
      <c r="D702" s="697" t="s">
        <v>3238</v>
      </c>
      <c r="E702" s="698" t="s">
        <v>2159</v>
      </c>
      <c r="F702" s="696" t="s">
        <v>2133</v>
      </c>
      <c r="G702" s="696" t="s">
        <v>2734</v>
      </c>
      <c r="H702" s="696" t="s">
        <v>547</v>
      </c>
      <c r="I702" s="696" t="s">
        <v>3048</v>
      </c>
      <c r="J702" s="696" t="s">
        <v>2744</v>
      </c>
      <c r="K702" s="696" t="s">
        <v>3049</v>
      </c>
      <c r="L702" s="699">
        <v>1753.54</v>
      </c>
      <c r="M702" s="699">
        <v>87677.000000000015</v>
      </c>
      <c r="N702" s="696">
        <v>50</v>
      </c>
      <c r="O702" s="700">
        <v>18</v>
      </c>
      <c r="P702" s="699">
        <v>71895.140000000014</v>
      </c>
      <c r="Q702" s="701">
        <v>0.82000000000000006</v>
      </c>
      <c r="R702" s="696">
        <v>41</v>
      </c>
      <c r="S702" s="701">
        <v>0.82</v>
      </c>
      <c r="T702" s="700">
        <v>14</v>
      </c>
      <c r="U702" s="702">
        <v>0.77777777777777779</v>
      </c>
    </row>
    <row r="703" spans="1:21" ht="14.4" customHeight="1" x14ac:dyDescent="0.3">
      <c r="A703" s="695">
        <v>7</v>
      </c>
      <c r="B703" s="696" t="s">
        <v>1978</v>
      </c>
      <c r="C703" s="696">
        <v>89301074</v>
      </c>
      <c r="D703" s="697" t="s">
        <v>3238</v>
      </c>
      <c r="E703" s="698" t="s">
        <v>2159</v>
      </c>
      <c r="F703" s="696" t="s">
        <v>2133</v>
      </c>
      <c r="G703" s="696" t="s">
        <v>2734</v>
      </c>
      <c r="H703" s="696" t="s">
        <v>547</v>
      </c>
      <c r="I703" s="696" t="s">
        <v>3170</v>
      </c>
      <c r="J703" s="696" t="s">
        <v>3171</v>
      </c>
      <c r="K703" s="696" t="s">
        <v>3049</v>
      </c>
      <c r="L703" s="699">
        <v>1753.54</v>
      </c>
      <c r="M703" s="699">
        <v>3507.08</v>
      </c>
      <c r="N703" s="696">
        <v>2</v>
      </c>
      <c r="O703" s="700">
        <v>1</v>
      </c>
      <c r="P703" s="699"/>
      <c r="Q703" s="701">
        <v>0</v>
      </c>
      <c r="R703" s="696"/>
      <c r="S703" s="701">
        <v>0</v>
      </c>
      <c r="T703" s="700"/>
      <c r="U703" s="702">
        <v>0</v>
      </c>
    </row>
    <row r="704" spans="1:21" ht="14.4" customHeight="1" x14ac:dyDescent="0.3">
      <c r="A704" s="695">
        <v>7</v>
      </c>
      <c r="B704" s="696" t="s">
        <v>1978</v>
      </c>
      <c r="C704" s="696">
        <v>89301074</v>
      </c>
      <c r="D704" s="697" t="s">
        <v>3238</v>
      </c>
      <c r="E704" s="698" t="s">
        <v>2159</v>
      </c>
      <c r="F704" s="696" t="s">
        <v>2133</v>
      </c>
      <c r="G704" s="696" t="s">
        <v>2734</v>
      </c>
      <c r="H704" s="696" t="s">
        <v>547</v>
      </c>
      <c r="I704" s="696" t="s">
        <v>2925</v>
      </c>
      <c r="J704" s="696" t="s">
        <v>2926</v>
      </c>
      <c r="K704" s="696" t="s">
        <v>2742</v>
      </c>
      <c r="L704" s="699">
        <v>474.91</v>
      </c>
      <c r="M704" s="699">
        <v>1899.64</v>
      </c>
      <c r="N704" s="696">
        <v>4</v>
      </c>
      <c r="O704" s="700">
        <v>2</v>
      </c>
      <c r="P704" s="699"/>
      <c r="Q704" s="701">
        <v>0</v>
      </c>
      <c r="R704" s="696"/>
      <c r="S704" s="701">
        <v>0</v>
      </c>
      <c r="T704" s="700"/>
      <c r="U704" s="702">
        <v>0</v>
      </c>
    </row>
    <row r="705" spans="1:21" ht="14.4" customHeight="1" x14ac:dyDescent="0.3">
      <c r="A705" s="695">
        <v>7</v>
      </c>
      <c r="B705" s="696" t="s">
        <v>1978</v>
      </c>
      <c r="C705" s="696">
        <v>89301074</v>
      </c>
      <c r="D705" s="697" t="s">
        <v>3238</v>
      </c>
      <c r="E705" s="698" t="s">
        <v>2159</v>
      </c>
      <c r="F705" s="696" t="s">
        <v>2133</v>
      </c>
      <c r="G705" s="696" t="s">
        <v>2734</v>
      </c>
      <c r="H705" s="696" t="s">
        <v>547</v>
      </c>
      <c r="I705" s="696" t="s">
        <v>3172</v>
      </c>
      <c r="J705" s="696" t="s">
        <v>2926</v>
      </c>
      <c r="K705" s="696" t="s">
        <v>2742</v>
      </c>
      <c r="L705" s="699">
        <v>474.91</v>
      </c>
      <c r="M705" s="699">
        <v>1899.64</v>
      </c>
      <c r="N705" s="696">
        <v>4</v>
      </c>
      <c r="O705" s="700">
        <v>2</v>
      </c>
      <c r="P705" s="699">
        <v>474.91</v>
      </c>
      <c r="Q705" s="701">
        <v>0.25</v>
      </c>
      <c r="R705" s="696">
        <v>1</v>
      </c>
      <c r="S705" s="701">
        <v>0.25</v>
      </c>
      <c r="T705" s="700">
        <v>1</v>
      </c>
      <c r="U705" s="702">
        <v>0.5</v>
      </c>
    </row>
    <row r="706" spans="1:21" ht="14.4" customHeight="1" x14ac:dyDescent="0.3">
      <c r="A706" s="695">
        <v>7</v>
      </c>
      <c r="B706" s="696" t="s">
        <v>1978</v>
      </c>
      <c r="C706" s="696">
        <v>89301074</v>
      </c>
      <c r="D706" s="697" t="s">
        <v>3238</v>
      </c>
      <c r="E706" s="698" t="s">
        <v>2159</v>
      </c>
      <c r="F706" s="696" t="s">
        <v>2133</v>
      </c>
      <c r="G706" s="696" t="s">
        <v>2734</v>
      </c>
      <c r="H706" s="696" t="s">
        <v>547</v>
      </c>
      <c r="I706" s="696" t="s">
        <v>2927</v>
      </c>
      <c r="J706" s="696" t="s">
        <v>2928</v>
      </c>
      <c r="K706" s="696" t="s">
        <v>2745</v>
      </c>
      <c r="L706" s="699">
        <v>876.77</v>
      </c>
      <c r="M706" s="699">
        <v>5260.62</v>
      </c>
      <c r="N706" s="696">
        <v>6</v>
      </c>
      <c r="O706" s="700">
        <v>1</v>
      </c>
      <c r="P706" s="699"/>
      <c r="Q706" s="701">
        <v>0</v>
      </c>
      <c r="R706" s="696"/>
      <c r="S706" s="701">
        <v>0</v>
      </c>
      <c r="T706" s="700"/>
      <c r="U706" s="702">
        <v>0</v>
      </c>
    </row>
    <row r="707" spans="1:21" ht="14.4" customHeight="1" x14ac:dyDescent="0.3">
      <c r="A707" s="695">
        <v>7</v>
      </c>
      <c r="B707" s="696" t="s">
        <v>1978</v>
      </c>
      <c r="C707" s="696">
        <v>89301074</v>
      </c>
      <c r="D707" s="697" t="s">
        <v>3238</v>
      </c>
      <c r="E707" s="698" t="s">
        <v>2159</v>
      </c>
      <c r="F707" s="696" t="s">
        <v>2133</v>
      </c>
      <c r="G707" s="696" t="s">
        <v>2734</v>
      </c>
      <c r="H707" s="696" t="s">
        <v>547</v>
      </c>
      <c r="I707" s="696" t="s">
        <v>3173</v>
      </c>
      <c r="J707" s="696" t="s">
        <v>2928</v>
      </c>
      <c r="K707" s="696" t="s">
        <v>3049</v>
      </c>
      <c r="L707" s="699">
        <v>1753.54</v>
      </c>
      <c r="M707" s="699">
        <v>5260.62</v>
      </c>
      <c r="N707" s="696">
        <v>3</v>
      </c>
      <c r="O707" s="700">
        <v>1</v>
      </c>
      <c r="P707" s="699"/>
      <c r="Q707" s="701">
        <v>0</v>
      </c>
      <c r="R707" s="696"/>
      <c r="S707" s="701">
        <v>0</v>
      </c>
      <c r="T707" s="700"/>
      <c r="U707" s="702">
        <v>0</v>
      </c>
    </row>
    <row r="708" spans="1:21" ht="14.4" customHeight="1" x14ac:dyDescent="0.3">
      <c r="A708" s="695">
        <v>7</v>
      </c>
      <c r="B708" s="696" t="s">
        <v>1978</v>
      </c>
      <c r="C708" s="696">
        <v>89301074</v>
      </c>
      <c r="D708" s="697" t="s">
        <v>3238</v>
      </c>
      <c r="E708" s="698" t="s">
        <v>2159</v>
      </c>
      <c r="F708" s="696" t="s">
        <v>2133</v>
      </c>
      <c r="G708" s="696" t="s">
        <v>2734</v>
      </c>
      <c r="H708" s="696" t="s">
        <v>547</v>
      </c>
      <c r="I708" s="696" t="s">
        <v>3174</v>
      </c>
      <c r="J708" s="696" t="s">
        <v>2928</v>
      </c>
      <c r="K708" s="696" t="s">
        <v>2745</v>
      </c>
      <c r="L708" s="699">
        <v>876.77</v>
      </c>
      <c r="M708" s="699">
        <v>9644.4699999999993</v>
      </c>
      <c r="N708" s="696">
        <v>11</v>
      </c>
      <c r="O708" s="700">
        <v>3</v>
      </c>
      <c r="P708" s="699"/>
      <c r="Q708" s="701">
        <v>0</v>
      </c>
      <c r="R708" s="696"/>
      <c r="S708" s="701">
        <v>0</v>
      </c>
      <c r="T708" s="700"/>
      <c r="U708" s="702">
        <v>0</v>
      </c>
    </row>
    <row r="709" spans="1:21" ht="14.4" customHeight="1" x14ac:dyDescent="0.3">
      <c r="A709" s="695">
        <v>7</v>
      </c>
      <c r="B709" s="696" t="s">
        <v>1978</v>
      </c>
      <c r="C709" s="696">
        <v>89301074</v>
      </c>
      <c r="D709" s="697" t="s">
        <v>3238</v>
      </c>
      <c r="E709" s="698" t="s">
        <v>2159</v>
      </c>
      <c r="F709" s="696" t="s">
        <v>2133</v>
      </c>
      <c r="G709" s="696" t="s">
        <v>2734</v>
      </c>
      <c r="H709" s="696" t="s">
        <v>547</v>
      </c>
      <c r="I709" s="696" t="s">
        <v>3175</v>
      </c>
      <c r="J709" s="696" t="s">
        <v>3057</v>
      </c>
      <c r="K709" s="696" t="s">
        <v>2921</v>
      </c>
      <c r="L709" s="699">
        <v>949.83</v>
      </c>
      <c r="M709" s="699">
        <v>1899.66</v>
      </c>
      <c r="N709" s="696">
        <v>2</v>
      </c>
      <c r="O709" s="700">
        <v>1</v>
      </c>
      <c r="P709" s="699">
        <v>1899.66</v>
      </c>
      <c r="Q709" s="701">
        <v>1</v>
      </c>
      <c r="R709" s="696">
        <v>2</v>
      </c>
      <c r="S709" s="701">
        <v>1</v>
      </c>
      <c r="T709" s="700">
        <v>1</v>
      </c>
      <c r="U709" s="702">
        <v>1</v>
      </c>
    </row>
    <row r="710" spans="1:21" ht="14.4" customHeight="1" x14ac:dyDescent="0.3">
      <c r="A710" s="695">
        <v>7</v>
      </c>
      <c r="B710" s="696" t="s">
        <v>1978</v>
      </c>
      <c r="C710" s="696">
        <v>89301074</v>
      </c>
      <c r="D710" s="697" t="s">
        <v>3238</v>
      </c>
      <c r="E710" s="698" t="s">
        <v>2159</v>
      </c>
      <c r="F710" s="696" t="s">
        <v>2133</v>
      </c>
      <c r="G710" s="696" t="s">
        <v>2748</v>
      </c>
      <c r="H710" s="696" t="s">
        <v>547</v>
      </c>
      <c r="I710" s="696" t="s">
        <v>2749</v>
      </c>
      <c r="J710" s="696" t="s">
        <v>2750</v>
      </c>
      <c r="K710" s="696" t="s">
        <v>2751</v>
      </c>
      <c r="L710" s="699">
        <v>1163.02</v>
      </c>
      <c r="M710" s="699">
        <v>5815.1</v>
      </c>
      <c r="N710" s="696">
        <v>5</v>
      </c>
      <c r="O710" s="700">
        <v>3</v>
      </c>
      <c r="P710" s="699">
        <v>5815.1</v>
      </c>
      <c r="Q710" s="701">
        <v>1</v>
      </c>
      <c r="R710" s="696">
        <v>5</v>
      </c>
      <c r="S710" s="701">
        <v>1</v>
      </c>
      <c r="T710" s="700">
        <v>3</v>
      </c>
      <c r="U710" s="702">
        <v>1</v>
      </c>
    </row>
    <row r="711" spans="1:21" ht="14.4" customHeight="1" x14ac:dyDescent="0.3">
      <c r="A711" s="695">
        <v>7</v>
      </c>
      <c r="B711" s="696" t="s">
        <v>1978</v>
      </c>
      <c r="C711" s="696">
        <v>89301074</v>
      </c>
      <c r="D711" s="697" t="s">
        <v>3238</v>
      </c>
      <c r="E711" s="698" t="s">
        <v>2159</v>
      </c>
      <c r="F711" s="696" t="s">
        <v>2133</v>
      </c>
      <c r="G711" s="696" t="s">
        <v>2748</v>
      </c>
      <c r="H711" s="696" t="s">
        <v>547</v>
      </c>
      <c r="I711" s="696" t="s">
        <v>2752</v>
      </c>
      <c r="J711" s="696" t="s">
        <v>2753</v>
      </c>
      <c r="K711" s="696" t="s">
        <v>2754</v>
      </c>
      <c r="L711" s="699">
        <v>2243.6799999999998</v>
      </c>
      <c r="M711" s="699">
        <v>29167.839999999997</v>
      </c>
      <c r="N711" s="696">
        <v>13</v>
      </c>
      <c r="O711" s="700">
        <v>5</v>
      </c>
      <c r="P711" s="699">
        <v>2243.6799999999998</v>
      </c>
      <c r="Q711" s="701">
        <v>7.6923076923076927E-2</v>
      </c>
      <c r="R711" s="696">
        <v>1</v>
      </c>
      <c r="S711" s="701">
        <v>7.6923076923076927E-2</v>
      </c>
      <c r="T711" s="700">
        <v>1</v>
      </c>
      <c r="U711" s="702">
        <v>0.2</v>
      </c>
    </row>
    <row r="712" spans="1:21" ht="14.4" customHeight="1" x14ac:dyDescent="0.3">
      <c r="A712" s="695">
        <v>7</v>
      </c>
      <c r="B712" s="696" t="s">
        <v>1978</v>
      </c>
      <c r="C712" s="696">
        <v>89301074</v>
      </c>
      <c r="D712" s="697" t="s">
        <v>3238</v>
      </c>
      <c r="E712" s="698" t="s">
        <v>2159</v>
      </c>
      <c r="F712" s="696" t="s">
        <v>2133</v>
      </c>
      <c r="G712" s="696" t="s">
        <v>2748</v>
      </c>
      <c r="H712" s="696" t="s">
        <v>547</v>
      </c>
      <c r="I712" s="696" t="s">
        <v>2755</v>
      </c>
      <c r="J712" s="696" t="s">
        <v>2756</v>
      </c>
      <c r="K712" s="696" t="s">
        <v>2757</v>
      </c>
      <c r="L712" s="699">
        <v>3858.27</v>
      </c>
      <c r="M712" s="699">
        <v>92598.48</v>
      </c>
      <c r="N712" s="696">
        <v>24</v>
      </c>
      <c r="O712" s="700">
        <v>7</v>
      </c>
      <c r="P712" s="699"/>
      <c r="Q712" s="701">
        <v>0</v>
      </c>
      <c r="R712" s="696"/>
      <c r="S712" s="701">
        <v>0</v>
      </c>
      <c r="T712" s="700"/>
      <c r="U712" s="702">
        <v>0</v>
      </c>
    </row>
    <row r="713" spans="1:21" ht="14.4" customHeight="1" x14ac:dyDescent="0.3">
      <c r="A713" s="695">
        <v>7</v>
      </c>
      <c r="B713" s="696" t="s">
        <v>1978</v>
      </c>
      <c r="C713" s="696">
        <v>89301074</v>
      </c>
      <c r="D713" s="697" t="s">
        <v>3238</v>
      </c>
      <c r="E713" s="698" t="s">
        <v>2159</v>
      </c>
      <c r="F713" s="696" t="s">
        <v>2133</v>
      </c>
      <c r="G713" s="696" t="s">
        <v>2237</v>
      </c>
      <c r="H713" s="696" t="s">
        <v>547</v>
      </c>
      <c r="I713" s="696" t="s">
        <v>3176</v>
      </c>
      <c r="J713" s="696" t="s">
        <v>3177</v>
      </c>
      <c r="K713" s="696" t="s">
        <v>2765</v>
      </c>
      <c r="L713" s="699">
        <v>45.34</v>
      </c>
      <c r="M713" s="699">
        <v>544.08000000000004</v>
      </c>
      <c r="N713" s="696">
        <v>12</v>
      </c>
      <c r="O713" s="700">
        <v>1.5</v>
      </c>
      <c r="P713" s="699"/>
      <c r="Q713" s="701">
        <v>0</v>
      </c>
      <c r="R713" s="696"/>
      <c r="S713" s="701">
        <v>0</v>
      </c>
      <c r="T713" s="700"/>
      <c r="U713" s="702">
        <v>0</v>
      </c>
    </row>
    <row r="714" spans="1:21" ht="14.4" customHeight="1" x14ac:dyDescent="0.3">
      <c r="A714" s="695">
        <v>7</v>
      </c>
      <c r="B714" s="696" t="s">
        <v>1978</v>
      </c>
      <c r="C714" s="696">
        <v>89301074</v>
      </c>
      <c r="D714" s="697" t="s">
        <v>3238</v>
      </c>
      <c r="E714" s="698" t="s">
        <v>2159</v>
      </c>
      <c r="F714" s="696" t="s">
        <v>2133</v>
      </c>
      <c r="G714" s="696" t="s">
        <v>2271</v>
      </c>
      <c r="H714" s="696" t="s">
        <v>547</v>
      </c>
      <c r="I714" s="696" t="s">
        <v>2766</v>
      </c>
      <c r="J714" s="696" t="s">
        <v>2767</v>
      </c>
      <c r="K714" s="696" t="s">
        <v>2768</v>
      </c>
      <c r="L714" s="699">
        <v>22.88</v>
      </c>
      <c r="M714" s="699">
        <v>68.64</v>
      </c>
      <c r="N714" s="696">
        <v>3</v>
      </c>
      <c r="O714" s="700">
        <v>1</v>
      </c>
      <c r="P714" s="699">
        <v>68.64</v>
      </c>
      <c r="Q714" s="701">
        <v>1</v>
      </c>
      <c r="R714" s="696">
        <v>3</v>
      </c>
      <c r="S714" s="701">
        <v>1</v>
      </c>
      <c r="T714" s="700">
        <v>1</v>
      </c>
      <c r="U714" s="702">
        <v>1</v>
      </c>
    </row>
    <row r="715" spans="1:21" ht="14.4" customHeight="1" x14ac:dyDescent="0.3">
      <c r="A715" s="695">
        <v>7</v>
      </c>
      <c r="B715" s="696" t="s">
        <v>1978</v>
      </c>
      <c r="C715" s="696">
        <v>89301074</v>
      </c>
      <c r="D715" s="697" t="s">
        <v>3238</v>
      </c>
      <c r="E715" s="698" t="s">
        <v>2159</v>
      </c>
      <c r="F715" s="696" t="s">
        <v>2133</v>
      </c>
      <c r="G715" s="696" t="s">
        <v>2769</v>
      </c>
      <c r="H715" s="696" t="s">
        <v>1438</v>
      </c>
      <c r="I715" s="696" t="s">
        <v>2770</v>
      </c>
      <c r="J715" s="696" t="s">
        <v>2771</v>
      </c>
      <c r="K715" s="696" t="s">
        <v>2772</v>
      </c>
      <c r="L715" s="699">
        <v>1344.66</v>
      </c>
      <c r="M715" s="699">
        <v>17480.580000000002</v>
      </c>
      <c r="N715" s="696">
        <v>13</v>
      </c>
      <c r="O715" s="700">
        <v>9.5</v>
      </c>
      <c r="P715" s="699">
        <v>8067.96</v>
      </c>
      <c r="Q715" s="701">
        <v>0.46153846153846151</v>
      </c>
      <c r="R715" s="696">
        <v>6</v>
      </c>
      <c r="S715" s="701">
        <v>0.46153846153846156</v>
      </c>
      <c r="T715" s="700">
        <v>3.5</v>
      </c>
      <c r="U715" s="702">
        <v>0.36842105263157893</v>
      </c>
    </row>
    <row r="716" spans="1:21" ht="14.4" customHeight="1" x14ac:dyDescent="0.3">
      <c r="A716" s="695">
        <v>7</v>
      </c>
      <c r="B716" s="696" t="s">
        <v>1978</v>
      </c>
      <c r="C716" s="696">
        <v>89301074</v>
      </c>
      <c r="D716" s="697" t="s">
        <v>3238</v>
      </c>
      <c r="E716" s="698" t="s">
        <v>2159</v>
      </c>
      <c r="F716" s="696" t="s">
        <v>2133</v>
      </c>
      <c r="G716" s="696" t="s">
        <v>2769</v>
      </c>
      <c r="H716" s="696" t="s">
        <v>1438</v>
      </c>
      <c r="I716" s="696" t="s">
        <v>2773</v>
      </c>
      <c r="J716" s="696" t="s">
        <v>2774</v>
      </c>
      <c r="K716" s="696" t="s">
        <v>2775</v>
      </c>
      <c r="L716" s="699">
        <v>1793.46</v>
      </c>
      <c r="M716" s="699">
        <v>55597.259999999995</v>
      </c>
      <c r="N716" s="696">
        <v>31</v>
      </c>
      <c r="O716" s="700">
        <v>10.5</v>
      </c>
      <c r="P716" s="699">
        <v>14347.679999999998</v>
      </c>
      <c r="Q716" s="701">
        <v>0.25806451612903225</v>
      </c>
      <c r="R716" s="696">
        <v>8</v>
      </c>
      <c r="S716" s="701">
        <v>0.25806451612903225</v>
      </c>
      <c r="T716" s="700">
        <v>4.5</v>
      </c>
      <c r="U716" s="702">
        <v>0.42857142857142855</v>
      </c>
    </row>
    <row r="717" spans="1:21" ht="14.4" customHeight="1" x14ac:dyDescent="0.3">
      <c r="A717" s="695">
        <v>7</v>
      </c>
      <c r="B717" s="696" t="s">
        <v>1978</v>
      </c>
      <c r="C717" s="696">
        <v>89301074</v>
      </c>
      <c r="D717" s="697" t="s">
        <v>3238</v>
      </c>
      <c r="E717" s="698" t="s">
        <v>2159</v>
      </c>
      <c r="F717" s="696" t="s">
        <v>2133</v>
      </c>
      <c r="G717" s="696" t="s">
        <v>3178</v>
      </c>
      <c r="H717" s="696" t="s">
        <v>547</v>
      </c>
      <c r="I717" s="696" t="s">
        <v>3179</v>
      </c>
      <c r="J717" s="696" t="s">
        <v>3180</v>
      </c>
      <c r="K717" s="696" t="s">
        <v>2129</v>
      </c>
      <c r="L717" s="699">
        <v>94.8</v>
      </c>
      <c r="M717" s="699">
        <v>94.8</v>
      </c>
      <c r="N717" s="696">
        <v>1</v>
      </c>
      <c r="O717" s="700">
        <v>1</v>
      </c>
      <c r="P717" s="699">
        <v>94.8</v>
      </c>
      <c r="Q717" s="701">
        <v>1</v>
      </c>
      <c r="R717" s="696">
        <v>1</v>
      </c>
      <c r="S717" s="701">
        <v>1</v>
      </c>
      <c r="T717" s="700">
        <v>1</v>
      </c>
      <c r="U717" s="702">
        <v>1</v>
      </c>
    </row>
    <row r="718" spans="1:21" ht="14.4" customHeight="1" x14ac:dyDescent="0.3">
      <c r="A718" s="695">
        <v>7</v>
      </c>
      <c r="B718" s="696" t="s">
        <v>1978</v>
      </c>
      <c r="C718" s="696">
        <v>89301074</v>
      </c>
      <c r="D718" s="697" t="s">
        <v>3238</v>
      </c>
      <c r="E718" s="698" t="s">
        <v>2159</v>
      </c>
      <c r="F718" s="696" t="s">
        <v>2133</v>
      </c>
      <c r="G718" s="696" t="s">
        <v>2198</v>
      </c>
      <c r="H718" s="696" t="s">
        <v>547</v>
      </c>
      <c r="I718" s="696" t="s">
        <v>742</v>
      </c>
      <c r="J718" s="696" t="s">
        <v>2199</v>
      </c>
      <c r="K718" s="696" t="s">
        <v>2200</v>
      </c>
      <c r="L718" s="699">
        <v>0</v>
      </c>
      <c r="M718" s="699">
        <v>0</v>
      </c>
      <c r="N718" s="696">
        <v>3</v>
      </c>
      <c r="O718" s="700">
        <v>1</v>
      </c>
      <c r="P718" s="699">
        <v>0</v>
      </c>
      <c r="Q718" s="701"/>
      <c r="R718" s="696">
        <v>3</v>
      </c>
      <c r="S718" s="701">
        <v>1</v>
      </c>
      <c r="T718" s="700">
        <v>1</v>
      </c>
      <c r="U718" s="702">
        <v>1</v>
      </c>
    </row>
    <row r="719" spans="1:21" ht="14.4" customHeight="1" x14ac:dyDescent="0.3">
      <c r="A719" s="695">
        <v>7</v>
      </c>
      <c r="B719" s="696" t="s">
        <v>1978</v>
      </c>
      <c r="C719" s="696">
        <v>89301074</v>
      </c>
      <c r="D719" s="697" t="s">
        <v>3238</v>
      </c>
      <c r="E719" s="698" t="s">
        <v>2159</v>
      </c>
      <c r="F719" s="696" t="s">
        <v>2133</v>
      </c>
      <c r="G719" s="696" t="s">
        <v>2278</v>
      </c>
      <c r="H719" s="696" t="s">
        <v>547</v>
      </c>
      <c r="I719" s="696" t="s">
        <v>3181</v>
      </c>
      <c r="J719" s="696" t="s">
        <v>3182</v>
      </c>
      <c r="K719" s="696" t="s">
        <v>3183</v>
      </c>
      <c r="L719" s="699">
        <v>126.26</v>
      </c>
      <c r="M719" s="699">
        <v>378.78000000000003</v>
      </c>
      <c r="N719" s="696">
        <v>3</v>
      </c>
      <c r="O719" s="700">
        <v>1</v>
      </c>
      <c r="P719" s="699"/>
      <c r="Q719" s="701">
        <v>0</v>
      </c>
      <c r="R719" s="696"/>
      <c r="S719" s="701">
        <v>0</v>
      </c>
      <c r="T719" s="700"/>
      <c r="U719" s="702">
        <v>0</v>
      </c>
    </row>
    <row r="720" spans="1:21" ht="14.4" customHeight="1" x14ac:dyDescent="0.3">
      <c r="A720" s="695">
        <v>7</v>
      </c>
      <c r="B720" s="696" t="s">
        <v>1978</v>
      </c>
      <c r="C720" s="696">
        <v>89301074</v>
      </c>
      <c r="D720" s="697" t="s">
        <v>3238</v>
      </c>
      <c r="E720" s="698" t="s">
        <v>2159</v>
      </c>
      <c r="F720" s="696" t="s">
        <v>2133</v>
      </c>
      <c r="G720" s="696" t="s">
        <v>2278</v>
      </c>
      <c r="H720" s="696" t="s">
        <v>1438</v>
      </c>
      <c r="I720" s="696" t="s">
        <v>3184</v>
      </c>
      <c r="J720" s="696" t="s">
        <v>3185</v>
      </c>
      <c r="K720" s="696" t="s">
        <v>2281</v>
      </c>
      <c r="L720" s="699">
        <v>0</v>
      </c>
      <c r="M720" s="699">
        <v>0</v>
      </c>
      <c r="N720" s="696">
        <v>2</v>
      </c>
      <c r="O720" s="700">
        <v>0.5</v>
      </c>
      <c r="P720" s="699">
        <v>0</v>
      </c>
      <c r="Q720" s="701"/>
      <c r="R720" s="696">
        <v>2</v>
      </c>
      <c r="S720" s="701">
        <v>1</v>
      </c>
      <c r="T720" s="700">
        <v>0.5</v>
      </c>
      <c r="U720" s="702">
        <v>1</v>
      </c>
    </row>
    <row r="721" spans="1:21" ht="14.4" customHeight="1" x14ac:dyDescent="0.3">
      <c r="A721" s="695">
        <v>7</v>
      </c>
      <c r="B721" s="696" t="s">
        <v>1978</v>
      </c>
      <c r="C721" s="696">
        <v>89301074</v>
      </c>
      <c r="D721" s="697" t="s">
        <v>3238</v>
      </c>
      <c r="E721" s="698" t="s">
        <v>2159</v>
      </c>
      <c r="F721" s="696" t="s">
        <v>2133</v>
      </c>
      <c r="G721" s="696" t="s">
        <v>2278</v>
      </c>
      <c r="H721" s="696" t="s">
        <v>547</v>
      </c>
      <c r="I721" s="696" t="s">
        <v>3064</v>
      </c>
      <c r="J721" s="696" t="s">
        <v>2283</v>
      </c>
      <c r="K721" s="696" t="s">
        <v>3065</v>
      </c>
      <c r="L721" s="699">
        <v>0</v>
      </c>
      <c r="M721" s="699">
        <v>0</v>
      </c>
      <c r="N721" s="696">
        <v>1</v>
      </c>
      <c r="O721" s="700">
        <v>1</v>
      </c>
      <c r="P721" s="699">
        <v>0</v>
      </c>
      <c r="Q721" s="701"/>
      <c r="R721" s="696">
        <v>1</v>
      </c>
      <c r="S721" s="701">
        <v>1</v>
      </c>
      <c r="T721" s="700">
        <v>1</v>
      </c>
      <c r="U721" s="702">
        <v>1</v>
      </c>
    </row>
    <row r="722" spans="1:21" ht="14.4" customHeight="1" x14ac:dyDescent="0.3">
      <c r="A722" s="695">
        <v>7</v>
      </c>
      <c r="B722" s="696" t="s">
        <v>1978</v>
      </c>
      <c r="C722" s="696">
        <v>89301074</v>
      </c>
      <c r="D722" s="697" t="s">
        <v>3238</v>
      </c>
      <c r="E722" s="698" t="s">
        <v>2159</v>
      </c>
      <c r="F722" s="696" t="s">
        <v>2133</v>
      </c>
      <c r="G722" s="696" t="s">
        <v>2451</v>
      </c>
      <c r="H722" s="696" t="s">
        <v>547</v>
      </c>
      <c r="I722" s="696" t="s">
        <v>3186</v>
      </c>
      <c r="J722" s="696" t="s">
        <v>2780</v>
      </c>
      <c r="K722" s="696" t="s">
        <v>3187</v>
      </c>
      <c r="L722" s="699">
        <v>0</v>
      </c>
      <c r="M722" s="699">
        <v>0</v>
      </c>
      <c r="N722" s="696">
        <v>1</v>
      </c>
      <c r="O722" s="700">
        <v>1</v>
      </c>
      <c r="P722" s="699">
        <v>0</v>
      </c>
      <c r="Q722" s="701"/>
      <c r="R722" s="696">
        <v>1</v>
      </c>
      <c r="S722" s="701">
        <v>1</v>
      </c>
      <c r="T722" s="700">
        <v>1</v>
      </c>
      <c r="U722" s="702">
        <v>1</v>
      </c>
    </row>
    <row r="723" spans="1:21" ht="14.4" customHeight="1" x14ac:dyDescent="0.3">
      <c r="A723" s="695">
        <v>7</v>
      </c>
      <c r="B723" s="696" t="s">
        <v>1978</v>
      </c>
      <c r="C723" s="696">
        <v>89301074</v>
      </c>
      <c r="D723" s="697" t="s">
        <v>3238</v>
      </c>
      <c r="E723" s="698" t="s">
        <v>2159</v>
      </c>
      <c r="F723" s="696" t="s">
        <v>2133</v>
      </c>
      <c r="G723" s="696" t="s">
        <v>2451</v>
      </c>
      <c r="H723" s="696" t="s">
        <v>547</v>
      </c>
      <c r="I723" s="696" t="s">
        <v>3188</v>
      </c>
      <c r="J723" s="696" t="s">
        <v>3189</v>
      </c>
      <c r="K723" s="696" t="s">
        <v>3190</v>
      </c>
      <c r="L723" s="699">
        <v>610.23</v>
      </c>
      <c r="M723" s="699">
        <v>1220.46</v>
      </c>
      <c r="N723" s="696">
        <v>2</v>
      </c>
      <c r="O723" s="700">
        <v>2</v>
      </c>
      <c r="P723" s="699">
        <v>610.23</v>
      </c>
      <c r="Q723" s="701">
        <v>0.5</v>
      </c>
      <c r="R723" s="696">
        <v>1</v>
      </c>
      <c r="S723" s="701">
        <v>0.5</v>
      </c>
      <c r="T723" s="700">
        <v>1</v>
      </c>
      <c r="U723" s="702">
        <v>0.5</v>
      </c>
    </row>
    <row r="724" spans="1:21" ht="14.4" customHeight="1" x14ac:dyDescent="0.3">
      <c r="A724" s="695">
        <v>7</v>
      </c>
      <c r="B724" s="696" t="s">
        <v>1978</v>
      </c>
      <c r="C724" s="696">
        <v>89301074</v>
      </c>
      <c r="D724" s="697" t="s">
        <v>3238</v>
      </c>
      <c r="E724" s="698" t="s">
        <v>2159</v>
      </c>
      <c r="F724" s="696" t="s">
        <v>2133</v>
      </c>
      <c r="G724" s="696" t="s">
        <v>2451</v>
      </c>
      <c r="H724" s="696" t="s">
        <v>547</v>
      </c>
      <c r="I724" s="696" t="s">
        <v>3191</v>
      </c>
      <c r="J724" s="696" t="s">
        <v>3192</v>
      </c>
      <c r="K724" s="696" t="s">
        <v>3193</v>
      </c>
      <c r="L724" s="699">
        <v>949.83</v>
      </c>
      <c r="M724" s="699">
        <v>3799.32</v>
      </c>
      <c r="N724" s="696">
        <v>4</v>
      </c>
      <c r="O724" s="700">
        <v>2</v>
      </c>
      <c r="P724" s="699">
        <v>949.83</v>
      </c>
      <c r="Q724" s="701">
        <v>0.25</v>
      </c>
      <c r="R724" s="696">
        <v>1</v>
      </c>
      <c r="S724" s="701">
        <v>0.25</v>
      </c>
      <c r="T724" s="700">
        <v>1</v>
      </c>
      <c r="U724" s="702">
        <v>0.5</v>
      </c>
    </row>
    <row r="725" spans="1:21" ht="14.4" customHeight="1" x14ac:dyDescent="0.3">
      <c r="A725" s="695">
        <v>7</v>
      </c>
      <c r="B725" s="696" t="s">
        <v>1978</v>
      </c>
      <c r="C725" s="696">
        <v>89301074</v>
      </c>
      <c r="D725" s="697" t="s">
        <v>3238</v>
      </c>
      <c r="E725" s="698" t="s">
        <v>2159</v>
      </c>
      <c r="F725" s="696" t="s">
        <v>2133</v>
      </c>
      <c r="G725" s="696" t="s">
        <v>2451</v>
      </c>
      <c r="H725" s="696" t="s">
        <v>547</v>
      </c>
      <c r="I725" s="696" t="s">
        <v>2947</v>
      </c>
      <c r="J725" s="696" t="s">
        <v>2783</v>
      </c>
      <c r="K725" s="696" t="s">
        <v>2948</v>
      </c>
      <c r="L725" s="699">
        <v>1315.15</v>
      </c>
      <c r="M725" s="699">
        <v>3945.4500000000003</v>
      </c>
      <c r="N725" s="696">
        <v>3</v>
      </c>
      <c r="O725" s="700">
        <v>3</v>
      </c>
      <c r="P725" s="699">
        <v>3945.4500000000003</v>
      </c>
      <c r="Q725" s="701">
        <v>1</v>
      </c>
      <c r="R725" s="696">
        <v>3</v>
      </c>
      <c r="S725" s="701">
        <v>1</v>
      </c>
      <c r="T725" s="700">
        <v>3</v>
      </c>
      <c r="U725" s="702">
        <v>1</v>
      </c>
    </row>
    <row r="726" spans="1:21" ht="14.4" customHeight="1" x14ac:dyDescent="0.3">
      <c r="A726" s="695">
        <v>7</v>
      </c>
      <c r="B726" s="696" t="s">
        <v>1978</v>
      </c>
      <c r="C726" s="696">
        <v>89301074</v>
      </c>
      <c r="D726" s="697" t="s">
        <v>3238</v>
      </c>
      <c r="E726" s="698" t="s">
        <v>2159</v>
      </c>
      <c r="F726" s="696" t="s">
        <v>2133</v>
      </c>
      <c r="G726" s="696" t="s">
        <v>2451</v>
      </c>
      <c r="H726" s="696" t="s">
        <v>547</v>
      </c>
      <c r="I726" s="696" t="s">
        <v>2452</v>
      </c>
      <c r="J726" s="696" t="s">
        <v>2453</v>
      </c>
      <c r="K726" s="696" t="s">
        <v>2454</v>
      </c>
      <c r="L726" s="699">
        <v>1753.54</v>
      </c>
      <c r="M726" s="699">
        <v>17535.400000000001</v>
      </c>
      <c r="N726" s="696">
        <v>10</v>
      </c>
      <c r="O726" s="700">
        <v>9</v>
      </c>
      <c r="P726" s="699">
        <v>12274.780000000002</v>
      </c>
      <c r="Q726" s="701">
        <v>0.70000000000000007</v>
      </c>
      <c r="R726" s="696">
        <v>7</v>
      </c>
      <c r="S726" s="701">
        <v>0.7</v>
      </c>
      <c r="T726" s="700">
        <v>6</v>
      </c>
      <c r="U726" s="702">
        <v>0.66666666666666663</v>
      </c>
    </row>
    <row r="727" spans="1:21" ht="14.4" customHeight="1" x14ac:dyDescent="0.3">
      <c r="A727" s="695">
        <v>7</v>
      </c>
      <c r="B727" s="696" t="s">
        <v>1978</v>
      </c>
      <c r="C727" s="696">
        <v>89301074</v>
      </c>
      <c r="D727" s="697" t="s">
        <v>3238</v>
      </c>
      <c r="E727" s="698" t="s">
        <v>2159</v>
      </c>
      <c r="F727" s="696" t="s">
        <v>2133</v>
      </c>
      <c r="G727" s="696" t="s">
        <v>2451</v>
      </c>
      <c r="H727" s="696" t="s">
        <v>547</v>
      </c>
      <c r="I727" s="696" t="s">
        <v>3194</v>
      </c>
      <c r="J727" s="696" t="s">
        <v>3189</v>
      </c>
      <c r="K727" s="696" t="s">
        <v>3190</v>
      </c>
      <c r="L727" s="699">
        <v>610.23</v>
      </c>
      <c r="M727" s="699">
        <v>6712.5300000000007</v>
      </c>
      <c r="N727" s="696">
        <v>11</v>
      </c>
      <c r="O727" s="700">
        <v>5</v>
      </c>
      <c r="P727" s="699">
        <v>4881.84</v>
      </c>
      <c r="Q727" s="701">
        <v>0.72727272727272718</v>
      </c>
      <c r="R727" s="696">
        <v>8</v>
      </c>
      <c r="S727" s="701">
        <v>0.72727272727272729</v>
      </c>
      <c r="T727" s="700">
        <v>4</v>
      </c>
      <c r="U727" s="702">
        <v>0.8</v>
      </c>
    </row>
    <row r="728" spans="1:21" ht="14.4" customHeight="1" x14ac:dyDescent="0.3">
      <c r="A728" s="695">
        <v>7</v>
      </c>
      <c r="B728" s="696" t="s">
        <v>1978</v>
      </c>
      <c r="C728" s="696">
        <v>89301074</v>
      </c>
      <c r="D728" s="697" t="s">
        <v>3238</v>
      </c>
      <c r="E728" s="698" t="s">
        <v>2159</v>
      </c>
      <c r="F728" s="696" t="s">
        <v>2133</v>
      </c>
      <c r="G728" s="696" t="s">
        <v>2451</v>
      </c>
      <c r="H728" s="696" t="s">
        <v>547</v>
      </c>
      <c r="I728" s="696" t="s">
        <v>3195</v>
      </c>
      <c r="J728" s="696" t="s">
        <v>3192</v>
      </c>
      <c r="K728" s="696" t="s">
        <v>3193</v>
      </c>
      <c r="L728" s="699">
        <v>949.83</v>
      </c>
      <c r="M728" s="699">
        <v>6648.81</v>
      </c>
      <c r="N728" s="696">
        <v>7</v>
      </c>
      <c r="O728" s="700">
        <v>7</v>
      </c>
      <c r="P728" s="699">
        <v>949.83</v>
      </c>
      <c r="Q728" s="701">
        <v>0.14285714285714285</v>
      </c>
      <c r="R728" s="696">
        <v>1</v>
      </c>
      <c r="S728" s="701">
        <v>0.14285714285714285</v>
      </c>
      <c r="T728" s="700">
        <v>1</v>
      </c>
      <c r="U728" s="702">
        <v>0.14285714285714285</v>
      </c>
    </row>
    <row r="729" spans="1:21" ht="14.4" customHeight="1" x14ac:dyDescent="0.3">
      <c r="A729" s="695">
        <v>7</v>
      </c>
      <c r="B729" s="696" t="s">
        <v>1978</v>
      </c>
      <c r="C729" s="696">
        <v>89301074</v>
      </c>
      <c r="D729" s="697" t="s">
        <v>3238</v>
      </c>
      <c r="E729" s="698" t="s">
        <v>2159</v>
      </c>
      <c r="F729" s="696" t="s">
        <v>2133</v>
      </c>
      <c r="G729" s="696" t="s">
        <v>2451</v>
      </c>
      <c r="H729" s="696" t="s">
        <v>547</v>
      </c>
      <c r="I729" s="696" t="s">
        <v>3196</v>
      </c>
      <c r="J729" s="696" t="s">
        <v>2453</v>
      </c>
      <c r="K729" s="696" t="s">
        <v>2454</v>
      </c>
      <c r="L729" s="699">
        <v>1753.54</v>
      </c>
      <c r="M729" s="699">
        <v>1753.54</v>
      </c>
      <c r="N729" s="696">
        <v>1</v>
      </c>
      <c r="O729" s="700">
        <v>1</v>
      </c>
      <c r="P729" s="699">
        <v>1753.54</v>
      </c>
      <c r="Q729" s="701">
        <v>1</v>
      </c>
      <c r="R729" s="696">
        <v>1</v>
      </c>
      <c r="S729" s="701">
        <v>1</v>
      </c>
      <c r="T729" s="700">
        <v>1</v>
      </c>
      <c r="U729" s="702">
        <v>1</v>
      </c>
    </row>
    <row r="730" spans="1:21" ht="14.4" customHeight="1" x14ac:dyDescent="0.3">
      <c r="A730" s="695">
        <v>7</v>
      </c>
      <c r="B730" s="696" t="s">
        <v>1978</v>
      </c>
      <c r="C730" s="696">
        <v>89301074</v>
      </c>
      <c r="D730" s="697" t="s">
        <v>3238</v>
      </c>
      <c r="E730" s="698" t="s">
        <v>2159</v>
      </c>
      <c r="F730" s="696" t="s">
        <v>2133</v>
      </c>
      <c r="G730" s="696" t="s">
        <v>2451</v>
      </c>
      <c r="H730" s="696" t="s">
        <v>547</v>
      </c>
      <c r="I730" s="696" t="s">
        <v>3197</v>
      </c>
      <c r="J730" s="696" t="s">
        <v>3198</v>
      </c>
      <c r="K730" s="696" t="s">
        <v>3199</v>
      </c>
      <c r="L730" s="699">
        <v>2191.92</v>
      </c>
      <c r="M730" s="699">
        <v>2191.92</v>
      </c>
      <c r="N730" s="696">
        <v>1</v>
      </c>
      <c r="O730" s="700">
        <v>1</v>
      </c>
      <c r="P730" s="699"/>
      <c r="Q730" s="701">
        <v>0</v>
      </c>
      <c r="R730" s="696"/>
      <c r="S730" s="701">
        <v>0</v>
      </c>
      <c r="T730" s="700"/>
      <c r="U730" s="702">
        <v>0</v>
      </c>
    </row>
    <row r="731" spans="1:21" ht="14.4" customHeight="1" x14ac:dyDescent="0.3">
      <c r="A731" s="695">
        <v>7</v>
      </c>
      <c r="B731" s="696" t="s">
        <v>1978</v>
      </c>
      <c r="C731" s="696">
        <v>89301074</v>
      </c>
      <c r="D731" s="697" t="s">
        <v>3238</v>
      </c>
      <c r="E731" s="698" t="s">
        <v>2159</v>
      </c>
      <c r="F731" s="696" t="s">
        <v>2133</v>
      </c>
      <c r="G731" s="696" t="s">
        <v>2451</v>
      </c>
      <c r="H731" s="696" t="s">
        <v>547</v>
      </c>
      <c r="I731" s="696" t="s">
        <v>3200</v>
      </c>
      <c r="J731" s="696" t="s">
        <v>2780</v>
      </c>
      <c r="K731" s="696" t="s">
        <v>2781</v>
      </c>
      <c r="L731" s="699">
        <v>0</v>
      </c>
      <c r="M731" s="699">
        <v>0</v>
      </c>
      <c r="N731" s="696">
        <v>1</v>
      </c>
      <c r="O731" s="700">
        <v>1</v>
      </c>
      <c r="P731" s="699">
        <v>0</v>
      </c>
      <c r="Q731" s="701"/>
      <c r="R731" s="696">
        <v>1</v>
      </c>
      <c r="S731" s="701">
        <v>1</v>
      </c>
      <c r="T731" s="700">
        <v>1</v>
      </c>
      <c r="U731" s="702">
        <v>1</v>
      </c>
    </row>
    <row r="732" spans="1:21" ht="14.4" customHeight="1" x14ac:dyDescent="0.3">
      <c r="A732" s="695">
        <v>7</v>
      </c>
      <c r="B732" s="696" t="s">
        <v>1978</v>
      </c>
      <c r="C732" s="696">
        <v>89301074</v>
      </c>
      <c r="D732" s="697" t="s">
        <v>3238</v>
      </c>
      <c r="E732" s="698" t="s">
        <v>2159</v>
      </c>
      <c r="F732" s="696" t="s">
        <v>2133</v>
      </c>
      <c r="G732" s="696" t="s">
        <v>2451</v>
      </c>
      <c r="H732" s="696" t="s">
        <v>547</v>
      </c>
      <c r="I732" s="696" t="s">
        <v>3069</v>
      </c>
      <c r="J732" s="696" t="s">
        <v>2786</v>
      </c>
      <c r="K732" s="696" t="s">
        <v>2614</v>
      </c>
      <c r="L732" s="699">
        <v>0</v>
      </c>
      <c r="M732" s="699">
        <v>0</v>
      </c>
      <c r="N732" s="696">
        <v>2</v>
      </c>
      <c r="O732" s="700">
        <v>1</v>
      </c>
      <c r="P732" s="699"/>
      <c r="Q732" s="701"/>
      <c r="R732" s="696"/>
      <c r="S732" s="701">
        <v>0</v>
      </c>
      <c r="T732" s="700"/>
      <c r="U732" s="702">
        <v>0</v>
      </c>
    </row>
    <row r="733" spans="1:21" ht="14.4" customHeight="1" x14ac:dyDescent="0.3">
      <c r="A733" s="695">
        <v>7</v>
      </c>
      <c r="B733" s="696" t="s">
        <v>1978</v>
      </c>
      <c r="C733" s="696">
        <v>89301074</v>
      </c>
      <c r="D733" s="697" t="s">
        <v>3238</v>
      </c>
      <c r="E733" s="698" t="s">
        <v>2159</v>
      </c>
      <c r="F733" s="696" t="s">
        <v>2133</v>
      </c>
      <c r="G733" s="696" t="s">
        <v>2451</v>
      </c>
      <c r="H733" s="696" t="s">
        <v>547</v>
      </c>
      <c r="I733" s="696" t="s">
        <v>3070</v>
      </c>
      <c r="J733" s="696" t="s">
        <v>2453</v>
      </c>
      <c r="K733" s="696" t="s">
        <v>3071</v>
      </c>
      <c r="L733" s="699">
        <v>0</v>
      </c>
      <c r="M733" s="699">
        <v>0</v>
      </c>
      <c r="N733" s="696">
        <v>5</v>
      </c>
      <c r="O733" s="700">
        <v>5</v>
      </c>
      <c r="P733" s="699">
        <v>0</v>
      </c>
      <c r="Q733" s="701"/>
      <c r="R733" s="696">
        <v>2</v>
      </c>
      <c r="S733" s="701">
        <v>0.4</v>
      </c>
      <c r="T733" s="700">
        <v>2</v>
      </c>
      <c r="U733" s="702">
        <v>0.4</v>
      </c>
    </row>
    <row r="734" spans="1:21" ht="14.4" customHeight="1" x14ac:dyDescent="0.3">
      <c r="A734" s="695">
        <v>7</v>
      </c>
      <c r="B734" s="696" t="s">
        <v>1978</v>
      </c>
      <c r="C734" s="696">
        <v>89301074</v>
      </c>
      <c r="D734" s="697" t="s">
        <v>3238</v>
      </c>
      <c r="E734" s="698" t="s">
        <v>2159</v>
      </c>
      <c r="F734" s="696" t="s">
        <v>2133</v>
      </c>
      <c r="G734" s="696" t="s">
        <v>2451</v>
      </c>
      <c r="H734" s="696" t="s">
        <v>547</v>
      </c>
      <c r="I734" s="696" t="s">
        <v>2779</v>
      </c>
      <c r="J734" s="696" t="s">
        <v>2780</v>
      </c>
      <c r="K734" s="696" t="s">
        <v>2781</v>
      </c>
      <c r="L734" s="699">
        <v>0</v>
      </c>
      <c r="M734" s="699">
        <v>0</v>
      </c>
      <c r="N734" s="696">
        <v>4</v>
      </c>
      <c r="O734" s="700">
        <v>3</v>
      </c>
      <c r="P734" s="699">
        <v>0</v>
      </c>
      <c r="Q734" s="701"/>
      <c r="R734" s="696">
        <v>2</v>
      </c>
      <c r="S734" s="701">
        <v>0.5</v>
      </c>
      <c r="T734" s="700">
        <v>2</v>
      </c>
      <c r="U734" s="702">
        <v>0.66666666666666663</v>
      </c>
    </row>
    <row r="735" spans="1:21" ht="14.4" customHeight="1" x14ac:dyDescent="0.3">
      <c r="A735" s="695">
        <v>7</v>
      </c>
      <c r="B735" s="696" t="s">
        <v>1978</v>
      </c>
      <c r="C735" s="696">
        <v>89301074</v>
      </c>
      <c r="D735" s="697" t="s">
        <v>3238</v>
      </c>
      <c r="E735" s="698" t="s">
        <v>2159</v>
      </c>
      <c r="F735" s="696" t="s">
        <v>2133</v>
      </c>
      <c r="G735" s="696" t="s">
        <v>2451</v>
      </c>
      <c r="H735" s="696" t="s">
        <v>547</v>
      </c>
      <c r="I735" s="696" t="s">
        <v>3201</v>
      </c>
      <c r="J735" s="696" t="s">
        <v>2780</v>
      </c>
      <c r="K735" s="696" t="s">
        <v>3187</v>
      </c>
      <c r="L735" s="699">
        <v>0</v>
      </c>
      <c r="M735" s="699">
        <v>0</v>
      </c>
      <c r="N735" s="696">
        <v>4</v>
      </c>
      <c r="O735" s="700">
        <v>2</v>
      </c>
      <c r="P735" s="699">
        <v>0</v>
      </c>
      <c r="Q735" s="701"/>
      <c r="R735" s="696">
        <v>4</v>
      </c>
      <c r="S735" s="701">
        <v>1</v>
      </c>
      <c r="T735" s="700">
        <v>2</v>
      </c>
      <c r="U735" s="702">
        <v>1</v>
      </c>
    </row>
    <row r="736" spans="1:21" ht="14.4" customHeight="1" x14ac:dyDescent="0.3">
      <c r="A736" s="695">
        <v>7</v>
      </c>
      <c r="B736" s="696" t="s">
        <v>1978</v>
      </c>
      <c r="C736" s="696">
        <v>89301074</v>
      </c>
      <c r="D736" s="697" t="s">
        <v>3238</v>
      </c>
      <c r="E736" s="698" t="s">
        <v>2159</v>
      </c>
      <c r="F736" s="696" t="s">
        <v>2133</v>
      </c>
      <c r="G736" s="696" t="s">
        <v>2451</v>
      </c>
      <c r="H736" s="696" t="s">
        <v>547</v>
      </c>
      <c r="I736" s="696" t="s">
        <v>3202</v>
      </c>
      <c r="J736" s="696" t="s">
        <v>3198</v>
      </c>
      <c r="K736" s="696" t="s">
        <v>3199</v>
      </c>
      <c r="L736" s="699">
        <v>2191.92</v>
      </c>
      <c r="M736" s="699">
        <v>6575.76</v>
      </c>
      <c r="N736" s="696">
        <v>3</v>
      </c>
      <c r="O736" s="700">
        <v>3</v>
      </c>
      <c r="P736" s="699">
        <v>6575.76</v>
      </c>
      <c r="Q736" s="701">
        <v>1</v>
      </c>
      <c r="R736" s="696">
        <v>3</v>
      </c>
      <c r="S736" s="701">
        <v>1</v>
      </c>
      <c r="T736" s="700">
        <v>3</v>
      </c>
      <c r="U736" s="702">
        <v>1</v>
      </c>
    </row>
    <row r="737" spans="1:21" ht="14.4" customHeight="1" x14ac:dyDescent="0.3">
      <c r="A737" s="695">
        <v>7</v>
      </c>
      <c r="B737" s="696" t="s">
        <v>1978</v>
      </c>
      <c r="C737" s="696">
        <v>89301074</v>
      </c>
      <c r="D737" s="697" t="s">
        <v>3238</v>
      </c>
      <c r="E737" s="698" t="s">
        <v>2159</v>
      </c>
      <c r="F737" s="696" t="s">
        <v>2133</v>
      </c>
      <c r="G737" s="696" t="s">
        <v>2451</v>
      </c>
      <c r="H737" s="696" t="s">
        <v>547</v>
      </c>
      <c r="I737" s="696" t="s">
        <v>3203</v>
      </c>
      <c r="J737" s="696" t="s">
        <v>3198</v>
      </c>
      <c r="K737" s="696" t="s">
        <v>3204</v>
      </c>
      <c r="L737" s="699">
        <v>0</v>
      </c>
      <c r="M737" s="699">
        <v>0</v>
      </c>
      <c r="N737" s="696">
        <v>5</v>
      </c>
      <c r="O737" s="700">
        <v>5</v>
      </c>
      <c r="P737" s="699">
        <v>0</v>
      </c>
      <c r="Q737" s="701"/>
      <c r="R737" s="696">
        <v>2</v>
      </c>
      <c r="S737" s="701">
        <v>0.4</v>
      </c>
      <c r="T737" s="700">
        <v>2</v>
      </c>
      <c r="U737" s="702">
        <v>0.4</v>
      </c>
    </row>
    <row r="738" spans="1:21" ht="14.4" customHeight="1" x14ac:dyDescent="0.3">
      <c r="A738" s="695">
        <v>7</v>
      </c>
      <c r="B738" s="696" t="s">
        <v>1978</v>
      </c>
      <c r="C738" s="696">
        <v>89301074</v>
      </c>
      <c r="D738" s="697" t="s">
        <v>3238</v>
      </c>
      <c r="E738" s="698" t="s">
        <v>2159</v>
      </c>
      <c r="F738" s="696" t="s">
        <v>2133</v>
      </c>
      <c r="G738" s="696" t="s">
        <v>2451</v>
      </c>
      <c r="H738" s="696" t="s">
        <v>547</v>
      </c>
      <c r="I738" s="696" t="s">
        <v>3205</v>
      </c>
      <c r="J738" s="696" t="s">
        <v>2786</v>
      </c>
      <c r="K738" s="696" t="s">
        <v>3206</v>
      </c>
      <c r="L738" s="699">
        <v>0</v>
      </c>
      <c r="M738" s="699">
        <v>0</v>
      </c>
      <c r="N738" s="696">
        <v>1</v>
      </c>
      <c r="O738" s="700">
        <v>1</v>
      </c>
      <c r="P738" s="699">
        <v>0</v>
      </c>
      <c r="Q738" s="701"/>
      <c r="R738" s="696">
        <v>1</v>
      </c>
      <c r="S738" s="701">
        <v>1</v>
      </c>
      <c r="T738" s="700">
        <v>1</v>
      </c>
      <c r="U738" s="702">
        <v>1</v>
      </c>
    </row>
    <row r="739" spans="1:21" ht="14.4" customHeight="1" x14ac:dyDescent="0.3">
      <c r="A739" s="695">
        <v>7</v>
      </c>
      <c r="B739" s="696" t="s">
        <v>1978</v>
      </c>
      <c r="C739" s="696">
        <v>89301074</v>
      </c>
      <c r="D739" s="697" t="s">
        <v>3238</v>
      </c>
      <c r="E739" s="698" t="s">
        <v>2159</v>
      </c>
      <c r="F739" s="696" t="s">
        <v>2133</v>
      </c>
      <c r="G739" s="696" t="s">
        <v>2451</v>
      </c>
      <c r="H739" s="696" t="s">
        <v>547</v>
      </c>
      <c r="I739" s="696" t="s">
        <v>3207</v>
      </c>
      <c r="J739" s="696" t="s">
        <v>2783</v>
      </c>
      <c r="K739" s="696" t="s">
        <v>2948</v>
      </c>
      <c r="L739" s="699">
        <v>1315.15</v>
      </c>
      <c r="M739" s="699">
        <v>15781.800000000001</v>
      </c>
      <c r="N739" s="696">
        <v>12</v>
      </c>
      <c r="O739" s="700">
        <v>6</v>
      </c>
      <c r="P739" s="699">
        <v>6575.75</v>
      </c>
      <c r="Q739" s="701">
        <v>0.41666666666666663</v>
      </c>
      <c r="R739" s="696">
        <v>5</v>
      </c>
      <c r="S739" s="701">
        <v>0.41666666666666669</v>
      </c>
      <c r="T739" s="700">
        <v>3</v>
      </c>
      <c r="U739" s="702">
        <v>0.5</v>
      </c>
    </row>
    <row r="740" spans="1:21" ht="14.4" customHeight="1" x14ac:dyDescent="0.3">
      <c r="A740" s="695">
        <v>7</v>
      </c>
      <c r="B740" s="696" t="s">
        <v>1978</v>
      </c>
      <c r="C740" s="696">
        <v>89301074</v>
      </c>
      <c r="D740" s="697" t="s">
        <v>3238</v>
      </c>
      <c r="E740" s="698" t="s">
        <v>2159</v>
      </c>
      <c r="F740" s="696" t="s">
        <v>2133</v>
      </c>
      <c r="G740" s="696" t="s">
        <v>2451</v>
      </c>
      <c r="H740" s="696" t="s">
        <v>547</v>
      </c>
      <c r="I740" s="696" t="s">
        <v>3208</v>
      </c>
      <c r="J740" s="696" t="s">
        <v>3189</v>
      </c>
      <c r="K740" s="696" t="s">
        <v>3209</v>
      </c>
      <c r="L740" s="699">
        <v>0</v>
      </c>
      <c r="M740" s="699">
        <v>0</v>
      </c>
      <c r="N740" s="696">
        <v>2</v>
      </c>
      <c r="O740" s="700">
        <v>2</v>
      </c>
      <c r="P740" s="699">
        <v>0</v>
      </c>
      <c r="Q740" s="701"/>
      <c r="R740" s="696">
        <v>2</v>
      </c>
      <c r="S740" s="701">
        <v>1</v>
      </c>
      <c r="T740" s="700">
        <v>2</v>
      </c>
      <c r="U740" s="702">
        <v>1</v>
      </c>
    </row>
    <row r="741" spans="1:21" ht="14.4" customHeight="1" x14ac:dyDescent="0.3">
      <c r="A741" s="695">
        <v>7</v>
      </c>
      <c r="B741" s="696" t="s">
        <v>1978</v>
      </c>
      <c r="C741" s="696">
        <v>89301074</v>
      </c>
      <c r="D741" s="697" t="s">
        <v>3238</v>
      </c>
      <c r="E741" s="698" t="s">
        <v>2159</v>
      </c>
      <c r="F741" s="696" t="s">
        <v>2133</v>
      </c>
      <c r="G741" s="696" t="s">
        <v>2451</v>
      </c>
      <c r="H741" s="696" t="s">
        <v>547</v>
      </c>
      <c r="I741" s="696" t="s">
        <v>3210</v>
      </c>
      <c r="J741" s="696" t="s">
        <v>3192</v>
      </c>
      <c r="K741" s="696" t="s">
        <v>3211</v>
      </c>
      <c r="L741" s="699">
        <v>0</v>
      </c>
      <c r="M741" s="699">
        <v>0</v>
      </c>
      <c r="N741" s="696">
        <v>1</v>
      </c>
      <c r="O741" s="700">
        <v>1</v>
      </c>
      <c r="P741" s="699">
        <v>0</v>
      </c>
      <c r="Q741" s="701"/>
      <c r="R741" s="696">
        <v>1</v>
      </c>
      <c r="S741" s="701">
        <v>1</v>
      </c>
      <c r="T741" s="700">
        <v>1</v>
      </c>
      <c r="U741" s="702">
        <v>1</v>
      </c>
    </row>
    <row r="742" spans="1:21" ht="14.4" customHeight="1" x14ac:dyDescent="0.3">
      <c r="A742" s="695">
        <v>7</v>
      </c>
      <c r="B742" s="696" t="s">
        <v>1978</v>
      </c>
      <c r="C742" s="696">
        <v>89301074</v>
      </c>
      <c r="D742" s="697" t="s">
        <v>3238</v>
      </c>
      <c r="E742" s="698" t="s">
        <v>2159</v>
      </c>
      <c r="F742" s="696" t="s">
        <v>2133</v>
      </c>
      <c r="G742" s="696" t="s">
        <v>2451</v>
      </c>
      <c r="H742" s="696" t="s">
        <v>547</v>
      </c>
      <c r="I742" s="696" t="s">
        <v>3212</v>
      </c>
      <c r="J742" s="696" t="s">
        <v>2453</v>
      </c>
      <c r="K742" s="696" t="s">
        <v>3071</v>
      </c>
      <c r="L742" s="699">
        <v>0</v>
      </c>
      <c r="M742" s="699">
        <v>0</v>
      </c>
      <c r="N742" s="696">
        <v>2</v>
      </c>
      <c r="O742" s="700">
        <v>2</v>
      </c>
      <c r="P742" s="699"/>
      <c r="Q742" s="701"/>
      <c r="R742" s="696"/>
      <c r="S742" s="701">
        <v>0</v>
      </c>
      <c r="T742" s="700"/>
      <c r="U742" s="702">
        <v>0</v>
      </c>
    </row>
    <row r="743" spans="1:21" ht="14.4" customHeight="1" x14ac:dyDescent="0.3">
      <c r="A743" s="695">
        <v>7</v>
      </c>
      <c r="B743" s="696" t="s">
        <v>1978</v>
      </c>
      <c r="C743" s="696">
        <v>89301074</v>
      </c>
      <c r="D743" s="697" t="s">
        <v>3238</v>
      </c>
      <c r="E743" s="698" t="s">
        <v>2159</v>
      </c>
      <c r="F743" s="696" t="s">
        <v>2133</v>
      </c>
      <c r="G743" s="696" t="s">
        <v>2451</v>
      </c>
      <c r="H743" s="696" t="s">
        <v>547</v>
      </c>
      <c r="I743" s="696" t="s">
        <v>3213</v>
      </c>
      <c r="J743" s="696" t="s">
        <v>3192</v>
      </c>
      <c r="K743" s="696" t="s">
        <v>3211</v>
      </c>
      <c r="L743" s="699">
        <v>0</v>
      </c>
      <c r="M743" s="699">
        <v>0</v>
      </c>
      <c r="N743" s="696">
        <v>2</v>
      </c>
      <c r="O743" s="700">
        <v>1</v>
      </c>
      <c r="P743" s="699">
        <v>0</v>
      </c>
      <c r="Q743" s="701"/>
      <c r="R743" s="696">
        <v>2</v>
      </c>
      <c r="S743" s="701">
        <v>1</v>
      </c>
      <c r="T743" s="700">
        <v>1</v>
      </c>
      <c r="U743" s="702">
        <v>1</v>
      </c>
    </row>
    <row r="744" spans="1:21" ht="14.4" customHeight="1" x14ac:dyDescent="0.3">
      <c r="A744" s="695">
        <v>7</v>
      </c>
      <c r="B744" s="696" t="s">
        <v>1978</v>
      </c>
      <c r="C744" s="696">
        <v>89301074</v>
      </c>
      <c r="D744" s="697" t="s">
        <v>3238</v>
      </c>
      <c r="E744" s="698" t="s">
        <v>2159</v>
      </c>
      <c r="F744" s="696" t="s">
        <v>2133</v>
      </c>
      <c r="G744" s="696" t="s">
        <v>2560</v>
      </c>
      <c r="H744" s="696" t="s">
        <v>547</v>
      </c>
      <c r="I744" s="696" t="s">
        <v>749</v>
      </c>
      <c r="J744" s="696" t="s">
        <v>2561</v>
      </c>
      <c r="K744" s="696" t="s">
        <v>2562</v>
      </c>
      <c r="L744" s="699">
        <v>85.49</v>
      </c>
      <c r="M744" s="699">
        <v>85.49</v>
      </c>
      <c r="N744" s="696">
        <v>1</v>
      </c>
      <c r="O744" s="700">
        <v>0.5</v>
      </c>
      <c r="P744" s="699">
        <v>85.49</v>
      </c>
      <c r="Q744" s="701">
        <v>1</v>
      </c>
      <c r="R744" s="696">
        <v>1</v>
      </c>
      <c r="S744" s="701">
        <v>1</v>
      </c>
      <c r="T744" s="700">
        <v>0.5</v>
      </c>
      <c r="U744" s="702">
        <v>1</v>
      </c>
    </row>
    <row r="745" spans="1:21" ht="14.4" customHeight="1" x14ac:dyDescent="0.3">
      <c r="A745" s="695">
        <v>7</v>
      </c>
      <c r="B745" s="696" t="s">
        <v>1978</v>
      </c>
      <c r="C745" s="696">
        <v>89301074</v>
      </c>
      <c r="D745" s="697" t="s">
        <v>3238</v>
      </c>
      <c r="E745" s="698" t="s">
        <v>2159</v>
      </c>
      <c r="F745" s="696" t="s">
        <v>2133</v>
      </c>
      <c r="G745" s="696" t="s">
        <v>2201</v>
      </c>
      <c r="H745" s="696" t="s">
        <v>547</v>
      </c>
      <c r="I745" s="696" t="s">
        <v>3214</v>
      </c>
      <c r="J745" s="696" t="s">
        <v>2791</v>
      </c>
      <c r="K745" s="696" t="s">
        <v>2450</v>
      </c>
      <c r="L745" s="699">
        <v>114.52</v>
      </c>
      <c r="M745" s="699">
        <v>687.12</v>
      </c>
      <c r="N745" s="696">
        <v>6</v>
      </c>
      <c r="O745" s="700">
        <v>2</v>
      </c>
      <c r="P745" s="699"/>
      <c r="Q745" s="701">
        <v>0</v>
      </c>
      <c r="R745" s="696"/>
      <c r="S745" s="701">
        <v>0</v>
      </c>
      <c r="T745" s="700"/>
      <c r="U745" s="702">
        <v>0</v>
      </c>
    </row>
    <row r="746" spans="1:21" ht="14.4" customHeight="1" x14ac:dyDescent="0.3">
      <c r="A746" s="695">
        <v>7</v>
      </c>
      <c r="B746" s="696" t="s">
        <v>1978</v>
      </c>
      <c r="C746" s="696">
        <v>89301074</v>
      </c>
      <c r="D746" s="697" t="s">
        <v>3238</v>
      </c>
      <c r="E746" s="698" t="s">
        <v>2159</v>
      </c>
      <c r="F746" s="696" t="s">
        <v>2133</v>
      </c>
      <c r="G746" s="696" t="s">
        <v>2201</v>
      </c>
      <c r="H746" s="696" t="s">
        <v>547</v>
      </c>
      <c r="I746" s="696" t="s">
        <v>2790</v>
      </c>
      <c r="J746" s="696" t="s">
        <v>2791</v>
      </c>
      <c r="K746" s="696" t="s">
        <v>2450</v>
      </c>
      <c r="L746" s="699">
        <v>0</v>
      </c>
      <c r="M746" s="699">
        <v>0</v>
      </c>
      <c r="N746" s="696">
        <v>3</v>
      </c>
      <c r="O746" s="700">
        <v>0.5</v>
      </c>
      <c r="P746" s="699"/>
      <c r="Q746" s="701"/>
      <c r="R746" s="696"/>
      <c r="S746" s="701">
        <v>0</v>
      </c>
      <c r="T746" s="700"/>
      <c r="U746" s="702">
        <v>0</v>
      </c>
    </row>
    <row r="747" spans="1:21" ht="14.4" customHeight="1" x14ac:dyDescent="0.3">
      <c r="A747" s="695">
        <v>7</v>
      </c>
      <c r="B747" s="696" t="s">
        <v>1978</v>
      </c>
      <c r="C747" s="696">
        <v>89301074</v>
      </c>
      <c r="D747" s="697" t="s">
        <v>3238</v>
      </c>
      <c r="E747" s="698" t="s">
        <v>2159</v>
      </c>
      <c r="F747" s="696" t="s">
        <v>2133</v>
      </c>
      <c r="G747" s="696" t="s">
        <v>2201</v>
      </c>
      <c r="H747" s="696" t="s">
        <v>547</v>
      </c>
      <c r="I747" s="696" t="s">
        <v>3215</v>
      </c>
      <c r="J747" s="696" t="s">
        <v>3216</v>
      </c>
      <c r="K747" s="696" t="s">
        <v>3217</v>
      </c>
      <c r="L747" s="699">
        <v>98.23</v>
      </c>
      <c r="M747" s="699">
        <v>196.46</v>
      </c>
      <c r="N747" s="696">
        <v>2</v>
      </c>
      <c r="O747" s="700">
        <v>1</v>
      </c>
      <c r="P747" s="699">
        <v>196.46</v>
      </c>
      <c r="Q747" s="701">
        <v>1</v>
      </c>
      <c r="R747" s="696">
        <v>2</v>
      </c>
      <c r="S747" s="701">
        <v>1</v>
      </c>
      <c r="T747" s="700">
        <v>1</v>
      </c>
      <c r="U747" s="702">
        <v>1</v>
      </c>
    </row>
    <row r="748" spans="1:21" ht="14.4" customHeight="1" x14ac:dyDescent="0.3">
      <c r="A748" s="695">
        <v>7</v>
      </c>
      <c r="B748" s="696" t="s">
        <v>1978</v>
      </c>
      <c r="C748" s="696">
        <v>89301074</v>
      </c>
      <c r="D748" s="697" t="s">
        <v>3238</v>
      </c>
      <c r="E748" s="698" t="s">
        <v>2159</v>
      </c>
      <c r="F748" s="696" t="s">
        <v>2133</v>
      </c>
      <c r="G748" s="696" t="s">
        <v>2201</v>
      </c>
      <c r="H748" s="696" t="s">
        <v>547</v>
      </c>
      <c r="I748" s="696" t="s">
        <v>2455</v>
      </c>
      <c r="J748" s="696" t="s">
        <v>2456</v>
      </c>
      <c r="K748" s="696" t="s">
        <v>2441</v>
      </c>
      <c r="L748" s="699">
        <v>196.46</v>
      </c>
      <c r="M748" s="699">
        <v>589.38</v>
      </c>
      <c r="N748" s="696">
        <v>3</v>
      </c>
      <c r="O748" s="700">
        <v>0.5</v>
      </c>
      <c r="P748" s="699"/>
      <c r="Q748" s="701">
        <v>0</v>
      </c>
      <c r="R748" s="696"/>
      <c r="S748" s="701">
        <v>0</v>
      </c>
      <c r="T748" s="700"/>
      <c r="U748" s="702">
        <v>0</v>
      </c>
    </row>
    <row r="749" spans="1:21" ht="14.4" customHeight="1" x14ac:dyDescent="0.3">
      <c r="A749" s="695">
        <v>7</v>
      </c>
      <c r="B749" s="696" t="s">
        <v>1978</v>
      </c>
      <c r="C749" s="696">
        <v>89301074</v>
      </c>
      <c r="D749" s="697" t="s">
        <v>3238</v>
      </c>
      <c r="E749" s="698" t="s">
        <v>2159</v>
      </c>
      <c r="F749" s="696" t="s">
        <v>2133</v>
      </c>
      <c r="G749" s="696" t="s">
        <v>2201</v>
      </c>
      <c r="H749" s="696" t="s">
        <v>1438</v>
      </c>
      <c r="I749" s="696" t="s">
        <v>2792</v>
      </c>
      <c r="J749" s="696" t="s">
        <v>2793</v>
      </c>
      <c r="K749" s="696" t="s">
        <v>2794</v>
      </c>
      <c r="L749" s="699">
        <v>32.74</v>
      </c>
      <c r="M749" s="699">
        <v>130.96</v>
      </c>
      <c r="N749" s="696">
        <v>4</v>
      </c>
      <c r="O749" s="700">
        <v>0.5</v>
      </c>
      <c r="P749" s="699"/>
      <c r="Q749" s="701">
        <v>0</v>
      </c>
      <c r="R749" s="696"/>
      <c r="S749" s="701">
        <v>0</v>
      </c>
      <c r="T749" s="700"/>
      <c r="U749" s="702">
        <v>0</v>
      </c>
    </row>
    <row r="750" spans="1:21" ht="14.4" customHeight="1" x14ac:dyDescent="0.3">
      <c r="A750" s="695">
        <v>7</v>
      </c>
      <c r="B750" s="696" t="s">
        <v>1978</v>
      </c>
      <c r="C750" s="696">
        <v>89301074</v>
      </c>
      <c r="D750" s="697" t="s">
        <v>3238</v>
      </c>
      <c r="E750" s="698" t="s">
        <v>2159</v>
      </c>
      <c r="F750" s="696" t="s">
        <v>2133</v>
      </c>
      <c r="G750" s="696" t="s">
        <v>2201</v>
      </c>
      <c r="H750" s="696" t="s">
        <v>1438</v>
      </c>
      <c r="I750" s="696" t="s">
        <v>2795</v>
      </c>
      <c r="J750" s="696" t="s">
        <v>2796</v>
      </c>
      <c r="K750" s="696" t="s">
        <v>2287</v>
      </c>
      <c r="L750" s="699">
        <v>147.36000000000001</v>
      </c>
      <c r="M750" s="699">
        <v>3094.5600000000004</v>
      </c>
      <c r="N750" s="696">
        <v>21</v>
      </c>
      <c r="O750" s="700">
        <v>11</v>
      </c>
      <c r="P750" s="699">
        <v>1178.8800000000001</v>
      </c>
      <c r="Q750" s="701">
        <v>0.38095238095238093</v>
      </c>
      <c r="R750" s="696">
        <v>8</v>
      </c>
      <c r="S750" s="701">
        <v>0.38095238095238093</v>
      </c>
      <c r="T750" s="700">
        <v>4</v>
      </c>
      <c r="U750" s="702">
        <v>0.36363636363636365</v>
      </c>
    </row>
    <row r="751" spans="1:21" ht="14.4" customHeight="1" x14ac:dyDescent="0.3">
      <c r="A751" s="695">
        <v>7</v>
      </c>
      <c r="B751" s="696" t="s">
        <v>1978</v>
      </c>
      <c r="C751" s="696">
        <v>89301074</v>
      </c>
      <c r="D751" s="697" t="s">
        <v>3238</v>
      </c>
      <c r="E751" s="698" t="s">
        <v>2159</v>
      </c>
      <c r="F751" s="696" t="s">
        <v>2133</v>
      </c>
      <c r="G751" s="696" t="s">
        <v>2201</v>
      </c>
      <c r="H751" s="696" t="s">
        <v>1438</v>
      </c>
      <c r="I751" s="696" t="s">
        <v>2457</v>
      </c>
      <c r="J751" s="696" t="s">
        <v>2458</v>
      </c>
      <c r="K751" s="696" t="s">
        <v>2441</v>
      </c>
      <c r="L751" s="699">
        <v>196.46</v>
      </c>
      <c r="M751" s="699">
        <v>3339.82</v>
      </c>
      <c r="N751" s="696">
        <v>17</v>
      </c>
      <c r="O751" s="700">
        <v>3</v>
      </c>
      <c r="P751" s="699">
        <v>2750.44</v>
      </c>
      <c r="Q751" s="701">
        <v>0.82352941176470584</v>
      </c>
      <c r="R751" s="696">
        <v>14</v>
      </c>
      <c r="S751" s="701">
        <v>0.82352941176470584</v>
      </c>
      <c r="T751" s="700">
        <v>2</v>
      </c>
      <c r="U751" s="702">
        <v>0.66666666666666663</v>
      </c>
    </row>
    <row r="752" spans="1:21" ht="14.4" customHeight="1" x14ac:dyDescent="0.3">
      <c r="A752" s="695">
        <v>7</v>
      </c>
      <c r="B752" s="696" t="s">
        <v>1978</v>
      </c>
      <c r="C752" s="696">
        <v>89301074</v>
      </c>
      <c r="D752" s="697" t="s">
        <v>3238</v>
      </c>
      <c r="E752" s="698" t="s">
        <v>2159</v>
      </c>
      <c r="F752" s="696" t="s">
        <v>2133</v>
      </c>
      <c r="G752" s="696" t="s">
        <v>2201</v>
      </c>
      <c r="H752" s="696" t="s">
        <v>1438</v>
      </c>
      <c r="I752" s="696" t="s">
        <v>2797</v>
      </c>
      <c r="J752" s="696" t="s">
        <v>2203</v>
      </c>
      <c r="K752" s="696" t="s">
        <v>2450</v>
      </c>
      <c r="L752" s="699">
        <v>98.23</v>
      </c>
      <c r="M752" s="699">
        <v>98.23</v>
      </c>
      <c r="N752" s="696">
        <v>1</v>
      </c>
      <c r="O752" s="700">
        <v>0.5</v>
      </c>
      <c r="P752" s="699"/>
      <c r="Q752" s="701">
        <v>0</v>
      </c>
      <c r="R752" s="696"/>
      <c r="S752" s="701">
        <v>0</v>
      </c>
      <c r="T752" s="700"/>
      <c r="U752" s="702">
        <v>0</v>
      </c>
    </row>
    <row r="753" spans="1:21" ht="14.4" customHeight="1" x14ac:dyDescent="0.3">
      <c r="A753" s="695">
        <v>7</v>
      </c>
      <c r="B753" s="696" t="s">
        <v>1978</v>
      </c>
      <c r="C753" s="696">
        <v>89301074</v>
      </c>
      <c r="D753" s="697" t="s">
        <v>3238</v>
      </c>
      <c r="E753" s="698" t="s">
        <v>2159</v>
      </c>
      <c r="F753" s="696" t="s">
        <v>2133</v>
      </c>
      <c r="G753" s="696" t="s">
        <v>2201</v>
      </c>
      <c r="H753" s="696" t="s">
        <v>1438</v>
      </c>
      <c r="I753" s="696" t="s">
        <v>2798</v>
      </c>
      <c r="J753" s="696" t="s">
        <v>2793</v>
      </c>
      <c r="K753" s="696" t="s">
        <v>2799</v>
      </c>
      <c r="L753" s="699">
        <v>314.33999999999997</v>
      </c>
      <c r="M753" s="699">
        <v>314.33999999999997</v>
      </c>
      <c r="N753" s="696">
        <v>1</v>
      </c>
      <c r="O753" s="700">
        <v>1</v>
      </c>
      <c r="P753" s="699">
        <v>314.33999999999997</v>
      </c>
      <c r="Q753" s="701">
        <v>1</v>
      </c>
      <c r="R753" s="696">
        <v>1</v>
      </c>
      <c r="S753" s="701">
        <v>1</v>
      </c>
      <c r="T753" s="700">
        <v>1</v>
      </c>
      <c r="U753" s="702">
        <v>1</v>
      </c>
    </row>
    <row r="754" spans="1:21" ht="14.4" customHeight="1" x14ac:dyDescent="0.3">
      <c r="A754" s="695">
        <v>7</v>
      </c>
      <c r="B754" s="696" t="s">
        <v>1978</v>
      </c>
      <c r="C754" s="696">
        <v>89301074</v>
      </c>
      <c r="D754" s="697" t="s">
        <v>3238</v>
      </c>
      <c r="E754" s="698" t="s">
        <v>2159</v>
      </c>
      <c r="F754" s="696" t="s">
        <v>2133</v>
      </c>
      <c r="G754" s="696" t="s">
        <v>2288</v>
      </c>
      <c r="H754" s="696" t="s">
        <v>547</v>
      </c>
      <c r="I754" s="696" t="s">
        <v>2459</v>
      </c>
      <c r="J754" s="696" t="s">
        <v>2460</v>
      </c>
      <c r="K754" s="696" t="s">
        <v>2461</v>
      </c>
      <c r="L754" s="699">
        <v>0</v>
      </c>
      <c r="M754" s="699">
        <v>0</v>
      </c>
      <c r="N754" s="696">
        <v>7</v>
      </c>
      <c r="O754" s="700">
        <v>3.5</v>
      </c>
      <c r="P754" s="699">
        <v>0</v>
      </c>
      <c r="Q754" s="701"/>
      <c r="R754" s="696">
        <v>1</v>
      </c>
      <c r="S754" s="701">
        <v>0.14285714285714285</v>
      </c>
      <c r="T754" s="700">
        <v>1</v>
      </c>
      <c r="U754" s="702">
        <v>0.2857142857142857</v>
      </c>
    </row>
    <row r="755" spans="1:21" ht="14.4" customHeight="1" x14ac:dyDescent="0.3">
      <c r="A755" s="695">
        <v>7</v>
      </c>
      <c r="B755" s="696" t="s">
        <v>1978</v>
      </c>
      <c r="C755" s="696">
        <v>89301074</v>
      </c>
      <c r="D755" s="697" t="s">
        <v>3238</v>
      </c>
      <c r="E755" s="698" t="s">
        <v>2159</v>
      </c>
      <c r="F755" s="696" t="s">
        <v>2133</v>
      </c>
      <c r="G755" s="696" t="s">
        <v>2288</v>
      </c>
      <c r="H755" s="696" t="s">
        <v>547</v>
      </c>
      <c r="I755" s="696" t="s">
        <v>3218</v>
      </c>
      <c r="J755" s="696" t="s">
        <v>2290</v>
      </c>
      <c r="K755" s="696" t="s">
        <v>3219</v>
      </c>
      <c r="L755" s="699">
        <v>51.44</v>
      </c>
      <c r="M755" s="699">
        <v>51.44</v>
      </c>
      <c r="N755" s="696">
        <v>1</v>
      </c>
      <c r="O755" s="700">
        <v>1</v>
      </c>
      <c r="P755" s="699">
        <v>51.44</v>
      </c>
      <c r="Q755" s="701">
        <v>1</v>
      </c>
      <c r="R755" s="696">
        <v>1</v>
      </c>
      <c r="S755" s="701">
        <v>1</v>
      </c>
      <c r="T755" s="700">
        <v>1</v>
      </c>
      <c r="U755" s="702">
        <v>1</v>
      </c>
    </row>
    <row r="756" spans="1:21" ht="14.4" customHeight="1" x14ac:dyDescent="0.3">
      <c r="A756" s="695">
        <v>7</v>
      </c>
      <c r="B756" s="696" t="s">
        <v>1978</v>
      </c>
      <c r="C756" s="696">
        <v>89301074</v>
      </c>
      <c r="D756" s="697" t="s">
        <v>3238</v>
      </c>
      <c r="E756" s="698" t="s">
        <v>2159</v>
      </c>
      <c r="F756" s="696" t="s">
        <v>2133</v>
      </c>
      <c r="G756" s="696" t="s">
        <v>2288</v>
      </c>
      <c r="H756" s="696" t="s">
        <v>547</v>
      </c>
      <c r="I756" s="696" t="s">
        <v>2289</v>
      </c>
      <c r="J756" s="696" t="s">
        <v>2290</v>
      </c>
      <c r="K756" s="696" t="s">
        <v>838</v>
      </c>
      <c r="L756" s="699">
        <v>154.33000000000001</v>
      </c>
      <c r="M756" s="699">
        <v>2314.9499999999998</v>
      </c>
      <c r="N756" s="696">
        <v>15</v>
      </c>
      <c r="O756" s="700">
        <v>7</v>
      </c>
      <c r="P756" s="699">
        <v>1080.31</v>
      </c>
      <c r="Q756" s="701">
        <v>0.46666666666666667</v>
      </c>
      <c r="R756" s="696">
        <v>7</v>
      </c>
      <c r="S756" s="701">
        <v>0.46666666666666667</v>
      </c>
      <c r="T756" s="700">
        <v>2.5</v>
      </c>
      <c r="U756" s="702">
        <v>0.35714285714285715</v>
      </c>
    </row>
    <row r="757" spans="1:21" ht="14.4" customHeight="1" x14ac:dyDescent="0.3">
      <c r="A757" s="695">
        <v>7</v>
      </c>
      <c r="B757" s="696" t="s">
        <v>1978</v>
      </c>
      <c r="C757" s="696">
        <v>89301074</v>
      </c>
      <c r="D757" s="697" t="s">
        <v>3238</v>
      </c>
      <c r="E757" s="698" t="s">
        <v>2159</v>
      </c>
      <c r="F757" s="696" t="s">
        <v>2133</v>
      </c>
      <c r="G757" s="696" t="s">
        <v>2288</v>
      </c>
      <c r="H757" s="696" t="s">
        <v>547</v>
      </c>
      <c r="I757" s="696" t="s">
        <v>3124</v>
      </c>
      <c r="J757" s="696" t="s">
        <v>2290</v>
      </c>
      <c r="K757" s="696" t="s">
        <v>3125</v>
      </c>
      <c r="L757" s="699">
        <v>0</v>
      </c>
      <c r="M757" s="699">
        <v>0</v>
      </c>
      <c r="N757" s="696">
        <v>1</v>
      </c>
      <c r="O757" s="700">
        <v>0.5</v>
      </c>
      <c r="P757" s="699"/>
      <c r="Q757" s="701"/>
      <c r="R757" s="696"/>
      <c r="S757" s="701">
        <v>0</v>
      </c>
      <c r="T757" s="700"/>
      <c r="U757" s="702">
        <v>0</v>
      </c>
    </row>
    <row r="758" spans="1:21" ht="14.4" customHeight="1" x14ac:dyDescent="0.3">
      <c r="A758" s="695">
        <v>7</v>
      </c>
      <c r="B758" s="696" t="s">
        <v>1978</v>
      </c>
      <c r="C758" s="696">
        <v>89301074</v>
      </c>
      <c r="D758" s="697" t="s">
        <v>3238</v>
      </c>
      <c r="E758" s="698" t="s">
        <v>2159</v>
      </c>
      <c r="F758" s="696" t="s">
        <v>2133</v>
      </c>
      <c r="G758" s="696" t="s">
        <v>2288</v>
      </c>
      <c r="H758" s="696" t="s">
        <v>547</v>
      </c>
      <c r="I758" s="696" t="s">
        <v>2800</v>
      </c>
      <c r="J758" s="696" t="s">
        <v>2801</v>
      </c>
      <c r="K758" s="696" t="s">
        <v>838</v>
      </c>
      <c r="L758" s="699">
        <v>60.97</v>
      </c>
      <c r="M758" s="699">
        <v>4267.9000000000005</v>
      </c>
      <c r="N758" s="696">
        <v>70</v>
      </c>
      <c r="O758" s="700">
        <v>20.5</v>
      </c>
      <c r="P758" s="699">
        <v>1158.43</v>
      </c>
      <c r="Q758" s="701">
        <v>0.27142857142857141</v>
      </c>
      <c r="R758" s="696">
        <v>19</v>
      </c>
      <c r="S758" s="701">
        <v>0.27142857142857141</v>
      </c>
      <c r="T758" s="700">
        <v>7.5</v>
      </c>
      <c r="U758" s="702">
        <v>0.36585365853658536</v>
      </c>
    </row>
    <row r="759" spans="1:21" ht="14.4" customHeight="1" x14ac:dyDescent="0.3">
      <c r="A759" s="695">
        <v>7</v>
      </c>
      <c r="B759" s="696" t="s">
        <v>1978</v>
      </c>
      <c r="C759" s="696">
        <v>89301074</v>
      </c>
      <c r="D759" s="697" t="s">
        <v>3238</v>
      </c>
      <c r="E759" s="698" t="s">
        <v>2159</v>
      </c>
      <c r="F759" s="696" t="s">
        <v>2133</v>
      </c>
      <c r="G759" s="696" t="s">
        <v>2288</v>
      </c>
      <c r="H759" s="696" t="s">
        <v>547</v>
      </c>
      <c r="I759" s="696" t="s">
        <v>2959</v>
      </c>
      <c r="J759" s="696" t="s">
        <v>2290</v>
      </c>
      <c r="K759" s="696" t="s">
        <v>838</v>
      </c>
      <c r="L759" s="699">
        <v>154.33000000000001</v>
      </c>
      <c r="M759" s="699">
        <v>925.98</v>
      </c>
      <c r="N759" s="696">
        <v>6</v>
      </c>
      <c r="O759" s="700">
        <v>1.5</v>
      </c>
      <c r="P759" s="699"/>
      <c r="Q759" s="701">
        <v>0</v>
      </c>
      <c r="R759" s="696"/>
      <c r="S759" s="701">
        <v>0</v>
      </c>
      <c r="T759" s="700"/>
      <c r="U759" s="702">
        <v>0</v>
      </c>
    </row>
    <row r="760" spans="1:21" ht="14.4" customHeight="1" x14ac:dyDescent="0.3">
      <c r="A760" s="695">
        <v>7</v>
      </c>
      <c r="B760" s="696" t="s">
        <v>1978</v>
      </c>
      <c r="C760" s="696">
        <v>89301074</v>
      </c>
      <c r="D760" s="697" t="s">
        <v>3238</v>
      </c>
      <c r="E760" s="698" t="s">
        <v>2159</v>
      </c>
      <c r="F760" s="696" t="s">
        <v>2133</v>
      </c>
      <c r="G760" s="696" t="s">
        <v>2288</v>
      </c>
      <c r="H760" s="696" t="s">
        <v>547</v>
      </c>
      <c r="I760" s="696" t="s">
        <v>3220</v>
      </c>
      <c r="J760" s="696" t="s">
        <v>2460</v>
      </c>
      <c r="K760" s="696" t="s">
        <v>2461</v>
      </c>
      <c r="L760" s="699">
        <v>0</v>
      </c>
      <c r="M760" s="699">
        <v>0</v>
      </c>
      <c r="N760" s="696">
        <v>1</v>
      </c>
      <c r="O760" s="700">
        <v>1</v>
      </c>
      <c r="P760" s="699">
        <v>0</v>
      </c>
      <c r="Q760" s="701"/>
      <c r="R760" s="696">
        <v>1</v>
      </c>
      <c r="S760" s="701">
        <v>1</v>
      </c>
      <c r="T760" s="700">
        <v>1</v>
      </c>
      <c r="U760" s="702">
        <v>1</v>
      </c>
    </row>
    <row r="761" spans="1:21" ht="14.4" customHeight="1" x14ac:dyDescent="0.3">
      <c r="A761" s="695">
        <v>7</v>
      </c>
      <c r="B761" s="696" t="s">
        <v>1978</v>
      </c>
      <c r="C761" s="696">
        <v>89301074</v>
      </c>
      <c r="D761" s="697" t="s">
        <v>3238</v>
      </c>
      <c r="E761" s="698" t="s">
        <v>2159</v>
      </c>
      <c r="F761" s="696" t="s">
        <v>2133</v>
      </c>
      <c r="G761" s="696" t="s">
        <v>2802</v>
      </c>
      <c r="H761" s="696" t="s">
        <v>547</v>
      </c>
      <c r="I761" s="696" t="s">
        <v>1174</v>
      </c>
      <c r="J761" s="696" t="s">
        <v>1175</v>
      </c>
      <c r="K761" s="696" t="s">
        <v>3083</v>
      </c>
      <c r="L761" s="699">
        <v>432.32</v>
      </c>
      <c r="M761" s="699">
        <v>864.64</v>
      </c>
      <c r="N761" s="696">
        <v>2</v>
      </c>
      <c r="O761" s="700">
        <v>1</v>
      </c>
      <c r="P761" s="699">
        <v>864.64</v>
      </c>
      <c r="Q761" s="701">
        <v>1</v>
      </c>
      <c r="R761" s="696">
        <v>2</v>
      </c>
      <c r="S761" s="701">
        <v>1</v>
      </c>
      <c r="T761" s="700">
        <v>1</v>
      </c>
      <c r="U761" s="702">
        <v>1</v>
      </c>
    </row>
    <row r="762" spans="1:21" ht="14.4" customHeight="1" x14ac:dyDescent="0.3">
      <c r="A762" s="695">
        <v>7</v>
      </c>
      <c r="B762" s="696" t="s">
        <v>1978</v>
      </c>
      <c r="C762" s="696">
        <v>89301074</v>
      </c>
      <c r="D762" s="697" t="s">
        <v>3238</v>
      </c>
      <c r="E762" s="698" t="s">
        <v>2159</v>
      </c>
      <c r="F762" s="696" t="s">
        <v>2133</v>
      </c>
      <c r="G762" s="696" t="s">
        <v>2960</v>
      </c>
      <c r="H762" s="696" t="s">
        <v>547</v>
      </c>
      <c r="I762" s="696" t="s">
        <v>2961</v>
      </c>
      <c r="J762" s="696" t="s">
        <v>2962</v>
      </c>
      <c r="K762" s="696" t="s">
        <v>2963</v>
      </c>
      <c r="L762" s="699">
        <v>139.46</v>
      </c>
      <c r="M762" s="699">
        <v>557.84</v>
      </c>
      <c r="N762" s="696">
        <v>4</v>
      </c>
      <c r="O762" s="700">
        <v>1</v>
      </c>
      <c r="P762" s="699"/>
      <c r="Q762" s="701">
        <v>0</v>
      </c>
      <c r="R762" s="696"/>
      <c r="S762" s="701">
        <v>0</v>
      </c>
      <c r="T762" s="700"/>
      <c r="U762" s="702">
        <v>0</v>
      </c>
    </row>
    <row r="763" spans="1:21" ht="14.4" customHeight="1" x14ac:dyDescent="0.3">
      <c r="A763" s="695">
        <v>7</v>
      </c>
      <c r="B763" s="696" t="s">
        <v>1978</v>
      </c>
      <c r="C763" s="696">
        <v>89301074</v>
      </c>
      <c r="D763" s="697" t="s">
        <v>3238</v>
      </c>
      <c r="E763" s="698" t="s">
        <v>2159</v>
      </c>
      <c r="F763" s="696" t="s">
        <v>2133</v>
      </c>
      <c r="G763" s="696" t="s">
        <v>2960</v>
      </c>
      <c r="H763" s="696" t="s">
        <v>547</v>
      </c>
      <c r="I763" s="696" t="s">
        <v>3221</v>
      </c>
      <c r="J763" s="696" t="s">
        <v>3222</v>
      </c>
      <c r="K763" s="696" t="s">
        <v>2963</v>
      </c>
      <c r="L763" s="699">
        <v>0</v>
      </c>
      <c r="M763" s="699">
        <v>0</v>
      </c>
      <c r="N763" s="696">
        <v>5</v>
      </c>
      <c r="O763" s="700">
        <v>2</v>
      </c>
      <c r="P763" s="699">
        <v>0</v>
      </c>
      <c r="Q763" s="701"/>
      <c r="R763" s="696">
        <v>5</v>
      </c>
      <c r="S763" s="701">
        <v>1</v>
      </c>
      <c r="T763" s="700">
        <v>2</v>
      </c>
      <c r="U763" s="702">
        <v>1</v>
      </c>
    </row>
    <row r="764" spans="1:21" ht="14.4" customHeight="1" x14ac:dyDescent="0.3">
      <c r="A764" s="695">
        <v>7</v>
      </c>
      <c r="B764" s="696" t="s">
        <v>1978</v>
      </c>
      <c r="C764" s="696">
        <v>89301074</v>
      </c>
      <c r="D764" s="697" t="s">
        <v>3238</v>
      </c>
      <c r="E764" s="698" t="s">
        <v>2159</v>
      </c>
      <c r="F764" s="696" t="s">
        <v>2133</v>
      </c>
      <c r="G764" s="696" t="s">
        <v>2960</v>
      </c>
      <c r="H764" s="696" t="s">
        <v>547</v>
      </c>
      <c r="I764" s="696" t="s">
        <v>3223</v>
      </c>
      <c r="J764" s="696" t="s">
        <v>3222</v>
      </c>
      <c r="K764" s="696" t="s">
        <v>2963</v>
      </c>
      <c r="L764" s="699">
        <v>139.46</v>
      </c>
      <c r="M764" s="699">
        <v>278.92</v>
      </c>
      <c r="N764" s="696">
        <v>2</v>
      </c>
      <c r="O764" s="700">
        <v>1</v>
      </c>
      <c r="P764" s="699"/>
      <c r="Q764" s="701">
        <v>0</v>
      </c>
      <c r="R764" s="696"/>
      <c r="S764" s="701">
        <v>0</v>
      </c>
      <c r="T764" s="700"/>
      <c r="U764" s="702">
        <v>0</v>
      </c>
    </row>
    <row r="765" spans="1:21" ht="14.4" customHeight="1" x14ac:dyDescent="0.3">
      <c r="A765" s="695">
        <v>7</v>
      </c>
      <c r="B765" s="696" t="s">
        <v>1978</v>
      </c>
      <c r="C765" s="696">
        <v>89301074</v>
      </c>
      <c r="D765" s="697" t="s">
        <v>3238</v>
      </c>
      <c r="E765" s="698" t="s">
        <v>2159</v>
      </c>
      <c r="F765" s="696" t="s">
        <v>2133</v>
      </c>
      <c r="G765" s="696" t="s">
        <v>2194</v>
      </c>
      <c r="H765" s="696" t="s">
        <v>547</v>
      </c>
      <c r="I765" s="696" t="s">
        <v>2462</v>
      </c>
      <c r="J765" s="696" t="s">
        <v>2463</v>
      </c>
      <c r="K765" s="696" t="s">
        <v>2464</v>
      </c>
      <c r="L765" s="699">
        <v>0</v>
      </c>
      <c r="M765" s="699">
        <v>0</v>
      </c>
      <c r="N765" s="696">
        <v>1</v>
      </c>
      <c r="O765" s="700">
        <v>0.5</v>
      </c>
      <c r="P765" s="699"/>
      <c r="Q765" s="701"/>
      <c r="R765" s="696"/>
      <c r="S765" s="701">
        <v>0</v>
      </c>
      <c r="T765" s="700"/>
      <c r="U765" s="702">
        <v>0</v>
      </c>
    </row>
    <row r="766" spans="1:21" ht="14.4" customHeight="1" x14ac:dyDescent="0.3">
      <c r="A766" s="695">
        <v>7</v>
      </c>
      <c r="B766" s="696" t="s">
        <v>1978</v>
      </c>
      <c r="C766" s="696">
        <v>89301074</v>
      </c>
      <c r="D766" s="697" t="s">
        <v>3238</v>
      </c>
      <c r="E766" s="698" t="s">
        <v>2159</v>
      </c>
      <c r="F766" s="696" t="s">
        <v>2133</v>
      </c>
      <c r="G766" s="696" t="s">
        <v>2194</v>
      </c>
      <c r="H766" s="696" t="s">
        <v>547</v>
      </c>
      <c r="I766" s="696" t="s">
        <v>2964</v>
      </c>
      <c r="J766" s="696" t="s">
        <v>2405</v>
      </c>
      <c r="K766" s="696" t="s">
        <v>2303</v>
      </c>
      <c r="L766" s="699">
        <v>0</v>
      </c>
      <c r="M766" s="699">
        <v>0</v>
      </c>
      <c r="N766" s="696">
        <v>2</v>
      </c>
      <c r="O766" s="700">
        <v>1.5</v>
      </c>
      <c r="P766" s="699">
        <v>0</v>
      </c>
      <c r="Q766" s="701"/>
      <c r="R766" s="696">
        <v>2</v>
      </c>
      <c r="S766" s="701">
        <v>1</v>
      </c>
      <c r="T766" s="700">
        <v>1.5</v>
      </c>
      <c r="U766" s="702">
        <v>1</v>
      </c>
    </row>
    <row r="767" spans="1:21" ht="14.4" customHeight="1" x14ac:dyDescent="0.3">
      <c r="A767" s="695">
        <v>7</v>
      </c>
      <c r="B767" s="696" t="s">
        <v>1978</v>
      </c>
      <c r="C767" s="696">
        <v>89301074</v>
      </c>
      <c r="D767" s="697" t="s">
        <v>3238</v>
      </c>
      <c r="E767" s="698" t="s">
        <v>2159</v>
      </c>
      <c r="F767" s="696" t="s">
        <v>2133</v>
      </c>
      <c r="G767" s="696" t="s">
        <v>2194</v>
      </c>
      <c r="H767" s="696" t="s">
        <v>547</v>
      </c>
      <c r="I767" s="696" t="s">
        <v>2302</v>
      </c>
      <c r="J767" s="696" t="s">
        <v>2196</v>
      </c>
      <c r="K767" s="696" t="s">
        <v>2303</v>
      </c>
      <c r="L767" s="699">
        <v>0</v>
      </c>
      <c r="M767" s="699">
        <v>0</v>
      </c>
      <c r="N767" s="696">
        <v>4</v>
      </c>
      <c r="O767" s="700">
        <v>2.5</v>
      </c>
      <c r="P767" s="699">
        <v>0</v>
      </c>
      <c r="Q767" s="701"/>
      <c r="R767" s="696">
        <v>2</v>
      </c>
      <c r="S767" s="701">
        <v>0.5</v>
      </c>
      <c r="T767" s="700">
        <v>1.5</v>
      </c>
      <c r="U767" s="702">
        <v>0.6</v>
      </c>
    </row>
    <row r="768" spans="1:21" ht="14.4" customHeight="1" x14ac:dyDescent="0.3">
      <c r="A768" s="695">
        <v>7</v>
      </c>
      <c r="B768" s="696" t="s">
        <v>1978</v>
      </c>
      <c r="C768" s="696">
        <v>89301074</v>
      </c>
      <c r="D768" s="697" t="s">
        <v>3238</v>
      </c>
      <c r="E768" s="698" t="s">
        <v>2159</v>
      </c>
      <c r="F768" s="696" t="s">
        <v>2133</v>
      </c>
      <c r="G768" s="696" t="s">
        <v>2194</v>
      </c>
      <c r="H768" s="696" t="s">
        <v>547</v>
      </c>
      <c r="I768" s="696" t="s">
        <v>2563</v>
      </c>
      <c r="J768" s="696" t="s">
        <v>2564</v>
      </c>
      <c r="K768" s="696" t="s">
        <v>2303</v>
      </c>
      <c r="L768" s="699">
        <v>0</v>
      </c>
      <c r="M768" s="699">
        <v>0</v>
      </c>
      <c r="N768" s="696">
        <v>2</v>
      </c>
      <c r="O768" s="700">
        <v>1</v>
      </c>
      <c r="P768" s="699">
        <v>0</v>
      </c>
      <c r="Q768" s="701"/>
      <c r="R768" s="696">
        <v>2</v>
      </c>
      <c r="S768" s="701">
        <v>1</v>
      </c>
      <c r="T768" s="700">
        <v>1</v>
      </c>
      <c r="U768" s="702">
        <v>1</v>
      </c>
    </row>
    <row r="769" spans="1:21" ht="14.4" customHeight="1" x14ac:dyDescent="0.3">
      <c r="A769" s="695">
        <v>7</v>
      </c>
      <c r="B769" s="696" t="s">
        <v>1978</v>
      </c>
      <c r="C769" s="696">
        <v>89301074</v>
      </c>
      <c r="D769" s="697" t="s">
        <v>3238</v>
      </c>
      <c r="E769" s="698" t="s">
        <v>2159</v>
      </c>
      <c r="F769" s="696" t="s">
        <v>2133</v>
      </c>
      <c r="G769" s="696" t="s">
        <v>2194</v>
      </c>
      <c r="H769" s="696" t="s">
        <v>547</v>
      </c>
      <c r="I769" s="696" t="s">
        <v>2404</v>
      </c>
      <c r="J769" s="696" t="s">
        <v>2405</v>
      </c>
      <c r="K769" s="696" t="s">
        <v>2406</v>
      </c>
      <c r="L769" s="699">
        <v>0</v>
      </c>
      <c r="M769" s="699">
        <v>0</v>
      </c>
      <c r="N769" s="696">
        <v>3</v>
      </c>
      <c r="O769" s="700">
        <v>0.5</v>
      </c>
      <c r="P769" s="699">
        <v>0</v>
      </c>
      <c r="Q769" s="701"/>
      <c r="R769" s="696">
        <v>3</v>
      </c>
      <c r="S769" s="701">
        <v>1</v>
      </c>
      <c r="T769" s="700">
        <v>0.5</v>
      </c>
      <c r="U769" s="702">
        <v>1</v>
      </c>
    </row>
    <row r="770" spans="1:21" ht="14.4" customHeight="1" x14ac:dyDescent="0.3">
      <c r="A770" s="695">
        <v>7</v>
      </c>
      <c r="B770" s="696" t="s">
        <v>1978</v>
      </c>
      <c r="C770" s="696">
        <v>89301074</v>
      </c>
      <c r="D770" s="697" t="s">
        <v>3238</v>
      </c>
      <c r="E770" s="698" t="s">
        <v>2159</v>
      </c>
      <c r="F770" s="696" t="s">
        <v>2133</v>
      </c>
      <c r="G770" s="696" t="s">
        <v>2194</v>
      </c>
      <c r="H770" s="696" t="s">
        <v>547</v>
      </c>
      <c r="I770" s="696" t="s">
        <v>2304</v>
      </c>
      <c r="J770" s="696" t="s">
        <v>2196</v>
      </c>
      <c r="K770" s="696" t="s">
        <v>2303</v>
      </c>
      <c r="L770" s="699">
        <v>0</v>
      </c>
      <c r="M770" s="699">
        <v>0</v>
      </c>
      <c r="N770" s="696">
        <v>4</v>
      </c>
      <c r="O770" s="700">
        <v>1.5</v>
      </c>
      <c r="P770" s="699">
        <v>0</v>
      </c>
      <c r="Q770" s="701"/>
      <c r="R770" s="696">
        <v>3</v>
      </c>
      <c r="S770" s="701">
        <v>0.75</v>
      </c>
      <c r="T770" s="700">
        <v>0.5</v>
      </c>
      <c r="U770" s="702">
        <v>0.33333333333333331</v>
      </c>
    </row>
    <row r="771" spans="1:21" ht="14.4" customHeight="1" x14ac:dyDescent="0.3">
      <c r="A771" s="695">
        <v>7</v>
      </c>
      <c r="B771" s="696" t="s">
        <v>1978</v>
      </c>
      <c r="C771" s="696">
        <v>89301074</v>
      </c>
      <c r="D771" s="697" t="s">
        <v>3238</v>
      </c>
      <c r="E771" s="698" t="s">
        <v>2167</v>
      </c>
      <c r="F771" s="696" t="s">
        <v>2133</v>
      </c>
      <c r="G771" s="696" t="s">
        <v>3224</v>
      </c>
      <c r="H771" s="696" t="s">
        <v>547</v>
      </c>
      <c r="I771" s="696" t="s">
        <v>3225</v>
      </c>
      <c r="J771" s="696" t="s">
        <v>3226</v>
      </c>
      <c r="K771" s="696" t="s">
        <v>2768</v>
      </c>
      <c r="L771" s="699">
        <v>14.2</v>
      </c>
      <c r="M771" s="699">
        <v>28.4</v>
      </c>
      <c r="N771" s="696">
        <v>2</v>
      </c>
      <c r="O771" s="700">
        <v>0.5</v>
      </c>
      <c r="P771" s="699">
        <v>28.4</v>
      </c>
      <c r="Q771" s="701">
        <v>1</v>
      </c>
      <c r="R771" s="696">
        <v>2</v>
      </c>
      <c r="S771" s="701">
        <v>1</v>
      </c>
      <c r="T771" s="700">
        <v>0.5</v>
      </c>
      <c r="U771" s="702">
        <v>1</v>
      </c>
    </row>
    <row r="772" spans="1:21" ht="14.4" customHeight="1" x14ac:dyDescent="0.3">
      <c r="A772" s="695">
        <v>7</v>
      </c>
      <c r="B772" s="696" t="s">
        <v>1978</v>
      </c>
      <c r="C772" s="696">
        <v>89301074</v>
      </c>
      <c r="D772" s="697" t="s">
        <v>3238</v>
      </c>
      <c r="E772" s="698" t="s">
        <v>2167</v>
      </c>
      <c r="F772" s="696" t="s">
        <v>2133</v>
      </c>
      <c r="G772" s="696" t="s">
        <v>3227</v>
      </c>
      <c r="H772" s="696" t="s">
        <v>547</v>
      </c>
      <c r="I772" s="696" t="s">
        <v>3228</v>
      </c>
      <c r="J772" s="696" t="s">
        <v>3229</v>
      </c>
      <c r="K772" s="696" t="s">
        <v>3230</v>
      </c>
      <c r="L772" s="699">
        <v>1317.85</v>
      </c>
      <c r="M772" s="699">
        <v>3953.5499999999997</v>
      </c>
      <c r="N772" s="696">
        <v>3</v>
      </c>
      <c r="O772" s="700">
        <v>2.5</v>
      </c>
      <c r="P772" s="699">
        <v>3953.5499999999997</v>
      </c>
      <c r="Q772" s="701">
        <v>1</v>
      </c>
      <c r="R772" s="696">
        <v>3</v>
      </c>
      <c r="S772" s="701">
        <v>1</v>
      </c>
      <c r="T772" s="700">
        <v>2.5</v>
      </c>
      <c r="U772" s="702">
        <v>1</v>
      </c>
    </row>
    <row r="773" spans="1:21" ht="14.4" customHeight="1" x14ac:dyDescent="0.3">
      <c r="A773" s="695">
        <v>7</v>
      </c>
      <c r="B773" s="696" t="s">
        <v>1978</v>
      </c>
      <c r="C773" s="696">
        <v>89301074</v>
      </c>
      <c r="D773" s="697" t="s">
        <v>3238</v>
      </c>
      <c r="E773" s="698" t="s">
        <v>2167</v>
      </c>
      <c r="F773" s="696" t="s">
        <v>2133</v>
      </c>
      <c r="G773" s="696" t="s">
        <v>3231</v>
      </c>
      <c r="H773" s="696" t="s">
        <v>547</v>
      </c>
      <c r="I773" s="696" t="s">
        <v>3232</v>
      </c>
      <c r="J773" s="696" t="s">
        <v>3233</v>
      </c>
      <c r="K773" s="696" t="s">
        <v>3234</v>
      </c>
      <c r="L773" s="699">
        <v>65.25</v>
      </c>
      <c r="M773" s="699">
        <v>130.5</v>
      </c>
      <c r="N773" s="696">
        <v>2</v>
      </c>
      <c r="O773" s="700">
        <v>1</v>
      </c>
      <c r="P773" s="699"/>
      <c r="Q773" s="701">
        <v>0</v>
      </c>
      <c r="R773" s="696"/>
      <c r="S773" s="701">
        <v>0</v>
      </c>
      <c r="T773" s="700"/>
      <c r="U773" s="702">
        <v>0</v>
      </c>
    </row>
    <row r="774" spans="1:21" ht="14.4" customHeight="1" thickBot="1" x14ac:dyDescent="0.35">
      <c r="A774" s="703">
        <v>7</v>
      </c>
      <c r="B774" s="704" t="s">
        <v>1978</v>
      </c>
      <c r="C774" s="704">
        <v>89301074</v>
      </c>
      <c r="D774" s="705" t="s">
        <v>3238</v>
      </c>
      <c r="E774" s="706" t="s">
        <v>2167</v>
      </c>
      <c r="F774" s="704" t="s">
        <v>2133</v>
      </c>
      <c r="G774" s="704" t="s">
        <v>3231</v>
      </c>
      <c r="H774" s="704" t="s">
        <v>1438</v>
      </c>
      <c r="I774" s="704" t="s">
        <v>3235</v>
      </c>
      <c r="J774" s="704" t="s">
        <v>3236</v>
      </c>
      <c r="K774" s="704" t="s">
        <v>2562</v>
      </c>
      <c r="L774" s="707">
        <v>32.630000000000003</v>
      </c>
      <c r="M774" s="707">
        <v>65.260000000000005</v>
      </c>
      <c r="N774" s="704">
        <v>2</v>
      </c>
      <c r="O774" s="708">
        <v>1</v>
      </c>
      <c r="P774" s="707"/>
      <c r="Q774" s="709">
        <v>0</v>
      </c>
      <c r="R774" s="704"/>
      <c r="S774" s="709">
        <v>0</v>
      </c>
      <c r="T774" s="708"/>
      <c r="U774" s="710">
        <v>0</v>
      </c>
    </row>
  </sheetData>
  <autoFilter ref="A6:U6"/>
  <mergeCells count="8">
    <mergeCell ref="A1:U1"/>
    <mergeCell ref="P5:Q5"/>
    <mergeCell ref="R5:S5"/>
    <mergeCell ref="T5:U5"/>
    <mergeCell ref="A3:J3"/>
    <mergeCell ref="K3:L3"/>
    <mergeCell ref="M4:O4"/>
    <mergeCell ref="P4:U4"/>
  </mergeCells>
  <hyperlinks>
    <hyperlink ref="A2" location="Obsah!A1" display="Zpět na Obsah  KL 01  1.-4.měsíc"/>
  </hyperlinks>
  <pageMargins left="0.25" right="0.25" top="0.75" bottom="0.75" header="0.3" footer="0.3"/>
  <pageSetup paperSize="9" scale="99" fitToHeight="0" orientation="landscape" r:id="rId1"/>
  <ignoredErrors>
    <ignoredError sqref="Q3 S3" formula="1"/>
  </ignoredError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8">
    <tabColor theme="0" tint="-0.249977111117893"/>
    <pageSetUpPr fitToPage="1"/>
  </sheetPr>
  <dimension ref="A1:F71"/>
  <sheetViews>
    <sheetView showGridLines="0" showRowColHeaders="0" workbookViewId="0">
      <pane ySplit="4" topLeftCell="A5" activePane="bottomLeft" state="frozen"/>
      <selection pane="bottomLeft" sqref="A1:F1"/>
    </sheetView>
  </sheetViews>
  <sheetFormatPr defaultRowHeight="14.4" customHeight="1" x14ac:dyDescent="0.3"/>
  <cols>
    <col min="1" max="1" width="46.6640625" style="257" customWidth="1"/>
    <col min="2" max="2" width="10" style="340" customWidth="1"/>
    <col min="3" max="3" width="5.5546875" style="343" customWidth="1"/>
    <col min="4" max="4" width="10" style="340" customWidth="1"/>
    <col min="5" max="5" width="5.5546875" style="343" customWidth="1"/>
    <col min="6" max="6" width="10" style="340" customWidth="1"/>
    <col min="7" max="7" width="8.88671875" style="257" customWidth="1"/>
    <col min="8" max="16384" width="8.88671875" style="257"/>
  </cols>
  <sheetData>
    <row r="1" spans="1:6" ht="37.799999999999997" customHeight="1" thickBot="1" x14ac:dyDescent="0.4">
      <c r="A1" s="495" t="s">
        <v>3240</v>
      </c>
      <c r="B1" s="496"/>
      <c r="C1" s="496"/>
      <c r="D1" s="496"/>
      <c r="E1" s="496"/>
      <c r="F1" s="496"/>
    </row>
    <row r="2" spans="1:6" ht="14.4" customHeight="1" thickBot="1" x14ac:dyDescent="0.35">
      <c r="A2" s="386" t="s">
        <v>321</v>
      </c>
      <c r="B2" s="67"/>
      <c r="C2" s="68"/>
      <c r="D2" s="69"/>
      <c r="E2" s="68"/>
      <c r="F2" s="69"/>
    </row>
    <row r="3" spans="1:6" ht="14.4" customHeight="1" thickBot="1" x14ac:dyDescent="0.35">
      <c r="A3" s="212"/>
      <c r="B3" s="497" t="s">
        <v>162</v>
      </c>
      <c r="C3" s="498"/>
      <c r="D3" s="499" t="s">
        <v>161</v>
      </c>
      <c r="E3" s="498"/>
      <c r="F3" s="105" t="s">
        <v>3</v>
      </c>
    </row>
    <row r="4" spans="1:6" ht="14.4" customHeight="1" thickBot="1" x14ac:dyDescent="0.35">
      <c r="A4" s="642" t="s">
        <v>236</v>
      </c>
      <c r="B4" s="643" t="s">
        <v>14</v>
      </c>
      <c r="C4" s="644" t="s">
        <v>2</v>
      </c>
      <c r="D4" s="643" t="s">
        <v>14</v>
      </c>
      <c r="E4" s="644" t="s">
        <v>2</v>
      </c>
      <c r="F4" s="645" t="s">
        <v>14</v>
      </c>
    </row>
    <row r="5" spans="1:6" ht="14.4" customHeight="1" x14ac:dyDescent="0.3">
      <c r="A5" s="656" t="s">
        <v>2159</v>
      </c>
      <c r="B5" s="628">
        <v>37413.619999999988</v>
      </c>
      <c r="C5" s="646">
        <v>0.12086988302794695</v>
      </c>
      <c r="D5" s="628">
        <v>272122.71000000002</v>
      </c>
      <c r="E5" s="646">
        <v>0.87913011697205301</v>
      </c>
      <c r="F5" s="629">
        <v>309536.33</v>
      </c>
    </row>
    <row r="6" spans="1:6" ht="14.4" customHeight="1" x14ac:dyDescent="0.3">
      <c r="A6" s="718" t="s">
        <v>2149</v>
      </c>
      <c r="B6" s="711">
        <v>11984.640000000001</v>
      </c>
      <c r="C6" s="701">
        <v>5.3944659084269903E-2</v>
      </c>
      <c r="D6" s="711">
        <v>210180.81999999998</v>
      </c>
      <c r="E6" s="701">
        <v>0.94605534091573007</v>
      </c>
      <c r="F6" s="712">
        <v>222165.46</v>
      </c>
    </row>
    <row r="7" spans="1:6" ht="14.4" customHeight="1" x14ac:dyDescent="0.3">
      <c r="A7" s="718" t="s">
        <v>2151</v>
      </c>
      <c r="B7" s="711">
        <v>11599.7</v>
      </c>
      <c r="C7" s="701">
        <v>5.7242345784885386E-2</v>
      </c>
      <c r="D7" s="711">
        <v>191042.24000000005</v>
      </c>
      <c r="E7" s="701">
        <v>0.94275765421511459</v>
      </c>
      <c r="F7" s="712">
        <v>202641.94000000006</v>
      </c>
    </row>
    <row r="8" spans="1:6" ht="14.4" customHeight="1" x14ac:dyDescent="0.3">
      <c r="A8" s="718" t="s">
        <v>2165</v>
      </c>
      <c r="B8" s="711">
        <v>769.69</v>
      </c>
      <c r="C8" s="701">
        <v>0.51989219712525669</v>
      </c>
      <c r="D8" s="711">
        <v>710.79</v>
      </c>
      <c r="E8" s="701">
        <v>0.48010780287474331</v>
      </c>
      <c r="F8" s="712">
        <v>1480.48</v>
      </c>
    </row>
    <row r="9" spans="1:6" ht="14.4" customHeight="1" x14ac:dyDescent="0.3">
      <c r="A9" s="718" t="s">
        <v>2154</v>
      </c>
      <c r="B9" s="711">
        <v>654.93000000000006</v>
      </c>
      <c r="C9" s="701">
        <v>1.1183518615376814E-2</v>
      </c>
      <c r="D9" s="711">
        <v>57907.14</v>
      </c>
      <c r="E9" s="701">
        <v>0.98881648138462319</v>
      </c>
      <c r="F9" s="712">
        <v>58562.07</v>
      </c>
    </row>
    <row r="10" spans="1:6" ht="14.4" customHeight="1" x14ac:dyDescent="0.3">
      <c r="A10" s="718" t="s">
        <v>2145</v>
      </c>
      <c r="B10" s="711">
        <v>454.07</v>
      </c>
      <c r="C10" s="701">
        <v>0.55205407836986786</v>
      </c>
      <c r="D10" s="711">
        <v>368.44</v>
      </c>
      <c r="E10" s="701">
        <v>0.44794592163013214</v>
      </c>
      <c r="F10" s="712">
        <v>822.51</v>
      </c>
    </row>
    <row r="11" spans="1:6" ht="14.4" customHeight="1" x14ac:dyDescent="0.3">
      <c r="A11" s="718" t="s">
        <v>2169</v>
      </c>
      <c r="B11" s="711">
        <v>444.5</v>
      </c>
      <c r="C11" s="701">
        <v>0.33333333333333331</v>
      </c>
      <c r="D11" s="711">
        <v>889</v>
      </c>
      <c r="E11" s="701">
        <v>0.66666666666666663</v>
      </c>
      <c r="F11" s="712">
        <v>1333.5</v>
      </c>
    </row>
    <row r="12" spans="1:6" ht="14.4" customHeight="1" x14ac:dyDescent="0.3">
      <c r="A12" s="718" t="s">
        <v>2158</v>
      </c>
      <c r="B12" s="711">
        <v>352.02</v>
      </c>
      <c r="C12" s="701">
        <v>0.72939372591272633</v>
      </c>
      <c r="D12" s="711">
        <v>130.6</v>
      </c>
      <c r="E12" s="701">
        <v>0.27060627408727361</v>
      </c>
      <c r="F12" s="712">
        <v>482.62</v>
      </c>
    </row>
    <row r="13" spans="1:6" ht="14.4" customHeight="1" x14ac:dyDescent="0.3">
      <c r="A13" s="718" t="s">
        <v>2150</v>
      </c>
      <c r="B13" s="711">
        <v>345.53</v>
      </c>
      <c r="C13" s="701">
        <v>0.63408144165305635</v>
      </c>
      <c r="D13" s="711">
        <v>199.4</v>
      </c>
      <c r="E13" s="701">
        <v>0.3659185583469437</v>
      </c>
      <c r="F13" s="712">
        <v>544.92999999999995</v>
      </c>
    </row>
    <row r="14" spans="1:6" ht="14.4" customHeight="1" x14ac:dyDescent="0.3">
      <c r="A14" s="718" t="s">
        <v>2162</v>
      </c>
      <c r="B14" s="711">
        <v>200.07</v>
      </c>
      <c r="C14" s="701">
        <v>0.31637122661648664</v>
      </c>
      <c r="D14" s="711">
        <v>432.32</v>
      </c>
      <c r="E14" s="701">
        <v>0.68362877338351336</v>
      </c>
      <c r="F14" s="712">
        <v>632.39</v>
      </c>
    </row>
    <row r="15" spans="1:6" ht="14.4" customHeight="1" x14ac:dyDescent="0.3">
      <c r="A15" s="718" t="s">
        <v>2148</v>
      </c>
      <c r="B15" s="711">
        <v>152.54</v>
      </c>
      <c r="C15" s="701">
        <v>3.0675741087414195E-3</v>
      </c>
      <c r="D15" s="711">
        <v>49574.05</v>
      </c>
      <c r="E15" s="701">
        <v>0.99693242589125852</v>
      </c>
      <c r="F15" s="712">
        <v>49726.590000000004</v>
      </c>
    </row>
    <row r="16" spans="1:6" ht="14.4" customHeight="1" x14ac:dyDescent="0.3">
      <c r="A16" s="718" t="s">
        <v>2146</v>
      </c>
      <c r="B16" s="711">
        <v>134.67000000000002</v>
      </c>
      <c r="C16" s="701">
        <v>0.10758709945435518</v>
      </c>
      <c r="D16" s="711">
        <v>1117.06</v>
      </c>
      <c r="E16" s="701">
        <v>0.89241290054564482</v>
      </c>
      <c r="F16" s="712">
        <v>1251.73</v>
      </c>
    </row>
    <row r="17" spans="1:6" ht="14.4" customHeight="1" x14ac:dyDescent="0.3">
      <c r="A17" s="718" t="s">
        <v>2167</v>
      </c>
      <c r="B17" s="711">
        <v>130.5</v>
      </c>
      <c r="C17" s="701">
        <v>0.66663261136085006</v>
      </c>
      <c r="D17" s="711">
        <v>65.260000000000005</v>
      </c>
      <c r="E17" s="701">
        <v>0.33336738863915</v>
      </c>
      <c r="F17" s="712">
        <v>195.76</v>
      </c>
    </row>
    <row r="18" spans="1:6" ht="14.4" customHeight="1" x14ac:dyDescent="0.3">
      <c r="A18" s="718" t="s">
        <v>2164</v>
      </c>
      <c r="B18" s="711">
        <v>0</v>
      </c>
      <c r="C18" s="701">
        <v>0</v>
      </c>
      <c r="D18" s="711">
        <v>90692.12</v>
      </c>
      <c r="E18" s="701">
        <v>1</v>
      </c>
      <c r="F18" s="712">
        <v>90692.12</v>
      </c>
    </row>
    <row r="19" spans="1:6" ht="14.4" customHeight="1" x14ac:dyDescent="0.3">
      <c r="A19" s="718" t="s">
        <v>2157</v>
      </c>
      <c r="B19" s="711">
        <v>0</v>
      </c>
      <c r="C19" s="701">
        <v>0</v>
      </c>
      <c r="D19" s="711">
        <v>819.1400000000001</v>
      </c>
      <c r="E19" s="701">
        <v>1</v>
      </c>
      <c r="F19" s="712">
        <v>819.1400000000001</v>
      </c>
    </row>
    <row r="20" spans="1:6" ht="14.4" customHeight="1" x14ac:dyDescent="0.3">
      <c r="A20" s="718" t="s">
        <v>2163</v>
      </c>
      <c r="B20" s="711"/>
      <c r="C20" s="701">
        <v>0</v>
      </c>
      <c r="D20" s="711">
        <v>773.02</v>
      </c>
      <c r="E20" s="701">
        <v>1</v>
      </c>
      <c r="F20" s="712">
        <v>773.02</v>
      </c>
    </row>
    <row r="21" spans="1:6" ht="14.4" customHeight="1" x14ac:dyDescent="0.3">
      <c r="A21" s="718" t="s">
        <v>2153</v>
      </c>
      <c r="B21" s="711"/>
      <c r="C21" s="701">
        <v>0</v>
      </c>
      <c r="D21" s="711">
        <v>430.52000000000004</v>
      </c>
      <c r="E21" s="701">
        <v>1</v>
      </c>
      <c r="F21" s="712">
        <v>430.52000000000004</v>
      </c>
    </row>
    <row r="22" spans="1:6" ht="14.4" customHeight="1" x14ac:dyDescent="0.3">
      <c r="A22" s="718" t="s">
        <v>2144</v>
      </c>
      <c r="B22" s="711"/>
      <c r="C22" s="701">
        <v>0</v>
      </c>
      <c r="D22" s="711">
        <v>163.72999999999999</v>
      </c>
      <c r="E22" s="701">
        <v>1</v>
      </c>
      <c r="F22" s="712">
        <v>163.72999999999999</v>
      </c>
    </row>
    <row r="23" spans="1:6" ht="14.4" customHeight="1" x14ac:dyDescent="0.3">
      <c r="A23" s="718" t="s">
        <v>2143</v>
      </c>
      <c r="B23" s="711"/>
      <c r="C23" s="701">
        <v>0</v>
      </c>
      <c r="D23" s="711">
        <v>1250.58</v>
      </c>
      <c r="E23" s="701">
        <v>1</v>
      </c>
      <c r="F23" s="712">
        <v>1250.58</v>
      </c>
    </row>
    <row r="24" spans="1:6" ht="14.4" customHeight="1" x14ac:dyDescent="0.3">
      <c r="A24" s="718" t="s">
        <v>2168</v>
      </c>
      <c r="B24" s="711"/>
      <c r="C24" s="701">
        <v>0</v>
      </c>
      <c r="D24" s="711">
        <v>65.069999999999993</v>
      </c>
      <c r="E24" s="701">
        <v>1</v>
      </c>
      <c r="F24" s="712">
        <v>65.069999999999993</v>
      </c>
    </row>
    <row r="25" spans="1:6" ht="14.4" customHeight="1" x14ac:dyDescent="0.3">
      <c r="A25" s="718" t="s">
        <v>2141</v>
      </c>
      <c r="B25" s="711"/>
      <c r="C25" s="701">
        <v>0</v>
      </c>
      <c r="D25" s="711">
        <v>961.21</v>
      </c>
      <c r="E25" s="701">
        <v>1</v>
      </c>
      <c r="F25" s="712">
        <v>961.21</v>
      </c>
    </row>
    <row r="26" spans="1:6" ht="14.4" customHeight="1" thickBot="1" x14ac:dyDescent="0.35">
      <c r="A26" s="719" t="s">
        <v>2156</v>
      </c>
      <c r="B26" s="715"/>
      <c r="C26" s="716">
        <v>0</v>
      </c>
      <c r="D26" s="715">
        <v>755.31999999999994</v>
      </c>
      <c r="E26" s="716">
        <v>1</v>
      </c>
      <c r="F26" s="717">
        <v>755.31999999999994</v>
      </c>
    </row>
    <row r="27" spans="1:6" ht="14.4" customHeight="1" thickBot="1" x14ac:dyDescent="0.35">
      <c r="A27" s="652" t="s">
        <v>3</v>
      </c>
      <c r="B27" s="653">
        <v>64636.479999999989</v>
      </c>
      <c r="C27" s="654">
        <v>6.8377623549723543E-2</v>
      </c>
      <c r="D27" s="653">
        <v>880650.54</v>
      </c>
      <c r="E27" s="654">
        <v>0.93162237645027657</v>
      </c>
      <c r="F27" s="655">
        <v>945287.0199999999</v>
      </c>
    </row>
    <row r="28" spans="1:6" ht="14.4" customHeight="1" thickBot="1" x14ac:dyDescent="0.35"/>
    <row r="29" spans="1:6" ht="14.4" customHeight="1" x14ac:dyDescent="0.3">
      <c r="A29" s="656" t="s">
        <v>3241</v>
      </c>
      <c r="B29" s="628">
        <v>36826.960000000006</v>
      </c>
      <c r="C29" s="646">
        <v>8.5863422149429547E-2</v>
      </c>
      <c r="D29" s="628">
        <v>392074.65000000014</v>
      </c>
      <c r="E29" s="646">
        <v>0.91413657785057045</v>
      </c>
      <c r="F29" s="629">
        <v>428901.61000000016</v>
      </c>
    </row>
    <row r="30" spans="1:6" ht="14.4" customHeight="1" x14ac:dyDescent="0.3">
      <c r="A30" s="718" t="s">
        <v>3242</v>
      </c>
      <c r="B30" s="711">
        <v>12757.26</v>
      </c>
      <c r="C30" s="701">
        <v>9.4493287572760085E-2</v>
      </c>
      <c r="D30" s="711">
        <v>122249.79000000001</v>
      </c>
      <c r="E30" s="701">
        <v>0.9055067124272399</v>
      </c>
      <c r="F30" s="712">
        <v>135007.05000000002</v>
      </c>
    </row>
    <row r="31" spans="1:6" ht="14.4" customHeight="1" x14ac:dyDescent="0.3">
      <c r="A31" s="718" t="s">
        <v>2015</v>
      </c>
      <c r="B31" s="711">
        <v>5461.26</v>
      </c>
      <c r="C31" s="701">
        <v>0.13665247160048435</v>
      </c>
      <c r="D31" s="711">
        <v>34503.329999999994</v>
      </c>
      <c r="E31" s="701">
        <v>0.86334752839951556</v>
      </c>
      <c r="F31" s="712">
        <v>39964.589999999997</v>
      </c>
    </row>
    <row r="32" spans="1:6" ht="14.4" customHeight="1" x14ac:dyDescent="0.3">
      <c r="A32" s="718" t="s">
        <v>1999</v>
      </c>
      <c r="B32" s="711">
        <v>5245.5</v>
      </c>
      <c r="C32" s="701">
        <v>0.23052056205619686</v>
      </c>
      <c r="D32" s="711">
        <v>17509.519999999997</v>
      </c>
      <c r="E32" s="701">
        <v>0.76947943794380314</v>
      </c>
      <c r="F32" s="712">
        <v>22755.019999999997</v>
      </c>
    </row>
    <row r="33" spans="1:6" ht="14.4" customHeight="1" x14ac:dyDescent="0.3">
      <c r="A33" s="718" t="s">
        <v>3243</v>
      </c>
      <c r="B33" s="711">
        <v>606.74000000000012</v>
      </c>
      <c r="C33" s="701">
        <v>0.46836596060025942</v>
      </c>
      <c r="D33" s="711">
        <v>688.7</v>
      </c>
      <c r="E33" s="701">
        <v>0.53163403939974063</v>
      </c>
      <c r="F33" s="712">
        <v>1295.44</v>
      </c>
    </row>
    <row r="34" spans="1:6" ht="14.4" customHeight="1" x14ac:dyDescent="0.3">
      <c r="A34" s="718" t="s">
        <v>3244</v>
      </c>
      <c r="B34" s="711">
        <v>505.04</v>
      </c>
      <c r="C34" s="701">
        <v>0.25269435910778437</v>
      </c>
      <c r="D34" s="711">
        <v>1493.58</v>
      </c>
      <c r="E34" s="701">
        <v>0.74730564089221563</v>
      </c>
      <c r="F34" s="712">
        <v>1998.62</v>
      </c>
    </row>
    <row r="35" spans="1:6" ht="14.4" customHeight="1" x14ac:dyDescent="0.3">
      <c r="A35" s="718" t="s">
        <v>3245</v>
      </c>
      <c r="B35" s="711">
        <v>483.15</v>
      </c>
      <c r="C35" s="701">
        <v>9.9999999999999992E-2</v>
      </c>
      <c r="D35" s="711">
        <v>4348.3500000000004</v>
      </c>
      <c r="E35" s="701">
        <v>0.9</v>
      </c>
      <c r="F35" s="712">
        <v>4831.5</v>
      </c>
    </row>
    <row r="36" spans="1:6" ht="14.4" customHeight="1" x14ac:dyDescent="0.3">
      <c r="A36" s="718" t="s">
        <v>3246</v>
      </c>
      <c r="B36" s="711">
        <v>444.5</v>
      </c>
      <c r="C36" s="701">
        <v>0.33333333333333331</v>
      </c>
      <c r="D36" s="711">
        <v>889</v>
      </c>
      <c r="E36" s="701">
        <v>0.66666666666666663</v>
      </c>
      <c r="F36" s="712">
        <v>1333.5</v>
      </c>
    </row>
    <row r="37" spans="1:6" ht="14.4" customHeight="1" x14ac:dyDescent="0.3">
      <c r="A37" s="718" t="s">
        <v>2036</v>
      </c>
      <c r="B37" s="711">
        <v>413.22</v>
      </c>
      <c r="C37" s="701">
        <v>1</v>
      </c>
      <c r="D37" s="711"/>
      <c r="E37" s="701">
        <v>0</v>
      </c>
      <c r="F37" s="712">
        <v>413.22</v>
      </c>
    </row>
    <row r="38" spans="1:6" ht="14.4" customHeight="1" x14ac:dyDescent="0.3">
      <c r="A38" s="718" t="s">
        <v>3247</v>
      </c>
      <c r="B38" s="711">
        <v>403.5</v>
      </c>
      <c r="C38" s="701">
        <v>0.17830156163003424</v>
      </c>
      <c r="D38" s="711">
        <v>1859.5199999999998</v>
      </c>
      <c r="E38" s="701">
        <v>0.82169843836996581</v>
      </c>
      <c r="F38" s="712">
        <v>2263.0199999999995</v>
      </c>
    </row>
    <row r="39" spans="1:6" ht="14.4" customHeight="1" x14ac:dyDescent="0.3">
      <c r="A39" s="718" t="s">
        <v>3248</v>
      </c>
      <c r="B39" s="711">
        <v>349.83</v>
      </c>
      <c r="C39" s="701">
        <v>1</v>
      </c>
      <c r="D39" s="711"/>
      <c r="E39" s="701">
        <v>0</v>
      </c>
      <c r="F39" s="712">
        <v>349.83</v>
      </c>
    </row>
    <row r="40" spans="1:6" ht="14.4" customHeight="1" x14ac:dyDescent="0.3">
      <c r="A40" s="718" t="s">
        <v>3249</v>
      </c>
      <c r="B40" s="711">
        <v>278.92</v>
      </c>
      <c r="C40" s="701">
        <v>0.15653657496267862</v>
      </c>
      <c r="D40" s="711">
        <v>1502.9</v>
      </c>
      <c r="E40" s="701">
        <v>0.84346342503732141</v>
      </c>
      <c r="F40" s="712">
        <v>1781.8200000000002</v>
      </c>
    </row>
    <row r="41" spans="1:6" ht="14.4" customHeight="1" x14ac:dyDescent="0.3">
      <c r="A41" s="718" t="s">
        <v>3250</v>
      </c>
      <c r="B41" s="711">
        <v>202.26</v>
      </c>
      <c r="C41" s="701">
        <v>1</v>
      </c>
      <c r="D41" s="711"/>
      <c r="E41" s="701">
        <v>0</v>
      </c>
      <c r="F41" s="712">
        <v>202.26</v>
      </c>
    </row>
    <row r="42" spans="1:6" ht="14.4" customHeight="1" x14ac:dyDescent="0.3">
      <c r="A42" s="718" t="s">
        <v>2013</v>
      </c>
      <c r="B42" s="711">
        <v>152.54</v>
      </c>
      <c r="C42" s="701">
        <v>1</v>
      </c>
      <c r="D42" s="711"/>
      <c r="E42" s="701">
        <v>0</v>
      </c>
      <c r="F42" s="712">
        <v>152.54</v>
      </c>
    </row>
    <row r="43" spans="1:6" ht="14.4" customHeight="1" x14ac:dyDescent="0.3">
      <c r="A43" s="718" t="s">
        <v>2008</v>
      </c>
      <c r="B43" s="711">
        <v>134.67000000000002</v>
      </c>
      <c r="C43" s="701">
        <v>1</v>
      </c>
      <c r="D43" s="711"/>
      <c r="E43" s="701">
        <v>0</v>
      </c>
      <c r="F43" s="712">
        <v>134.67000000000002</v>
      </c>
    </row>
    <row r="44" spans="1:6" ht="14.4" customHeight="1" x14ac:dyDescent="0.3">
      <c r="A44" s="718" t="s">
        <v>3251</v>
      </c>
      <c r="B44" s="711">
        <v>130.5</v>
      </c>
      <c r="C44" s="701">
        <v>0.66663261136085006</v>
      </c>
      <c r="D44" s="711">
        <v>65.260000000000005</v>
      </c>
      <c r="E44" s="701">
        <v>0.33336738863915</v>
      </c>
      <c r="F44" s="712">
        <v>195.76</v>
      </c>
    </row>
    <row r="45" spans="1:6" ht="14.4" customHeight="1" x14ac:dyDescent="0.3">
      <c r="A45" s="718" t="s">
        <v>3252</v>
      </c>
      <c r="B45" s="711">
        <v>95.26</v>
      </c>
      <c r="C45" s="701">
        <v>1</v>
      </c>
      <c r="D45" s="711"/>
      <c r="E45" s="701">
        <v>0</v>
      </c>
      <c r="F45" s="712">
        <v>95.26</v>
      </c>
    </row>
    <row r="46" spans="1:6" ht="14.4" customHeight="1" x14ac:dyDescent="0.3">
      <c r="A46" s="718" t="s">
        <v>2038</v>
      </c>
      <c r="B46" s="711">
        <v>94.8</v>
      </c>
      <c r="C46" s="701">
        <v>1</v>
      </c>
      <c r="D46" s="711"/>
      <c r="E46" s="701">
        <v>0</v>
      </c>
      <c r="F46" s="712">
        <v>94.8</v>
      </c>
    </row>
    <row r="47" spans="1:6" ht="14.4" customHeight="1" x14ac:dyDescent="0.3">
      <c r="A47" s="718" t="s">
        <v>2003</v>
      </c>
      <c r="B47" s="711">
        <v>50.57</v>
      </c>
      <c r="C47" s="701">
        <v>0.43730543064683508</v>
      </c>
      <c r="D47" s="711">
        <v>65.069999999999993</v>
      </c>
      <c r="E47" s="701">
        <v>0.56269456935316498</v>
      </c>
      <c r="F47" s="712">
        <v>115.63999999999999</v>
      </c>
    </row>
    <row r="48" spans="1:6" ht="14.4" customHeight="1" x14ac:dyDescent="0.3">
      <c r="A48" s="718" t="s">
        <v>2007</v>
      </c>
      <c r="B48" s="711">
        <v>0</v>
      </c>
      <c r="C48" s="701">
        <v>0</v>
      </c>
      <c r="D48" s="711">
        <v>25.07</v>
      </c>
      <c r="E48" s="701">
        <v>1</v>
      </c>
      <c r="F48" s="712">
        <v>25.07</v>
      </c>
    </row>
    <row r="49" spans="1:6" ht="14.4" customHeight="1" x14ac:dyDescent="0.3">
      <c r="A49" s="718" t="s">
        <v>2032</v>
      </c>
      <c r="B49" s="711"/>
      <c r="C49" s="701">
        <v>0</v>
      </c>
      <c r="D49" s="711">
        <v>212.28000000000003</v>
      </c>
      <c r="E49" s="701">
        <v>1</v>
      </c>
      <c r="F49" s="712">
        <v>212.28000000000003</v>
      </c>
    </row>
    <row r="50" spans="1:6" ht="14.4" customHeight="1" x14ac:dyDescent="0.3">
      <c r="A50" s="718" t="s">
        <v>2040</v>
      </c>
      <c r="B50" s="711"/>
      <c r="C50" s="701">
        <v>0</v>
      </c>
      <c r="D50" s="711">
        <v>913.5</v>
      </c>
      <c r="E50" s="701">
        <v>1</v>
      </c>
      <c r="F50" s="712">
        <v>913.5</v>
      </c>
    </row>
    <row r="51" spans="1:6" ht="14.4" customHeight="1" x14ac:dyDescent="0.3">
      <c r="A51" s="718" t="s">
        <v>3253</v>
      </c>
      <c r="B51" s="711"/>
      <c r="C51" s="701">
        <v>0</v>
      </c>
      <c r="D51" s="711">
        <v>748.62</v>
      </c>
      <c r="E51" s="701">
        <v>1</v>
      </c>
      <c r="F51" s="712">
        <v>748.62</v>
      </c>
    </row>
    <row r="52" spans="1:6" ht="14.4" customHeight="1" x14ac:dyDescent="0.3">
      <c r="A52" s="718" t="s">
        <v>3254</v>
      </c>
      <c r="B52" s="711"/>
      <c r="C52" s="701">
        <v>0</v>
      </c>
      <c r="D52" s="711">
        <v>1162.6199999999999</v>
      </c>
      <c r="E52" s="701">
        <v>1</v>
      </c>
      <c r="F52" s="712">
        <v>1162.6199999999999</v>
      </c>
    </row>
    <row r="53" spans="1:6" ht="14.4" customHeight="1" x14ac:dyDescent="0.3">
      <c r="A53" s="718" t="s">
        <v>2021</v>
      </c>
      <c r="B53" s="711"/>
      <c r="C53" s="701">
        <v>0</v>
      </c>
      <c r="D53" s="711">
        <v>543.04</v>
      </c>
      <c r="E53" s="701">
        <v>1</v>
      </c>
      <c r="F53" s="712">
        <v>543.04</v>
      </c>
    </row>
    <row r="54" spans="1:6" ht="14.4" customHeight="1" x14ac:dyDescent="0.3">
      <c r="A54" s="718" t="s">
        <v>2041</v>
      </c>
      <c r="B54" s="711"/>
      <c r="C54" s="701">
        <v>0</v>
      </c>
      <c r="D54" s="711">
        <v>116.8</v>
      </c>
      <c r="E54" s="701">
        <v>1</v>
      </c>
      <c r="F54" s="712">
        <v>116.8</v>
      </c>
    </row>
    <row r="55" spans="1:6" ht="14.4" customHeight="1" x14ac:dyDescent="0.3">
      <c r="A55" s="718" t="s">
        <v>3255</v>
      </c>
      <c r="B55" s="711"/>
      <c r="C55" s="701">
        <v>0</v>
      </c>
      <c r="D55" s="711">
        <v>7923.6399999999994</v>
      </c>
      <c r="E55" s="701">
        <v>1</v>
      </c>
      <c r="F55" s="712">
        <v>7923.6399999999994</v>
      </c>
    </row>
    <row r="56" spans="1:6" ht="14.4" customHeight="1" x14ac:dyDescent="0.3">
      <c r="A56" s="718" t="s">
        <v>2022</v>
      </c>
      <c r="B56" s="711"/>
      <c r="C56" s="701">
        <v>0</v>
      </c>
      <c r="D56" s="711">
        <v>1179.74</v>
      </c>
      <c r="E56" s="701">
        <v>1</v>
      </c>
      <c r="F56" s="712">
        <v>1179.74</v>
      </c>
    </row>
    <row r="57" spans="1:6" ht="14.4" customHeight="1" x14ac:dyDescent="0.3">
      <c r="A57" s="718" t="s">
        <v>2042</v>
      </c>
      <c r="B57" s="711"/>
      <c r="C57" s="701">
        <v>0</v>
      </c>
      <c r="D57" s="711">
        <v>699.76</v>
      </c>
      <c r="E57" s="701">
        <v>1</v>
      </c>
      <c r="F57" s="712">
        <v>699.76</v>
      </c>
    </row>
    <row r="58" spans="1:6" ht="14.4" customHeight="1" x14ac:dyDescent="0.3">
      <c r="A58" s="718" t="s">
        <v>2027</v>
      </c>
      <c r="B58" s="711"/>
      <c r="C58" s="701"/>
      <c r="D58" s="711">
        <v>0</v>
      </c>
      <c r="E58" s="701"/>
      <c r="F58" s="712">
        <v>0</v>
      </c>
    </row>
    <row r="59" spans="1:6" ht="14.4" customHeight="1" x14ac:dyDescent="0.3">
      <c r="A59" s="718" t="s">
        <v>3256</v>
      </c>
      <c r="B59" s="711"/>
      <c r="C59" s="701">
        <v>0</v>
      </c>
      <c r="D59" s="711">
        <v>130.6</v>
      </c>
      <c r="E59" s="701">
        <v>1</v>
      </c>
      <c r="F59" s="712">
        <v>130.6</v>
      </c>
    </row>
    <row r="60" spans="1:6" ht="14.4" customHeight="1" x14ac:dyDescent="0.3">
      <c r="A60" s="718" t="s">
        <v>3257</v>
      </c>
      <c r="B60" s="711"/>
      <c r="C60" s="701">
        <v>0</v>
      </c>
      <c r="D60" s="711">
        <v>418.37</v>
      </c>
      <c r="E60" s="701">
        <v>1</v>
      </c>
      <c r="F60" s="712">
        <v>418.37</v>
      </c>
    </row>
    <row r="61" spans="1:6" ht="14.4" customHeight="1" x14ac:dyDescent="0.3">
      <c r="A61" s="718" t="s">
        <v>3258</v>
      </c>
      <c r="B61" s="711"/>
      <c r="C61" s="701">
        <v>0</v>
      </c>
      <c r="D61" s="711">
        <v>391.86</v>
      </c>
      <c r="E61" s="701">
        <v>1</v>
      </c>
      <c r="F61" s="712">
        <v>391.86</v>
      </c>
    </row>
    <row r="62" spans="1:6" ht="14.4" customHeight="1" x14ac:dyDescent="0.3">
      <c r="A62" s="718" t="s">
        <v>3259</v>
      </c>
      <c r="B62" s="711"/>
      <c r="C62" s="701"/>
      <c r="D62" s="711">
        <v>0</v>
      </c>
      <c r="E62" s="701"/>
      <c r="F62" s="712">
        <v>0</v>
      </c>
    </row>
    <row r="63" spans="1:6" ht="14.4" customHeight="1" x14ac:dyDescent="0.3">
      <c r="A63" s="718" t="s">
        <v>2026</v>
      </c>
      <c r="B63" s="711"/>
      <c r="C63" s="701">
        <v>0</v>
      </c>
      <c r="D63" s="711">
        <v>1473.76</v>
      </c>
      <c r="E63" s="701">
        <v>1</v>
      </c>
      <c r="F63" s="712">
        <v>1473.76</v>
      </c>
    </row>
    <row r="64" spans="1:6" ht="14.4" customHeight="1" x14ac:dyDescent="0.3">
      <c r="A64" s="718" t="s">
        <v>2028</v>
      </c>
      <c r="B64" s="711"/>
      <c r="C64" s="701">
        <v>0</v>
      </c>
      <c r="D64" s="711">
        <v>91917.62999999999</v>
      </c>
      <c r="E64" s="701">
        <v>1</v>
      </c>
      <c r="F64" s="712">
        <v>91917.62999999999</v>
      </c>
    </row>
    <row r="65" spans="1:6" ht="14.4" customHeight="1" x14ac:dyDescent="0.3">
      <c r="A65" s="718" t="s">
        <v>3260</v>
      </c>
      <c r="B65" s="711">
        <v>0</v>
      </c>
      <c r="C65" s="701">
        <v>0</v>
      </c>
      <c r="D65" s="711">
        <v>685.76</v>
      </c>
      <c r="E65" s="701">
        <v>1</v>
      </c>
      <c r="F65" s="712">
        <v>685.76</v>
      </c>
    </row>
    <row r="66" spans="1:6" ht="14.4" customHeight="1" x14ac:dyDescent="0.3">
      <c r="A66" s="718" t="s">
        <v>3261</v>
      </c>
      <c r="B66" s="711"/>
      <c r="C66" s="701">
        <v>0</v>
      </c>
      <c r="D66" s="711">
        <v>631.94000000000005</v>
      </c>
      <c r="E66" s="701">
        <v>1</v>
      </c>
      <c r="F66" s="712">
        <v>631.94000000000005</v>
      </c>
    </row>
    <row r="67" spans="1:6" ht="14.4" customHeight="1" x14ac:dyDescent="0.3">
      <c r="A67" s="718" t="s">
        <v>3262</v>
      </c>
      <c r="B67" s="711"/>
      <c r="C67" s="701">
        <v>0</v>
      </c>
      <c r="D67" s="711">
        <v>420.09000000000003</v>
      </c>
      <c r="E67" s="701">
        <v>1</v>
      </c>
      <c r="F67" s="712">
        <v>420.09000000000003</v>
      </c>
    </row>
    <row r="68" spans="1:6" ht="14.4" customHeight="1" x14ac:dyDescent="0.3">
      <c r="A68" s="718" t="s">
        <v>3263</v>
      </c>
      <c r="B68" s="711"/>
      <c r="C68" s="701">
        <v>0</v>
      </c>
      <c r="D68" s="711">
        <v>961.21</v>
      </c>
      <c r="E68" s="701">
        <v>1</v>
      </c>
      <c r="F68" s="712">
        <v>961.21</v>
      </c>
    </row>
    <row r="69" spans="1:6" ht="14.4" customHeight="1" x14ac:dyDescent="0.3">
      <c r="A69" s="718" t="s">
        <v>2035</v>
      </c>
      <c r="B69" s="711"/>
      <c r="C69" s="701">
        <v>0</v>
      </c>
      <c r="D69" s="711">
        <v>5438.44</v>
      </c>
      <c r="E69" s="701">
        <v>1</v>
      </c>
      <c r="F69" s="712">
        <v>5438.44</v>
      </c>
    </row>
    <row r="70" spans="1:6" ht="14.4" customHeight="1" thickBot="1" x14ac:dyDescent="0.35">
      <c r="A70" s="719" t="s">
        <v>3264</v>
      </c>
      <c r="B70" s="715">
        <v>0</v>
      </c>
      <c r="C70" s="716">
        <v>0</v>
      </c>
      <c r="D70" s="715">
        <v>187406.1400000001</v>
      </c>
      <c r="E70" s="716">
        <v>1</v>
      </c>
      <c r="F70" s="717">
        <v>187406.1400000001</v>
      </c>
    </row>
    <row r="71" spans="1:6" ht="14.4" customHeight="1" thickBot="1" x14ac:dyDescent="0.35">
      <c r="A71" s="652" t="s">
        <v>3</v>
      </c>
      <c r="B71" s="653">
        <v>64636.48000000001</v>
      </c>
      <c r="C71" s="654">
        <v>6.8377623549723557E-2</v>
      </c>
      <c r="D71" s="653">
        <v>880650.54000000015</v>
      </c>
      <c r="E71" s="654">
        <v>0.93162237645027646</v>
      </c>
      <c r="F71" s="655">
        <v>945287.02000000014</v>
      </c>
    </row>
  </sheetData>
  <mergeCells count="3">
    <mergeCell ref="A1:F1"/>
    <mergeCell ref="B3:C3"/>
    <mergeCell ref="D3:E3"/>
  </mergeCells>
  <conditionalFormatting sqref="C5:C1048576">
    <cfRule type="cellIs" dxfId="37" priority="12" stopIfTrue="1" operator="greaterThan">
      <formula>0.2</formula>
    </cfRule>
  </conditionalFormatting>
  <conditionalFormatting sqref="F5:F26">
    <cfRule type="dataBar" priority="2">
      <dataBar>
        <cfvo type="min"/>
        <cfvo type="max"/>
        <color theme="3" tint="0.39994506668294322"/>
      </dataBar>
      <extLst>
        <ext xmlns:x14="http://schemas.microsoft.com/office/spreadsheetml/2009/9/main" uri="{B025F937-C7B1-47D3-B67F-A62EFF666E3E}">
          <x14:id>{20AFDAC5-DE19-4B8F-A6AF-A0A1D9538713}</x14:id>
        </ext>
      </extLst>
    </cfRule>
  </conditionalFormatting>
  <conditionalFormatting sqref="F29:F70">
    <cfRule type="dataBar" priority="1">
      <dataBar>
        <cfvo type="min"/>
        <cfvo type="max"/>
        <color theme="3" tint="0.39994506668294322"/>
      </dataBar>
      <extLst>
        <ext xmlns:x14="http://schemas.microsoft.com/office/spreadsheetml/2009/9/main" uri="{B025F937-C7B1-47D3-B67F-A62EFF666E3E}">
          <x14:id>{25356079-BCC3-4E9C-9D57-E9E9A96C17EA}</x14:id>
        </ext>
      </extLs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20AFDAC5-DE19-4B8F-A6AF-A0A1D9538713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F5:F26</xm:sqref>
        </x14:conditionalFormatting>
        <x14:conditionalFormatting xmlns:xm="http://schemas.microsoft.com/office/excel/2006/main">
          <x14:cfRule type="dataBar" id="{25356079-BCC3-4E9C-9D57-E9E9A96C17EA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F29:F70</xm:sqref>
        </x14:conditionalFormatting>
      </x14:conditionalFormattings>
    </ext>
  </extLst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31">
    <tabColor theme="0" tint="-0.249977111117893"/>
    <pageSetUpPr fitToPage="1"/>
  </sheetPr>
  <dimension ref="A1:M205"/>
  <sheetViews>
    <sheetView showGridLines="0" showRowColHeaders="0" workbookViewId="0">
      <pane ySplit="5" topLeftCell="A6" activePane="bottomLeft" state="frozen"/>
      <selection activeCell="A6" sqref="A6"/>
      <selection pane="bottomLeft" sqref="A1:M1"/>
    </sheetView>
  </sheetViews>
  <sheetFormatPr defaultRowHeight="14.4" customHeight="1" x14ac:dyDescent="0.3"/>
  <cols>
    <col min="1" max="1" width="22.21875" style="257" customWidth="1"/>
    <col min="2" max="2" width="8.88671875" style="257" bestFit="1" customWidth="1"/>
    <col min="3" max="3" width="7" style="257" bestFit="1" customWidth="1"/>
    <col min="4" max="5" width="22.21875" style="257" customWidth="1"/>
    <col min="6" max="6" width="6.6640625" style="340" customWidth="1"/>
    <col min="7" max="7" width="10" style="340" customWidth="1"/>
    <col min="8" max="8" width="6.77734375" style="343" customWidth="1"/>
    <col min="9" max="9" width="6.6640625" style="340" customWidth="1"/>
    <col min="10" max="10" width="10" style="340" customWidth="1"/>
    <col min="11" max="11" width="6.77734375" style="343" customWidth="1"/>
    <col min="12" max="12" width="6.6640625" style="340" customWidth="1"/>
    <col min="13" max="13" width="10" style="340" customWidth="1"/>
    <col min="14" max="16384" width="8.88671875" style="257"/>
  </cols>
  <sheetData>
    <row r="1" spans="1:13" ht="18.600000000000001" customHeight="1" thickBot="1" x14ac:dyDescent="0.4">
      <c r="A1" s="496" t="s">
        <v>3289</v>
      </c>
      <c r="B1" s="496"/>
      <c r="C1" s="496"/>
      <c r="D1" s="496"/>
      <c r="E1" s="496"/>
      <c r="F1" s="496"/>
      <c r="G1" s="496"/>
      <c r="H1" s="496"/>
      <c r="I1" s="496"/>
      <c r="J1" s="496"/>
      <c r="K1" s="496"/>
      <c r="L1" s="458"/>
      <c r="M1" s="458"/>
    </row>
    <row r="2" spans="1:13" ht="14.4" customHeight="1" thickBot="1" x14ac:dyDescent="0.35">
      <c r="A2" s="386" t="s">
        <v>321</v>
      </c>
      <c r="B2" s="339"/>
      <c r="C2" s="339"/>
      <c r="D2" s="339"/>
      <c r="E2" s="339"/>
      <c r="F2" s="347"/>
      <c r="G2" s="347"/>
      <c r="H2" s="348"/>
      <c r="I2" s="347"/>
      <c r="J2" s="347"/>
      <c r="K2" s="348"/>
      <c r="L2" s="347"/>
    </row>
    <row r="3" spans="1:13" ht="14.4" customHeight="1" thickBot="1" x14ac:dyDescent="0.35">
      <c r="E3" s="104" t="s">
        <v>160</v>
      </c>
      <c r="F3" s="47">
        <f>SUBTOTAL(9,F6:F1048576)</f>
        <v>181</v>
      </c>
      <c r="G3" s="47">
        <f>SUBTOTAL(9,G6:G1048576)</f>
        <v>64636.479999999996</v>
      </c>
      <c r="H3" s="48">
        <f>IF(M3=0,0,G3/M3)</f>
        <v>6.8377623549723557E-2</v>
      </c>
      <c r="I3" s="47">
        <f>SUBTOTAL(9,I6:I1048576)</f>
        <v>1202</v>
      </c>
      <c r="J3" s="47">
        <f>SUBTOTAL(9,J6:J1048576)</f>
        <v>880650.53999999969</v>
      </c>
      <c r="K3" s="48">
        <f>IF(M3=0,0,J3/M3)</f>
        <v>0.93162237645027624</v>
      </c>
      <c r="L3" s="47">
        <f>SUBTOTAL(9,L6:L1048576)</f>
        <v>1383</v>
      </c>
      <c r="M3" s="49">
        <f>SUBTOTAL(9,M6:M1048576)</f>
        <v>945287.0199999999</v>
      </c>
    </row>
    <row r="4" spans="1:13" ht="14.4" customHeight="1" thickBot="1" x14ac:dyDescent="0.35">
      <c r="A4" s="45"/>
      <c r="B4" s="45"/>
      <c r="C4" s="45"/>
      <c r="D4" s="45"/>
      <c r="E4" s="46"/>
      <c r="F4" s="500" t="s">
        <v>162</v>
      </c>
      <c r="G4" s="501"/>
      <c r="H4" s="502"/>
      <c r="I4" s="503" t="s">
        <v>161</v>
      </c>
      <c r="J4" s="501"/>
      <c r="K4" s="502"/>
      <c r="L4" s="504" t="s">
        <v>3</v>
      </c>
      <c r="M4" s="505"/>
    </row>
    <row r="5" spans="1:13" ht="14.4" customHeight="1" thickBot="1" x14ac:dyDescent="0.35">
      <c r="A5" s="642" t="s">
        <v>168</v>
      </c>
      <c r="B5" s="660" t="s">
        <v>164</v>
      </c>
      <c r="C5" s="660" t="s">
        <v>90</v>
      </c>
      <c r="D5" s="660" t="s">
        <v>165</v>
      </c>
      <c r="E5" s="660" t="s">
        <v>166</v>
      </c>
      <c r="F5" s="661" t="s">
        <v>28</v>
      </c>
      <c r="G5" s="661" t="s">
        <v>14</v>
      </c>
      <c r="H5" s="644" t="s">
        <v>167</v>
      </c>
      <c r="I5" s="643" t="s">
        <v>28</v>
      </c>
      <c r="J5" s="661" t="s">
        <v>14</v>
      </c>
      <c r="K5" s="644" t="s">
        <v>167</v>
      </c>
      <c r="L5" s="643" t="s">
        <v>28</v>
      </c>
      <c r="M5" s="662" t="s">
        <v>14</v>
      </c>
    </row>
    <row r="6" spans="1:13" ht="14.4" customHeight="1" x14ac:dyDescent="0.3">
      <c r="A6" s="624" t="s">
        <v>2168</v>
      </c>
      <c r="B6" s="625" t="s">
        <v>2067</v>
      </c>
      <c r="C6" s="625" t="s">
        <v>2584</v>
      </c>
      <c r="D6" s="625" t="s">
        <v>615</v>
      </c>
      <c r="E6" s="625" t="s">
        <v>2585</v>
      </c>
      <c r="F6" s="628"/>
      <c r="G6" s="628"/>
      <c r="H6" s="646">
        <v>0</v>
      </c>
      <c r="I6" s="628">
        <v>1</v>
      </c>
      <c r="J6" s="628">
        <v>65.069999999999993</v>
      </c>
      <c r="K6" s="646">
        <v>1</v>
      </c>
      <c r="L6" s="628">
        <v>1</v>
      </c>
      <c r="M6" s="629">
        <v>65.069999999999993</v>
      </c>
    </row>
    <row r="7" spans="1:13" ht="14.4" customHeight="1" x14ac:dyDescent="0.3">
      <c r="A7" s="695" t="s">
        <v>2141</v>
      </c>
      <c r="B7" s="696" t="s">
        <v>3265</v>
      </c>
      <c r="C7" s="696" t="s">
        <v>2175</v>
      </c>
      <c r="D7" s="696" t="s">
        <v>2176</v>
      </c>
      <c r="E7" s="696" t="s">
        <v>2177</v>
      </c>
      <c r="F7" s="711"/>
      <c r="G7" s="711"/>
      <c r="H7" s="701">
        <v>0</v>
      </c>
      <c r="I7" s="711">
        <v>1</v>
      </c>
      <c r="J7" s="711">
        <v>961.21</v>
      </c>
      <c r="K7" s="701">
        <v>1</v>
      </c>
      <c r="L7" s="711">
        <v>1</v>
      </c>
      <c r="M7" s="712">
        <v>961.21</v>
      </c>
    </row>
    <row r="8" spans="1:13" ht="14.4" customHeight="1" x14ac:dyDescent="0.3">
      <c r="A8" s="695" t="s">
        <v>2143</v>
      </c>
      <c r="B8" s="696" t="s">
        <v>2050</v>
      </c>
      <c r="C8" s="696" t="s">
        <v>2187</v>
      </c>
      <c r="D8" s="696" t="s">
        <v>2188</v>
      </c>
      <c r="E8" s="696" t="s">
        <v>2189</v>
      </c>
      <c r="F8" s="711"/>
      <c r="G8" s="711"/>
      <c r="H8" s="701">
        <v>0</v>
      </c>
      <c r="I8" s="711">
        <v>2</v>
      </c>
      <c r="J8" s="711">
        <v>1250.58</v>
      </c>
      <c r="K8" s="701">
        <v>1</v>
      </c>
      <c r="L8" s="711">
        <v>2</v>
      </c>
      <c r="M8" s="712">
        <v>1250.58</v>
      </c>
    </row>
    <row r="9" spans="1:13" ht="14.4" customHeight="1" x14ac:dyDescent="0.3">
      <c r="A9" s="695" t="s">
        <v>2143</v>
      </c>
      <c r="B9" s="696" t="s">
        <v>3266</v>
      </c>
      <c r="C9" s="696" t="s">
        <v>2183</v>
      </c>
      <c r="D9" s="696" t="s">
        <v>2184</v>
      </c>
      <c r="E9" s="696" t="s">
        <v>2185</v>
      </c>
      <c r="F9" s="711"/>
      <c r="G9" s="711"/>
      <c r="H9" s="701"/>
      <c r="I9" s="711">
        <v>1</v>
      </c>
      <c r="J9" s="711">
        <v>0</v>
      </c>
      <c r="K9" s="701"/>
      <c r="L9" s="711">
        <v>1</v>
      </c>
      <c r="M9" s="712">
        <v>0</v>
      </c>
    </row>
    <row r="10" spans="1:13" ht="14.4" customHeight="1" x14ac:dyDescent="0.3">
      <c r="A10" s="695" t="s">
        <v>2144</v>
      </c>
      <c r="B10" s="696" t="s">
        <v>2131</v>
      </c>
      <c r="C10" s="696" t="s">
        <v>2202</v>
      </c>
      <c r="D10" s="696" t="s">
        <v>2203</v>
      </c>
      <c r="E10" s="696" t="s">
        <v>2204</v>
      </c>
      <c r="F10" s="711"/>
      <c r="G10" s="711"/>
      <c r="H10" s="701">
        <v>0</v>
      </c>
      <c r="I10" s="711">
        <v>1</v>
      </c>
      <c r="J10" s="711">
        <v>163.72999999999999</v>
      </c>
      <c r="K10" s="701">
        <v>1</v>
      </c>
      <c r="L10" s="711">
        <v>1</v>
      </c>
      <c r="M10" s="712">
        <v>163.72999999999999</v>
      </c>
    </row>
    <row r="11" spans="1:13" ht="14.4" customHeight="1" x14ac:dyDescent="0.3">
      <c r="A11" s="695" t="s">
        <v>2145</v>
      </c>
      <c r="B11" s="696" t="s">
        <v>2067</v>
      </c>
      <c r="C11" s="696" t="s">
        <v>611</v>
      </c>
      <c r="D11" s="696" t="s">
        <v>612</v>
      </c>
      <c r="E11" s="696" t="s">
        <v>613</v>
      </c>
      <c r="F11" s="711">
        <v>1</v>
      </c>
      <c r="G11" s="711">
        <v>50.57</v>
      </c>
      <c r="H11" s="701">
        <v>1</v>
      </c>
      <c r="I11" s="711"/>
      <c r="J11" s="711"/>
      <c r="K11" s="701">
        <v>0</v>
      </c>
      <c r="L11" s="711">
        <v>1</v>
      </c>
      <c r="M11" s="712">
        <v>50.57</v>
      </c>
    </row>
    <row r="12" spans="1:13" ht="14.4" customHeight="1" x14ac:dyDescent="0.3">
      <c r="A12" s="695" t="s">
        <v>2145</v>
      </c>
      <c r="B12" s="696" t="s">
        <v>2075</v>
      </c>
      <c r="C12" s="696" t="s">
        <v>2209</v>
      </c>
      <c r="D12" s="696" t="s">
        <v>2210</v>
      </c>
      <c r="E12" s="696" t="s">
        <v>2211</v>
      </c>
      <c r="F12" s="711"/>
      <c r="G12" s="711"/>
      <c r="H12" s="701">
        <v>0</v>
      </c>
      <c r="I12" s="711">
        <v>2</v>
      </c>
      <c r="J12" s="711">
        <v>368.44</v>
      </c>
      <c r="K12" s="701">
        <v>1</v>
      </c>
      <c r="L12" s="711">
        <v>2</v>
      </c>
      <c r="M12" s="712">
        <v>368.44</v>
      </c>
    </row>
    <row r="13" spans="1:13" ht="14.4" customHeight="1" x14ac:dyDescent="0.3">
      <c r="A13" s="695" t="s">
        <v>2145</v>
      </c>
      <c r="B13" s="696" t="s">
        <v>3267</v>
      </c>
      <c r="C13" s="696" t="s">
        <v>2594</v>
      </c>
      <c r="D13" s="696" t="s">
        <v>2595</v>
      </c>
      <c r="E13" s="696" t="s">
        <v>2596</v>
      </c>
      <c r="F13" s="711">
        <v>2</v>
      </c>
      <c r="G13" s="711">
        <v>403.5</v>
      </c>
      <c r="H13" s="701">
        <v>1</v>
      </c>
      <c r="I13" s="711"/>
      <c r="J13" s="711"/>
      <c r="K13" s="701">
        <v>0</v>
      </c>
      <c r="L13" s="711">
        <v>2</v>
      </c>
      <c r="M13" s="712">
        <v>403.5</v>
      </c>
    </row>
    <row r="14" spans="1:13" ht="14.4" customHeight="1" x14ac:dyDescent="0.3">
      <c r="A14" s="695" t="s">
        <v>2146</v>
      </c>
      <c r="B14" s="696" t="s">
        <v>2055</v>
      </c>
      <c r="C14" s="696" t="s">
        <v>2206</v>
      </c>
      <c r="D14" s="696" t="s">
        <v>2207</v>
      </c>
      <c r="E14" s="696" t="s">
        <v>1458</v>
      </c>
      <c r="F14" s="711">
        <v>3</v>
      </c>
      <c r="G14" s="711">
        <v>134.67000000000002</v>
      </c>
      <c r="H14" s="701">
        <v>1</v>
      </c>
      <c r="I14" s="711"/>
      <c r="J14" s="711"/>
      <c r="K14" s="701">
        <v>0</v>
      </c>
      <c r="L14" s="711">
        <v>3</v>
      </c>
      <c r="M14" s="712">
        <v>134.67000000000002</v>
      </c>
    </row>
    <row r="15" spans="1:13" ht="14.4" customHeight="1" x14ac:dyDescent="0.3">
      <c r="A15" s="695" t="s">
        <v>2146</v>
      </c>
      <c r="B15" s="696" t="s">
        <v>3268</v>
      </c>
      <c r="C15" s="696" t="s">
        <v>2217</v>
      </c>
      <c r="D15" s="696" t="s">
        <v>2218</v>
      </c>
      <c r="E15" s="696" t="s">
        <v>2219</v>
      </c>
      <c r="F15" s="711"/>
      <c r="G15" s="711"/>
      <c r="H15" s="701">
        <v>0</v>
      </c>
      <c r="I15" s="711">
        <v>3</v>
      </c>
      <c r="J15" s="711">
        <v>748.62</v>
      </c>
      <c r="K15" s="701">
        <v>1</v>
      </c>
      <c r="L15" s="711">
        <v>3</v>
      </c>
      <c r="M15" s="712">
        <v>748.62</v>
      </c>
    </row>
    <row r="16" spans="1:13" ht="14.4" customHeight="1" x14ac:dyDescent="0.3">
      <c r="A16" s="695" t="s">
        <v>2146</v>
      </c>
      <c r="B16" s="696" t="s">
        <v>2075</v>
      </c>
      <c r="C16" s="696" t="s">
        <v>2209</v>
      </c>
      <c r="D16" s="696" t="s">
        <v>2210</v>
      </c>
      <c r="E16" s="696" t="s">
        <v>2211</v>
      </c>
      <c r="F16" s="711"/>
      <c r="G16" s="711"/>
      <c r="H16" s="701">
        <v>0</v>
      </c>
      <c r="I16" s="711">
        <v>2</v>
      </c>
      <c r="J16" s="711">
        <v>368.44</v>
      </c>
      <c r="K16" s="701">
        <v>1</v>
      </c>
      <c r="L16" s="711">
        <v>2</v>
      </c>
      <c r="M16" s="712">
        <v>368.44</v>
      </c>
    </row>
    <row r="17" spans="1:13" ht="14.4" customHeight="1" x14ac:dyDescent="0.3">
      <c r="A17" s="695" t="s">
        <v>2146</v>
      </c>
      <c r="B17" s="696" t="s">
        <v>3266</v>
      </c>
      <c r="C17" s="696" t="s">
        <v>2183</v>
      </c>
      <c r="D17" s="696" t="s">
        <v>2184</v>
      </c>
      <c r="E17" s="696" t="s">
        <v>2185</v>
      </c>
      <c r="F17" s="711"/>
      <c r="G17" s="711"/>
      <c r="H17" s="701"/>
      <c r="I17" s="711">
        <v>1</v>
      </c>
      <c r="J17" s="711">
        <v>0</v>
      </c>
      <c r="K17" s="701"/>
      <c r="L17" s="711">
        <v>1</v>
      </c>
      <c r="M17" s="712">
        <v>0</v>
      </c>
    </row>
    <row r="18" spans="1:13" ht="14.4" customHeight="1" x14ac:dyDescent="0.3">
      <c r="A18" s="695" t="s">
        <v>2148</v>
      </c>
      <c r="B18" s="696" t="s">
        <v>3269</v>
      </c>
      <c r="C18" s="696" t="s">
        <v>2704</v>
      </c>
      <c r="D18" s="696" t="s">
        <v>2391</v>
      </c>
      <c r="E18" s="696" t="s">
        <v>2705</v>
      </c>
      <c r="F18" s="711"/>
      <c r="G18" s="711"/>
      <c r="H18" s="701">
        <v>0</v>
      </c>
      <c r="I18" s="711">
        <v>1</v>
      </c>
      <c r="J18" s="711">
        <v>195.92</v>
      </c>
      <c r="K18" s="701">
        <v>1</v>
      </c>
      <c r="L18" s="711">
        <v>1</v>
      </c>
      <c r="M18" s="712">
        <v>195.92</v>
      </c>
    </row>
    <row r="19" spans="1:13" ht="14.4" customHeight="1" x14ac:dyDescent="0.3">
      <c r="A19" s="695" t="s">
        <v>2148</v>
      </c>
      <c r="B19" s="696" t="s">
        <v>2062</v>
      </c>
      <c r="C19" s="696" t="s">
        <v>2719</v>
      </c>
      <c r="D19" s="696" t="s">
        <v>2720</v>
      </c>
      <c r="E19" s="696" t="s">
        <v>2721</v>
      </c>
      <c r="F19" s="711">
        <v>1</v>
      </c>
      <c r="G19" s="711">
        <v>152.54</v>
      </c>
      <c r="H19" s="701">
        <v>1</v>
      </c>
      <c r="I19" s="711"/>
      <c r="J19" s="711"/>
      <c r="K19" s="701">
        <v>0</v>
      </c>
      <c r="L19" s="711">
        <v>1</v>
      </c>
      <c r="M19" s="712">
        <v>152.54</v>
      </c>
    </row>
    <row r="20" spans="1:13" ht="14.4" customHeight="1" x14ac:dyDescent="0.3">
      <c r="A20" s="695" t="s">
        <v>2148</v>
      </c>
      <c r="B20" s="696" t="s">
        <v>3270</v>
      </c>
      <c r="C20" s="696" t="s">
        <v>2716</v>
      </c>
      <c r="D20" s="696" t="s">
        <v>2500</v>
      </c>
      <c r="E20" s="696" t="s">
        <v>2717</v>
      </c>
      <c r="F20" s="711"/>
      <c r="G20" s="711"/>
      <c r="H20" s="701">
        <v>0</v>
      </c>
      <c r="I20" s="711">
        <v>6</v>
      </c>
      <c r="J20" s="711">
        <v>1159.56</v>
      </c>
      <c r="K20" s="701">
        <v>1</v>
      </c>
      <c r="L20" s="711">
        <v>6</v>
      </c>
      <c r="M20" s="712">
        <v>1159.56</v>
      </c>
    </row>
    <row r="21" spans="1:13" ht="14.4" customHeight="1" x14ac:dyDescent="0.3">
      <c r="A21" s="695" t="s">
        <v>2148</v>
      </c>
      <c r="B21" s="696" t="s">
        <v>3271</v>
      </c>
      <c r="C21" s="696" t="s">
        <v>2397</v>
      </c>
      <c r="D21" s="696" t="s">
        <v>2235</v>
      </c>
      <c r="E21" s="696" t="s">
        <v>2398</v>
      </c>
      <c r="F21" s="711"/>
      <c r="G21" s="711"/>
      <c r="H21" s="701">
        <v>0</v>
      </c>
      <c r="I21" s="711">
        <v>13</v>
      </c>
      <c r="J21" s="711">
        <v>1256.19</v>
      </c>
      <c r="K21" s="701">
        <v>1</v>
      </c>
      <c r="L21" s="711">
        <v>13</v>
      </c>
      <c r="M21" s="712">
        <v>1256.19</v>
      </c>
    </row>
    <row r="22" spans="1:13" ht="14.4" customHeight="1" x14ac:dyDescent="0.3">
      <c r="A22" s="695" t="s">
        <v>2148</v>
      </c>
      <c r="B22" s="696" t="s">
        <v>3272</v>
      </c>
      <c r="C22" s="696" t="s">
        <v>2625</v>
      </c>
      <c r="D22" s="696" t="s">
        <v>2626</v>
      </c>
      <c r="E22" s="696" t="s">
        <v>2627</v>
      </c>
      <c r="F22" s="711"/>
      <c r="G22" s="711"/>
      <c r="H22" s="701">
        <v>0</v>
      </c>
      <c r="I22" s="711">
        <v>8</v>
      </c>
      <c r="J22" s="711">
        <v>7315.32</v>
      </c>
      <c r="K22" s="701">
        <v>1</v>
      </c>
      <c r="L22" s="711">
        <v>8</v>
      </c>
      <c r="M22" s="712">
        <v>7315.32</v>
      </c>
    </row>
    <row r="23" spans="1:13" ht="14.4" customHeight="1" x14ac:dyDescent="0.3">
      <c r="A23" s="695" t="s">
        <v>2148</v>
      </c>
      <c r="B23" s="696" t="s">
        <v>2131</v>
      </c>
      <c r="C23" s="696" t="s">
        <v>2790</v>
      </c>
      <c r="D23" s="696" t="s">
        <v>2791</v>
      </c>
      <c r="E23" s="696" t="s">
        <v>2450</v>
      </c>
      <c r="F23" s="711">
        <v>3</v>
      </c>
      <c r="G23" s="711">
        <v>0</v>
      </c>
      <c r="H23" s="701"/>
      <c r="I23" s="711"/>
      <c r="J23" s="711"/>
      <c r="K23" s="701"/>
      <c r="L23" s="711">
        <v>3</v>
      </c>
      <c r="M23" s="712">
        <v>0</v>
      </c>
    </row>
    <row r="24" spans="1:13" ht="14.4" customHeight="1" x14ac:dyDescent="0.3">
      <c r="A24" s="695" t="s">
        <v>2148</v>
      </c>
      <c r="B24" s="696" t="s">
        <v>2131</v>
      </c>
      <c r="C24" s="696" t="s">
        <v>2792</v>
      </c>
      <c r="D24" s="696" t="s">
        <v>2793</v>
      </c>
      <c r="E24" s="696" t="s">
        <v>2794</v>
      </c>
      <c r="F24" s="711"/>
      <c r="G24" s="711"/>
      <c r="H24" s="701">
        <v>0</v>
      </c>
      <c r="I24" s="711">
        <v>4</v>
      </c>
      <c r="J24" s="711">
        <v>130.96</v>
      </c>
      <c r="K24" s="701">
        <v>1</v>
      </c>
      <c r="L24" s="711">
        <v>4</v>
      </c>
      <c r="M24" s="712">
        <v>130.96</v>
      </c>
    </row>
    <row r="25" spans="1:13" ht="14.4" customHeight="1" x14ac:dyDescent="0.3">
      <c r="A25" s="695" t="s">
        <v>2148</v>
      </c>
      <c r="B25" s="696" t="s">
        <v>2131</v>
      </c>
      <c r="C25" s="696" t="s">
        <v>2795</v>
      </c>
      <c r="D25" s="696" t="s">
        <v>2796</v>
      </c>
      <c r="E25" s="696" t="s">
        <v>2287</v>
      </c>
      <c r="F25" s="711"/>
      <c r="G25" s="711"/>
      <c r="H25" s="701">
        <v>0</v>
      </c>
      <c r="I25" s="711">
        <v>33</v>
      </c>
      <c r="J25" s="711">
        <v>4862.88</v>
      </c>
      <c r="K25" s="701">
        <v>1</v>
      </c>
      <c r="L25" s="711">
        <v>33</v>
      </c>
      <c r="M25" s="712">
        <v>4862.88</v>
      </c>
    </row>
    <row r="26" spans="1:13" ht="14.4" customHeight="1" x14ac:dyDescent="0.3">
      <c r="A26" s="695" t="s">
        <v>2148</v>
      </c>
      <c r="B26" s="696" t="s">
        <v>2131</v>
      </c>
      <c r="C26" s="696" t="s">
        <v>2457</v>
      </c>
      <c r="D26" s="696" t="s">
        <v>2458</v>
      </c>
      <c r="E26" s="696" t="s">
        <v>2441</v>
      </c>
      <c r="F26" s="711"/>
      <c r="G26" s="711"/>
      <c r="H26" s="701">
        <v>0</v>
      </c>
      <c r="I26" s="711">
        <v>7</v>
      </c>
      <c r="J26" s="711">
        <v>1375.22</v>
      </c>
      <c r="K26" s="701">
        <v>1</v>
      </c>
      <c r="L26" s="711">
        <v>7</v>
      </c>
      <c r="M26" s="712">
        <v>1375.22</v>
      </c>
    </row>
    <row r="27" spans="1:13" ht="14.4" customHeight="1" x14ac:dyDescent="0.3">
      <c r="A27" s="695" t="s">
        <v>2148</v>
      </c>
      <c r="B27" s="696" t="s">
        <v>2131</v>
      </c>
      <c r="C27" s="696" t="s">
        <v>2797</v>
      </c>
      <c r="D27" s="696" t="s">
        <v>2203</v>
      </c>
      <c r="E27" s="696" t="s">
        <v>2450</v>
      </c>
      <c r="F27" s="711"/>
      <c r="G27" s="711"/>
      <c r="H27" s="701">
        <v>0</v>
      </c>
      <c r="I27" s="711">
        <v>6</v>
      </c>
      <c r="J27" s="711">
        <v>589.38</v>
      </c>
      <c r="K27" s="701">
        <v>1</v>
      </c>
      <c r="L27" s="711">
        <v>6</v>
      </c>
      <c r="M27" s="712">
        <v>589.38</v>
      </c>
    </row>
    <row r="28" spans="1:13" ht="14.4" customHeight="1" x14ac:dyDescent="0.3">
      <c r="A28" s="695" t="s">
        <v>2148</v>
      </c>
      <c r="B28" s="696" t="s">
        <v>2131</v>
      </c>
      <c r="C28" s="696" t="s">
        <v>2202</v>
      </c>
      <c r="D28" s="696" t="s">
        <v>2203</v>
      </c>
      <c r="E28" s="696" t="s">
        <v>2204</v>
      </c>
      <c r="F28" s="711"/>
      <c r="G28" s="711"/>
      <c r="H28" s="701">
        <v>0</v>
      </c>
      <c r="I28" s="711">
        <v>1</v>
      </c>
      <c r="J28" s="711">
        <v>163.72999999999999</v>
      </c>
      <c r="K28" s="701">
        <v>1</v>
      </c>
      <c r="L28" s="711">
        <v>1</v>
      </c>
      <c r="M28" s="712">
        <v>163.72999999999999</v>
      </c>
    </row>
    <row r="29" spans="1:13" ht="14.4" customHeight="1" x14ac:dyDescent="0.3">
      <c r="A29" s="695" t="s">
        <v>2148</v>
      </c>
      <c r="B29" s="696" t="s">
        <v>2131</v>
      </c>
      <c r="C29" s="696" t="s">
        <v>2798</v>
      </c>
      <c r="D29" s="696" t="s">
        <v>2793</v>
      </c>
      <c r="E29" s="696" t="s">
        <v>2799</v>
      </c>
      <c r="F29" s="711"/>
      <c r="G29" s="711"/>
      <c r="H29" s="701">
        <v>0</v>
      </c>
      <c r="I29" s="711">
        <v>1</v>
      </c>
      <c r="J29" s="711">
        <v>314.33999999999997</v>
      </c>
      <c r="K29" s="701">
        <v>1</v>
      </c>
      <c r="L29" s="711">
        <v>1</v>
      </c>
      <c r="M29" s="712">
        <v>314.33999999999997</v>
      </c>
    </row>
    <row r="30" spans="1:13" ht="14.4" customHeight="1" x14ac:dyDescent="0.3">
      <c r="A30" s="695" t="s">
        <v>2148</v>
      </c>
      <c r="B30" s="696" t="s">
        <v>3273</v>
      </c>
      <c r="C30" s="696" t="s">
        <v>2776</v>
      </c>
      <c r="D30" s="696" t="s">
        <v>2777</v>
      </c>
      <c r="E30" s="696" t="s">
        <v>2778</v>
      </c>
      <c r="F30" s="711"/>
      <c r="G30" s="711"/>
      <c r="H30" s="701">
        <v>0</v>
      </c>
      <c r="I30" s="711">
        <v>2</v>
      </c>
      <c r="J30" s="711">
        <v>208.38</v>
      </c>
      <c r="K30" s="701">
        <v>1</v>
      </c>
      <c r="L30" s="711">
        <v>2</v>
      </c>
      <c r="M30" s="712">
        <v>208.38</v>
      </c>
    </row>
    <row r="31" spans="1:13" ht="14.4" customHeight="1" x14ac:dyDescent="0.3">
      <c r="A31" s="695" t="s">
        <v>2148</v>
      </c>
      <c r="B31" s="696" t="s">
        <v>3274</v>
      </c>
      <c r="C31" s="696" t="s">
        <v>2681</v>
      </c>
      <c r="D31" s="696" t="s">
        <v>2682</v>
      </c>
      <c r="E31" s="696" t="s">
        <v>2683</v>
      </c>
      <c r="F31" s="711"/>
      <c r="G31" s="711"/>
      <c r="H31" s="701">
        <v>0</v>
      </c>
      <c r="I31" s="711">
        <v>2</v>
      </c>
      <c r="J31" s="711">
        <v>1183.3399999999999</v>
      </c>
      <c r="K31" s="701">
        <v>1</v>
      </c>
      <c r="L31" s="711">
        <v>2</v>
      </c>
      <c r="M31" s="712">
        <v>1183.3399999999999</v>
      </c>
    </row>
    <row r="32" spans="1:13" ht="14.4" customHeight="1" x14ac:dyDescent="0.3">
      <c r="A32" s="695" t="s">
        <v>2148</v>
      </c>
      <c r="B32" s="696" t="s">
        <v>3274</v>
      </c>
      <c r="C32" s="696" t="s">
        <v>2684</v>
      </c>
      <c r="D32" s="696" t="s">
        <v>2685</v>
      </c>
      <c r="E32" s="696" t="s">
        <v>2686</v>
      </c>
      <c r="F32" s="711"/>
      <c r="G32" s="711"/>
      <c r="H32" s="701">
        <v>0</v>
      </c>
      <c r="I32" s="711">
        <v>17</v>
      </c>
      <c r="J32" s="711">
        <v>7539.84</v>
      </c>
      <c r="K32" s="701">
        <v>1</v>
      </c>
      <c r="L32" s="711">
        <v>17</v>
      </c>
      <c r="M32" s="712">
        <v>7539.84</v>
      </c>
    </row>
    <row r="33" spans="1:13" ht="14.4" customHeight="1" x14ac:dyDescent="0.3">
      <c r="A33" s="695" t="s">
        <v>2148</v>
      </c>
      <c r="B33" s="696" t="s">
        <v>3274</v>
      </c>
      <c r="C33" s="696" t="s">
        <v>2687</v>
      </c>
      <c r="D33" s="696" t="s">
        <v>2685</v>
      </c>
      <c r="E33" s="696" t="s">
        <v>2688</v>
      </c>
      <c r="F33" s="711"/>
      <c r="G33" s="711"/>
      <c r="H33" s="701">
        <v>0</v>
      </c>
      <c r="I33" s="711">
        <v>3</v>
      </c>
      <c r="J33" s="711">
        <v>2661.1499999999996</v>
      </c>
      <c r="K33" s="701">
        <v>1</v>
      </c>
      <c r="L33" s="711">
        <v>3</v>
      </c>
      <c r="M33" s="712">
        <v>2661.1499999999996</v>
      </c>
    </row>
    <row r="34" spans="1:13" ht="14.4" customHeight="1" x14ac:dyDescent="0.3">
      <c r="A34" s="695" t="s">
        <v>2148</v>
      </c>
      <c r="B34" s="696" t="s">
        <v>3274</v>
      </c>
      <c r="C34" s="696" t="s">
        <v>2689</v>
      </c>
      <c r="D34" s="696" t="s">
        <v>2690</v>
      </c>
      <c r="E34" s="696" t="s">
        <v>2691</v>
      </c>
      <c r="F34" s="711"/>
      <c r="G34" s="711"/>
      <c r="H34" s="701">
        <v>0</v>
      </c>
      <c r="I34" s="711">
        <v>3</v>
      </c>
      <c r="J34" s="711">
        <v>1499.4</v>
      </c>
      <c r="K34" s="701">
        <v>1</v>
      </c>
      <c r="L34" s="711">
        <v>3</v>
      </c>
      <c r="M34" s="712">
        <v>1499.4</v>
      </c>
    </row>
    <row r="35" spans="1:13" ht="14.4" customHeight="1" x14ac:dyDescent="0.3">
      <c r="A35" s="695" t="s">
        <v>2148</v>
      </c>
      <c r="B35" s="696" t="s">
        <v>3275</v>
      </c>
      <c r="C35" s="696" t="s">
        <v>2770</v>
      </c>
      <c r="D35" s="696" t="s">
        <v>2771</v>
      </c>
      <c r="E35" s="696" t="s">
        <v>2772</v>
      </c>
      <c r="F35" s="711"/>
      <c r="G35" s="711"/>
      <c r="H35" s="701">
        <v>0</v>
      </c>
      <c r="I35" s="711">
        <v>6</v>
      </c>
      <c r="J35" s="711">
        <v>8067.9600000000009</v>
      </c>
      <c r="K35" s="701">
        <v>1</v>
      </c>
      <c r="L35" s="711">
        <v>6</v>
      </c>
      <c r="M35" s="712">
        <v>8067.9600000000009</v>
      </c>
    </row>
    <row r="36" spans="1:13" ht="14.4" customHeight="1" x14ac:dyDescent="0.3">
      <c r="A36" s="695" t="s">
        <v>2148</v>
      </c>
      <c r="B36" s="696" t="s">
        <v>3275</v>
      </c>
      <c r="C36" s="696" t="s">
        <v>2773</v>
      </c>
      <c r="D36" s="696" t="s">
        <v>2774</v>
      </c>
      <c r="E36" s="696" t="s">
        <v>2775</v>
      </c>
      <c r="F36" s="711"/>
      <c r="G36" s="711"/>
      <c r="H36" s="701">
        <v>0</v>
      </c>
      <c r="I36" s="711">
        <v>5</v>
      </c>
      <c r="J36" s="711">
        <v>8967.2999999999993</v>
      </c>
      <c r="K36" s="701">
        <v>1</v>
      </c>
      <c r="L36" s="711">
        <v>5</v>
      </c>
      <c r="M36" s="712">
        <v>8967.2999999999993</v>
      </c>
    </row>
    <row r="37" spans="1:13" ht="14.4" customHeight="1" x14ac:dyDescent="0.3">
      <c r="A37" s="695" t="s">
        <v>2148</v>
      </c>
      <c r="B37" s="696" t="s">
        <v>2116</v>
      </c>
      <c r="C37" s="696" t="s">
        <v>2628</v>
      </c>
      <c r="D37" s="696" t="s">
        <v>2482</v>
      </c>
      <c r="E37" s="696" t="s">
        <v>2629</v>
      </c>
      <c r="F37" s="711"/>
      <c r="G37" s="711"/>
      <c r="H37" s="701">
        <v>0</v>
      </c>
      <c r="I37" s="711">
        <v>9</v>
      </c>
      <c r="J37" s="711">
        <v>1945.44</v>
      </c>
      <c r="K37" s="701">
        <v>1</v>
      </c>
      <c r="L37" s="711">
        <v>9</v>
      </c>
      <c r="M37" s="712">
        <v>1945.44</v>
      </c>
    </row>
    <row r="38" spans="1:13" ht="14.4" customHeight="1" x14ac:dyDescent="0.3">
      <c r="A38" s="695" t="s">
        <v>2148</v>
      </c>
      <c r="B38" s="696" t="s">
        <v>3276</v>
      </c>
      <c r="C38" s="696" t="s">
        <v>2806</v>
      </c>
      <c r="D38" s="696" t="s">
        <v>2297</v>
      </c>
      <c r="E38" s="696" t="s">
        <v>2807</v>
      </c>
      <c r="F38" s="711"/>
      <c r="G38" s="711"/>
      <c r="H38" s="701"/>
      <c r="I38" s="711">
        <v>1</v>
      </c>
      <c r="J38" s="711">
        <v>0</v>
      </c>
      <c r="K38" s="701"/>
      <c r="L38" s="711">
        <v>1</v>
      </c>
      <c r="M38" s="712">
        <v>0</v>
      </c>
    </row>
    <row r="39" spans="1:13" ht="14.4" customHeight="1" x14ac:dyDescent="0.3">
      <c r="A39" s="695" t="s">
        <v>2148</v>
      </c>
      <c r="B39" s="696" t="s">
        <v>3277</v>
      </c>
      <c r="C39" s="696" t="s">
        <v>2707</v>
      </c>
      <c r="D39" s="696" t="s">
        <v>2708</v>
      </c>
      <c r="E39" s="696" t="s">
        <v>2709</v>
      </c>
      <c r="F39" s="711"/>
      <c r="G39" s="711"/>
      <c r="H39" s="701">
        <v>0</v>
      </c>
      <c r="I39" s="711">
        <v>1</v>
      </c>
      <c r="J39" s="711">
        <v>137.74</v>
      </c>
      <c r="K39" s="701">
        <v>1</v>
      </c>
      <c r="L39" s="711">
        <v>1</v>
      </c>
      <c r="M39" s="712">
        <v>137.74</v>
      </c>
    </row>
    <row r="40" spans="1:13" ht="14.4" customHeight="1" x14ac:dyDescent="0.3">
      <c r="A40" s="695" t="s">
        <v>2149</v>
      </c>
      <c r="B40" s="696" t="s">
        <v>2044</v>
      </c>
      <c r="C40" s="696" t="s">
        <v>2268</v>
      </c>
      <c r="D40" s="696" t="s">
        <v>2269</v>
      </c>
      <c r="E40" s="696" t="s">
        <v>2270</v>
      </c>
      <c r="F40" s="711"/>
      <c r="G40" s="711"/>
      <c r="H40" s="701">
        <v>0</v>
      </c>
      <c r="I40" s="711">
        <v>2</v>
      </c>
      <c r="J40" s="711">
        <v>699.76</v>
      </c>
      <c r="K40" s="701">
        <v>1</v>
      </c>
      <c r="L40" s="711">
        <v>2</v>
      </c>
      <c r="M40" s="712">
        <v>699.76</v>
      </c>
    </row>
    <row r="41" spans="1:13" ht="14.4" customHeight="1" x14ac:dyDescent="0.3">
      <c r="A41" s="695" t="s">
        <v>2149</v>
      </c>
      <c r="B41" s="696" t="s">
        <v>3278</v>
      </c>
      <c r="C41" s="696" t="s">
        <v>2255</v>
      </c>
      <c r="D41" s="696" t="s">
        <v>2256</v>
      </c>
      <c r="E41" s="696" t="s">
        <v>2257</v>
      </c>
      <c r="F41" s="711"/>
      <c r="G41" s="711"/>
      <c r="H41" s="701">
        <v>0</v>
      </c>
      <c r="I41" s="711">
        <v>1</v>
      </c>
      <c r="J41" s="711">
        <v>685.76</v>
      </c>
      <c r="K41" s="701">
        <v>1</v>
      </c>
      <c r="L41" s="711">
        <v>1</v>
      </c>
      <c r="M41" s="712">
        <v>685.76</v>
      </c>
    </row>
    <row r="42" spans="1:13" ht="14.4" customHeight="1" x14ac:dyDescent="0.3">
      <c r="A42" s="695" t="s">
        <v>2149</v>
      </c>
      <c r="B42" s="696" t="s">
        <v>3279</v>
      </c>
      <c r="C42" s="696" t="s">
        <v>2275</v>
      </c>
      <c r="D42" s="696" t="s">
        <v>2276</v>
      </c>
      <c r="E42" s="696" t="s">
        <v>2277</v>
      </c>
      <c r="F42" s="711"/>
      <c r="G42" s="711"/>
      <c r="H42" s="701">
        <v>0</v>
      </c>
      <c r="I42" s="711">
        <v>3</v>
      </c>
      <c r="J42" s="711">
        <v>420.09000000000003</v>
      </c>
      <c r="K42" s="701">
        <v>1</v>
      </c>
      <c r="L42" s="711">
        <v>3</v>
      </c>
      <c r="M42" s="712">
        <v>420.09000000000003</v>
      </c>
    </row>
    <row r="43" spans="1:13" ht="14.4" customHeight="1" x14ac:dyDescent="0.3">
      <c r="A43" s="695" t="s">
        <v>2149</v>
      </c>
      <c r="B43" s="696" t="s">
        <v>3280</v>
      </c>
      <c r="C43" s="696" t="s">
        <v>2259</v>
      </c>
      <c r="D43" s="696" t="s">
        <v>2260</v>
      </c>
      <c r="E43" s="696" t="s">
        <v>2261</v>
      </c>
      <c r="F43" s="711"/>
      <c r="G43" s="711"/>
      <c r="H43" s="701">
        <v>0</v>
      </c>
      <c r="I43" s="711">
        <v>2</v>
      </c>
      <c r="J43" s="711">
        <v>1162.6199999999999</v>
      </c>
      <c r="K43" s="701">
        <v>1</v>
      </c>
      <c r="L43" s="711">
        <v>2</v>
      </c>
      <c r="M43" s="712">
        <v>1162.6199999999999</v>
      </c>
    </row>
    <row r="44" spans="1:13" ht="14.4" customHeight="1" x14ac:dyDescent="0.3">
      <c r="A44" s="695" t="s">
        <v>2149</v>
      </c>
      <c r="B44" s="696" t="s">
        <v>3270</v>
      </c>
      <c r="C44" s="696" t="s">
        <v>2716</v>
      </c>
      <c r="D44" s="696" t="s">
        <v>2500</v>
      </c>
      <c r="E44" s="696" t="s">
        <v>2717</v>
      </c>
      <c r="F44" s="711"/>
      <c r="G44" s="711"/>
      <c r="H44" s="701">
        <v>0</v>
      </c>
      <c r="I44" s="711">
        <v>4</v>
      </c>
      <c r="J44" s="711">
        <v>773.04</v>
      </c>
      <c r="K44" s="701">
        <v>1</v>
      </c>
      <c r="L44" s="711">
        <v>4</v>
      </c>
      <c r="M44" s="712">
        <v>773.04</v>
      </c>
    </row>
    <row r="45" spans="1:13" ht="14.4" customHeight="1" x14ac:dyDescent="0.3">
      <c r="A45" s="695" t="s">
        <v>2149</v>
      </c>
      <c r="B45" s="696" t="s">
        <v>3271</v>
      </c>
      <c r="C45" s="696" t="s">
        <v>2397</v>
      </c>
      <c r="D45" s="696" t="s">
        <v>2235</v>
      </c>
      <c r="E45" s="696" t="s">
        <v>2398</v>
      </c>
      <c r="F45" s="711"/>
      <c r="G45" s="711"/>
      <c r="H45" s="701">
        <v>0</v>
      </c>
      <c r="I45" s="711">
        <v>7</v>
      </c>
      <c r="J45" s="711">
        <v>676.41</v>
      </c>
      <c r="K45" s="701">
        <v>1</v>
      </c>
      <c r="L45" s="711">
        <v>7</v>
      </c>
      <c r="M45" s="712">
        <v>676.41</v>
      </c>
    </row>
    <row r="46" spans="1:13" ht="14.4" customHeight="1" x14ac:dyDescent="0.3">
      <c r="A46" s="695" t="s">
        <v>2149</v>
      </c>
      <c r="B46" s="696" t="s">
        <v>3271</v>
      </c>
      <c r="C46" s="696" t="s">
        <v>2917</v>
      </c>
      <c r="D46" s="696" t="s">
        <v>2918</v>
      </c>
      <c r="E46" s="696" t="s">
        <v>2919</v>
      </c>
      <c r="F46" s="711">
        <v>1</v>
      </c>
      <c r="G46" s="711">
        <v>96.63</v>
      </c>
      <c r="H46" s="701">
        <v>1</v>
      </c>
      <c r="I46" s="711"/>
      <c r="J46" s="711"/>
      <c r="K46" s="701">
        <v>0</v>
      </c>
      <c r="L46" s="711">
        <v>1</v>
      </c>
      <c r="M46" s="712">
        <v>96.63</v>
      </c>
    </row>
    <row r="47" spans="1:13" ht="14.4" customHeight="1" x14ac:dyDescent="0.3">
      <c r="A47" s="695" t="s">
        <v>2149</v>
      </c>
      <c r="B47" s="696" t="s">
        <v>3272</v>
      </c>
      <c r="C47" s="696" t="s">
        <v>2625</v>
      </c>
      <c r="D47" s="696" t="s">
        <v>2626</v>
      </c>
      <c r="E47" s="696" t="s">
        <v>2627</v>
      </c>
      <c r="F47" s="711"/>
      <c r="G47" s="711"/>
      <c r="H47" s="701">
        <v>0</v>
      </c>
      <c r="I47" s="711">
        <v>24</v>
      </c>
      <c r="J47" s="711">
        <v>22172.329999999998</v>
      </c>
      <c r="K47" s="701">
        <v>1</v>
      </c>
      <c r="L47" s="711">
        <v>24</v>
      </c>
      <c r="M47" s="712">
        <v>22172.329999999998</v>
      </c>
    </row>
    <row r="48" spans="1:13" ht="14.4" customHeight="1" x14ac:dyDescent="0.3">
      <c r="A48" s="695" t="s">
        <v>2149</v>
      </c>
      <c r="B48" s="696" t="s">
        <v>3272</v>
      </c>
      <c r="C48" s="696" t="s">
        <v>2815</v>
      </c>
      <c r="D48" s="696" t="s">
        <v>2816</v>
      </c>
      <c r="E48" s="696" t="s">
        <v>2817</v>
      </c>
      <c r="F48" s="711"/>
      <c r="G48" s="711"/>
      <c r="H48" s="701">
        <v>0</v>
      </c>
      <c r="I48" s="711">
        <v>49</v>
      </c>
      <c r="J48" s="711">
        <v>63811.12</v>
      </c>
      <c r="K48" s="701">
        <v>1</v>
      </c>
      <c r="L48" s="711">
        <v>49</v>
      </c>
      <c r="M48" s="712">
        <v>63811.12</v>
      </c>
    </row>
    <row r="49" spans="1:13" ht="14.4" customHeight="1" x14ac:dyDescent="0.3">
      <c r="A49" s="695" t="s">
        <v>2149</v>
      </c>
      <c r="B49" s="696" t="s">
        <v>3272</v>
      </c>
      <c r="C49" s="696" t="s">
        <v>2818</v>
      </c>
      <c r="D49" s="696" t="s">
        <v>2819</v>
      </c>
      <c r="E49" s="696" t="s">
        <v>2820</v>
      </c>
      <c r="F49" s="711"/>
      <c r="G49" s="711"/>
      <c r="H49" s="701">
        <v>0</v>
      </c>
      <c r="I49" s="711">
        <v>21</v>
      </c>
      <c r="J49" s="711">
        <v>36294.660000000003</v>
      </c>
      <c r="K49" s="701">
        <v>1</v>
      </c>
      <c r="L49" s="711">
        <v>21</v>
      </c>
      <c r="M49" s="712">
        <v>36294.660000000003</v>
      </c>
    </row>
    <row r="50" spans="1:13" ht="14.4" customHeight="1" x14ac:dyDescent="0.3">
      <c r="A50" s="695" t="s">
        <v>2149</v>
      </c>
      <c r="B50" s="696" t="s">
        <v>3272</v>
      </c>
      <c r="C50" s="696" t="s">
        <v>2821</v>
      </c>
      <c r="D50" s="696" t="s">
        <v>2822</v>
      </c>
      <c r="E50" s="696" t="s">
        <v>2823</v>
      </c>
      <c r="F50" s="711">
        <v>6</v>
      </c>
      <c r="G50" s="711">
        <v>4624.2000000000007</v>
      </c>
      <c r="H50" s="701">
        <v>1</v>
      </c>
      <c r="I50" s="711"/>
      <c r="J50" s="711"/>
      <c r="K50" s="701">
        <v>0</v>
      </c>
      <c r="L50" s="711">
        <v>6</v>
      </c>
      <c r="M50" s="712">
        <v>4624.2000000000007</v>
      </c>
    </row>
    <row r="51" spans="1:13" ht="14.4" customHeight="1" x14ac:dyDescent="0.3">
      <c r="A51" s="695" t="s">
        <v>2149</v>
      </c>
      <c r="B51" s="696" t="s">
        <v>2131</v>
      </c>
      <c r="C51" s="696" t="s">
        <v>2950</v>
      </c>
      <c r="D51" s="696" t="s">
        <v>2951</v>
      </c>
      <c r="E51" s="696" t="s">
        <v>2952</v>
      </c>
      <c r="F51" s="711">
        <v>3</v>
      </c>
      <c r="G51" s="711">
        <v>982.31999999999994</v>
      </c>
      <c r="H51" s="701">
        <v>1</v>
      </c>
      <c r="I51" s="711"/>
      <c r="J51" s="711"/>
      <c r="K51" s="701">
        <v>0</v>
      </c>
      <c r="L51" s="711">
        <v>3</v>
      </c>
      <c r="M51" s="712">
        <v>982.31999999999994</v>
      </c>
    </row>
    <row r="52" spans="1:13" ht="14.4" customHeight="1" x14ac:dyDescent="0.3">
      <c r="A52" s="695" t="s">
        <v>2149</v>
      </c>
      <c r="B52" s="696" t="s">
        <v>2131</v>
      </c>
      <c r="C52" s="696" t="s">
        <v>2795</v>
      </c>
      <c r="D52" s="696" t="s">
        <v>2796</v>
      </c>
      <c r="E52" s="696" t="s">
        <v>2287</v>
      </c>
      <c r="F52" s="711"/>
      <c r="G52" s="711"/>
      <c r="H52" s="701">
        <v>0</v>
      </c>
      <c r="I52" s="711">
        <v>6</v>
      </c>
      <c r="J52" s="711">
        <v>884.16000000000008</v>
      </c>
      <c r="K52" s="701">
        <v>1</v>
      </c>
      <c r="L52" s="711">
        <v>6</v>
      </c>
      <c r="M52" s="712">
        <v>884.16000000000008</v>
      </c>
    </row>
    <row r="53" spans="1:13" ht="14.4" customHeight="1" x14ac:dyDescent="0.3">
      <c r="A53" s="695" t="s">
        <v>2149</v>
      </c>
      <c r="B53" s="696" t="s">
        <v>2131</v>
      </c>
      <c r="C53" s="696" t="s">
        <v>2285</v>
      </c>
      <c r="D53" s="696" t="s">
        <v>2286</v>
      </c>
      <c r="E53" s="696" t="s">
        <v>2287</v>
      </c>
      <c r="F53" s="711">
        <v>2</v>
      </c>
      <c r="G53" s="711">
        <v>294.72000000000003</v>
      </c>
      <c r="H53" s="701">
        <v>1</v>
      </c>
      <c r="I53" s="711"/>
      <c r="J53" s="711"/>
      <c r="K53" s="701">
        <v>0</v>
      </c>
      <c r="L53" s="711">
        <v>2</v>
      </c>
      <c r="M53" s="712">
        <v>294.72000000000003</v>
      </c>
    </row>
    <row r="54" spans="1:13" ht="14.4" customHeight="1" x14ac:dyDescent="0.3">
      <c r="A54" s="695" t="s">
        <v>2149</v>
      </c>
      <c r="B54" s="696" t="s">
        <v>2131</v>
      </c>
      <c r="C54" s="696" t="s">
        <v>2953</v>
      </c>
      <c r="D54" s="696" t="s">
        <v>2286</v>
      </c>
      <c r="E54" s="696" t="s">
        <v>2954</v>
      </c>
      <c r="F54" s="711">
        <v>1</v>
      </c>
      <c r="G54" s="711">
        <v>0</v>
      </c>
      <c r="H54" s="701"/>
      <c r="I54" s="711"/>
      <c r="J54" s="711"/>
      <c r="K54" s="701"/>
      <c r="L54" s="711">
        <v>1</v>
      </c>
      <c r="M54" s="712">
        <v>0</v>
      </c>
    </row>
    <row r="55" spans="1:13" ht="14.4" customHeight="1" x14ac:dyDescent="0.3">
      <c r="A55" s="695" t="s">
        <v>2149</v>
      </c>
      <c r="B55" s="696" t="s">
        <v>2131</v>
      </c>
      <c r="C55" s="696" t="s">
        <v>2955</v>
      </c>
      <c r="D55" s="696" t="s">
        <v>2956</v>
      </c>
      <c r="E55" s="696" t="s">
        <v>2799</v>
      </c>
      <c r="F55" s="711">
        <v>3</v>
      </c>
      <c r="G55" s="711">
        <v>943.02</v>
      </c>
      <c r="H55" s="701">
        <v>1</v>
      </c>
      <c r="I55" s="711"/>
      <c r="J55" s="711"/>
      <c r="K55" s="701">
        <v>0</v>
      </c>
      <c r="L55" s="711">
        <v>3</v>
      </c>
      <c r="M55" s="712">
        <v>943.02</v>
      </c>
    </row>
    <row r="56" spans="1:13" ht="14.4" customHeight="1" x14ac:dyDescent="0.3">
      <c r="A56" s="695" t="s">
        <v>2149</v>
      </c>
      <c r="B56" s="696" t="s">
        <v>2131</v>
      </c>
      <c r="C56" s="696" t="s">
        <v>2797</v>
      </c>
      <c r="D56" s="696" t="s">
        <v>2203</v>
      </c>
      <c r="E56" s="696" t="s">
        <v>2450</v>
      </c>
      <c r="F56" s="711"/>
      <c r="G56" s="711"/>
      <c r="H56" s="701">
        <v>0</v>
      </c>
      <c r="I56" s="711">
        <v>4</v>
      </c>
      <c r="J56" s="711">
        <v>392.92</v>
      </c>
      <c r="K56" s="701">
        <v>1</v>
      </c>
      <c r="L56" s="711">
        <v>4</v>
      </c>
      <c r="M56" s="712">
        <v>392.92</v>
      </c>
    </row>
    <row r="57" spans="1:13" ht="14.4" customHeight="1" x14ac:dyDescent="0.3">
      <c r="A57" s="695" t="s">
        <v>2149</v>
      </c>
      <c r="B57" s="696" t="s">
        <v>2131</v>
      </c>
      <c r="C57" s="696" t="s">
        <v>2202</v>
      </c>
      <c r="D57" s="696" t="s">
        <v>2203</v>
      </c>
      <c r="E57" s="696" t="s">
        <v>2204</v>
      </c>
      <c r="F57" s="711"/>
      <c r="G57" s="711"/>
      <c r="H57" s="701">
        <v>0</v>
      </c>
      <c r="I57" s="711">
        <v>1</v>
      </c>
      <c r="J57" s="711">
        <v>163.72999999999999</v>
      </c>
      <c r="K57" s="701">
        <v>1</v>
      </c>
      <c r="L57" s="711">
        <v>1</v>
      </c>
      <c r="M57" s="712">
        <v>163.72999999999999</v>
      </c>
    </row>
    <row r="58" spans="1:13" ht="14.4" customHeight="1" x14ac:dyDescent="0.3">
      <c r="A58" s="695" t="s">
        <v>2149</v>
      </c>
      <c r="B58" s="696" t="s">
        <v>2131</v>
      </c>
      <c r="C58" s="696" t="s">
        <v>2957</v>
      </c>
      <c r="D58" s="696" t="s">
        <v>2958</v>
      </c>
      <c r="E58" s="696" t="s">
        <v>2559</v>
      </c>
      <c r="F58" s="711">
        <v>3</v>
      </c>
      <c r="G58" s="711">
        <v>0</v>
      </c>
      <c r="H58" s="701"/>
      <c r="I58" s="711"/>
      <c r="J58" s="711"/>
      <c r="K58" s="701"/>
      <c r="L58" s="711">
        <v>3</v>
      </c>
      <c r="M58" s="712">
        <v>0</v>
      </c>
    </row>
    <row r="59" spans="1:13" ht="14.4" customHeight="1" x14ac:dyDescent="0.3">
      <c r="A59" s="695" t="s">
        <v>2149</v>
      </c>
      <c r="B59" s="696" t="s">
        <v>2131</v>
      </c>
      <c r="C59" s="696" t="s">
        <v>2798</v>
      </c>
      <c r="D59" s="696" t="s">
        <v>2793</v>
      </c>
      <c r="E59" s="696" t="s">
        <v>2799</v>
      </c>
      <c r="F59" s="711"/>
      <c r="G59" s="711"/>
      <c r="H59" s="701">
        <v>0</v>
      </c>
      <c r="I59" s="711">
        <v>6</v>
      </c>
      <c r="J59" s="711">
        <v>1886.04</v>
      </c>
      <c r="K59" s="701">
        <v>1</v>
      </c>
      <c r="L59" s="711">
        <v>6</v>
      </c>
      <c r="M59" s="712">
        <v>1886.04</v>
      </c>
    </row>
    <row r="60" spans="1:13" ht="14.4" customHeight="1" x14ac:dyDescent="0.3">
      <c r="A60" s="695" t="s">
        <v>2149</v>
      </c>
      <c r="B60" s="696" t="s">
        <v>3273</v>
      </c>
      <c r="C60" s="696" t="s">
        <v>2279</v>
      </c>
      <c r="D60" s="696" t="s">
        <v>2280</v>
      </c>
      <c r="E60" s="696" t="s">
        <v>2281</v>
      </c>
      <c r="F60" s="711"/>
      <c r="G60" s="711"/>
      <c r="H60" s="701">
        <v>0</v>
      </c>
      <c r="I60" s="711">
        <v>3</v>
      </c>
      <c r="J60" s="711">
        <v>1285.1999999999998</v>
      </c>
      <c r="K60" s="701">
        <v>1</v>
      </c>
      <c r="L60" s="711">
        <v>3</v>
      </c>
      <c r="M60" s="712">
        <v>1285.1999999999998</v>
      </c>
    </row>
    <row r="61" spans="1:13" ht="14.4" customHeight="1" x14ac:dyDescent="0.3">
      <c r="A61" s="695" t="s">
        <v>2149</v>
      </c>
      <c r="B61" s="696" t="s">
        <v>3273</v>
      </c>
      <c r="C61" s="696" t="s">
        <v>2282</v>
      </c>
      <c r="D61" s="696" t="s">
        <v>2283</v>
      </c>
      <c r="E61" s="696" t="s">
        <v>2284</v>
      </c>
      <c r="F61" s="711">
        <v>3</v>
      </c>
      <c r="G61" s="711">
        <v>0</v>
      </c>
      <c r="H61" s="701"/>
      <c r="I61" s="711"/>
      <c r="J61" s="711"/>
      <c r="K61" s="701"/>
      <c r="L61" s="711">
        <v>3</v>
      </c>
      <c r="M61" s="712">
        <v>0</v>
      </c>
    </row>
    <row r="62" spans="1:13" ht="14.4" customHeight="1" x14ac:dyDescent="0.3">
      <c r="A62" s="695" t="s">
        <v>2149</v>
      </c>
      <c r="B62" s="696" t="s">
        <v>3274</v>
      </c>
      <c r="C62" s="696" t="s">
        <v>2879</v>
      </c>
      <c r="D62" s="696" t="s">
        <v>2880</v>
      </c>
      <c r="E62" s="696" t="s">
        <v>2881</v>
      </c>
      <c r="F62" s="711"/>
      <c r="G62" s="711"/>
      <c r="H62" s="701">
        <v>0</v>
      </c>
      <c r="I62" s="711">
        <v>2</v>
      </c>
      <c r="J62" s="711">
        <v>1123.08</v>
      </c>
      <c r="K62" s="701">
        <v>1</v>
      </c>
      <c r="L62" s="711">
        <v>2</v>
      </c>
      <c r="M62" s="712">
        <v>1123.08</v>
      </c>
    </row>
    <row r="63" spans="1:13" ht="14.4" customHeight="1" x14ac:dyDescent="0.3">
      <c r="A63" s="695" t="s">
        <v>2149</v>
      </c>
      <c r="B63" s="696" t="s">
        <v>3274</v>
      </c>
      <c r="C63" s="696" t="s">
        <v>2684</v>
      </c>
      <c r="D63" s="696" t="s">
        <v>2685</v>
      </c>
      <c r="E63" s="696" t="s">
        <v>2686</v>
      </c>
      <c r="F63" s="711"/>
      <c r="G63" s="711"/>
      <c r="H63" s="701">
        <v>0</v>
      </c>
      <c r="I63" s="711">
        <v>2</v>
      </c>
      <c r="J63" s="711">
        <v>887.04</v>
      </c>
      <c r="K63" s="701">
        <v>1</v>
      </c>
      <c r="L63" s="711">
        <v>2</v>
      </c>
      <c r="M63" s="712">
        <v>887.04</v>
      </c>
    </row>
    <row r="64" spans="1:13" ht="14.4" customHeight="1" x14ac:dyDescent="0.3">
      <c r="A64" s="695" t="s">
        <v>2149</v>
      </c>
      <c r="B64" s="696" t="s">
        <v>3274</v>
      </c>
      <c r="C64" s="696" t="s">
        <v>2687</v>
      </c>
      <c r="D64" s="696" t="s">
        <v>2685</v>
      </c>
      <c r="E64" s="696" t="s">
        <v>2688</v>
      </c>
      <c r="F64" s="711"/>
      <c r="G64" s="711"/>
      <c r="H64" s="701">
        <v>0</v>
      </c>
      <c r="I64" s="711">
        <v>21</v>
      </c>
      <c r="J64" s="711">
        <v>18628.05</v>
      </c>
      <c r="K64" s="701">
        <v>1</v>
      </c>
      <c r="L64" s="711">
        <v>21</v>
      </c>
      <c r="M64" s="712">
        <v>18628.05</v>
      </c>
    </row>
    <row r="65" spans="1:13" ht="14.4" customHeight="1" x14ac:dyDescent="0.3">
      <c r="A65" s="695" t="s">
        <v>2149</v>
      </c>
      <c r="B65" s="696" t="s">
        <v>3274</v>
      </c>
      <c r="C65" s="696" t="s">
        <v>2689</v>
      </c>
      <c r="D65" s="696" t="s">
        <v>2690</v>
      </c>
      <c r="E65" s="696" t="s">
        <v>2691</v>
      </c>
      <c r="F65" s="711"/>
      <c r="G65" s="711"/>
      <c r="H65" s="701">
        <v>0</v>
      </c>
      <c r="I65" s="711">
        <v>2</v>
      </c>
      <c r="J65" s="711">
        <v>999.6</v>
      </c>
      <c r="K65" s="701">
        <v>1</v>
      </c>
      <c r="L65" s="711">
        <v>2</v>
      </c>
      <c r="M65" s="712">
        <v>999.6</v>
      </c>
    </row>
    <row r="66" spans="1:13" ht="14.4" customHeight="1" x14ac:dyDescent="0.3">
      <c r="A66" s="695" t="s">
        <v>2149</v>
      </c>
      <c r="B66" s="696" t="s">
        <v>3275</v>
      </c>
      <c r="C66" s="696" t="s">
        <v>2940</v>
      </c>
      <c r="D66" s="696" t="s">
        <v>2774</v>
      </c>
      <c r="E66" s="696" t="s">
        <v>2941</v>
      </c>
      <c r="F66" s="711"/>
      <c r="G66" s="711"/>
      <c r="H66" s="701">
        <v>0</v>
      </c>
      <c r="I66" s="711">
        <v>2</v>
      </c>
      <c r="J66" s="711">
        <v>896.74</v>
      </c>
      <c r="K66" s="701">
        <v>1</v>
      </c>
      <c r="L66" s="711">
        <v>2</v>
      </c>
      <c r="M66" s="712">
        <v>896.74</v>
      </c>
    </row>
    <row r="67" spans="1:13" ht="14.4" customHeight="1" x14ac:dyDescent="0.3">
      <c r="A67" s="695" t="s">
        <v>2149</v>
      </c>
      <c r="B67" s="696" t="s">
        <v>3275</v>
      </c>
      <c r="C67" s="696" t="s">
        <v>2773</v>
      </c>
      <c r="D67" s="696" t="s">
        <v>2774</v>
      </c>
      <c r="E67" s="696" t="s">
        <v>2775</v>
      </c>
      <c r="F67" s="711"/>
      <c r="G67" s="711"/>
      <c r="H67" s="701">
        <v>0</v>
      </c>
      <c r="I67" s="711">
        <v>26</v>
      </c>
      <c r="J67" s="711">
        <v>46629.959999999992</v>
      </c>
      <c r="K67" s="701">
        <v>1</v>
      </c>
      <c r="L67" s="711">
        <v>26</v>
      </c>
      <c r="M67" s="712">
        <v>46629.959999999992</v>
      </c>
    </row>
    <row r="68" spans="1:13" ht="14.4" customHeight="1" x14ac:dyDescent="0.3">
      <c r="A68" s="695" t="s">
        <v>2149</v>
      </c>
      <c r="B68" s="696" t="s">
        <v>3275</v>
      </c>
      <c r="C68" s="696" t="s">
        <v>2942</v>
      </c>
      <c r="D68" s="696" t="s">
        <v>2774</v>
      </c>
      <c r="E68" s="696" t="s">
        <v>2943</v>
      </c>
      <c r="F68" s="711">
        <v>1</v>
      </c>
      <c r="G68" s="711">
        <v>0</v>
      </c>
      <c r="H68" s="701"/>
      <c r="I68" s="711"/>
      <c r="J68" s="711"/>
      <c r="K68" s="701"/>
      <c r="L68" s="711">
        <v>1</v>
      </c>
      <c r="M68" s="712">
        <v>0</v>
      </c>
    </row>
    <row r="69" spans="1:13" ht="14.4" customHeight="1" x14ac:dyDescent="0.3">
      <c r="A69" s="695" t="s">
        <v>2149</v>
      </c>
      <c r="B69" s="696" t="s">
        <v>3275</v>
      </c>
      <c r="C69" s="696" t="s">
        <v>2944</v>
      </c>
      <c r="D69" s="696" t="s">
        <v>2945</v>
      </c>
      <c r="E69" s="696" t="s">
        <v>2946</v>
      </c>
      <c r="F69" s="711"/>
      <c r="G69" s="711"/>
      <c r="H69" s="701"/>
      <c r="I69" s="711">
        <v>3</v>
      </c>
      <c r="J69" s="711">
        <v>0</v>
      </c>
      <c r="K69" s="701"/>
      <c r="L69" s="711">
        <v>3</v>
      </c>
      <c r="M69" s="712">
        <v>0</v>
      </c>
    </row>
    <row r="70" spans="1:13" ht="14.4" customHeight="1" x14ac:dyDescent="0.3">
      <c r="A70" s="695" t="s">
        <v>2149</v>
      </c>
      <c r="B70" s="696" t="s">
        <v>2116</v>
      </c>
      <c r="C70" s="696" t="s">
        <v>2824</v>
      </c>
      <c r="D70" s="696" t="s">
        <v>2825</v>
      </c>
      <c r="E70" s="696" t="s">
        <v>2826</v>
      </c>
      <c r="F70" s="711"/>
      <c r="G70" s="711"/>
      <c r="H70" s="701">
        <v>0</v>
      </c>
      <c r="I70" s="711">
        <v>45</v>
      </c>
      <c r="J70" s="711">
        <v>7295.85</v>
      </c>
      <c r="K70" s="701">
        <v>1</v>
      </c>
      <c r="L70" s="711">
        <v>45</v>
      </c>
      <c r="M70" s="712">
        <v>7295.85</v>
      </c>
    </row>
    <row r="71" spans="1:13" ht="14.4" customHeight="1" x14ac:dyDescent="0.3">
      <c r="A71" s="695" t="s">
        <v>2149</v>
      </c>
      <c r="B71" s="696" t="s">
        <v>2116</v>
      </c>
      <c r="C71" s="696" t="s">
        <v>2628</v>
      </c>
      <c r="D71" s="696" t="s">
        <v>2482</v>
      </c>
      <c r="E71" s="696" t="s">
        <v>2629</v>
      </c>
      <c r="F71" s="711"/>
      <c r="G71" s="711"/>
      <c r="H71" s="701">
        <v>0</v>
      </c>
      <c r="I71" s="711">
        <v>6</v>
      </c>
      <c r="J71" s="711">
        <v>1296.96</v>
      </c>
      <c r="K71" s="701">
        <v>1</v>
      </c>
      <c r="L71" s="711">
        <v>6</v>
      </c>
      <c r="M71" s="712">
        <v>1296.96</v>
      </c>
    </row>
    <row r="72" spans="1:13" ht="14.4" customHeight="1" x14ac:dyDescent="0.3">
      <c r="A72" s="695" t="s">
        <v>2149</v>
      </c>
      <c r="B72" s="696" t="s">
        <v>2116</v>
      </c>
      <c r="C72" s="696" t="s">
        <v>2827</v>
      </c>
      <c r="D72" s="696" t="s">
        <v>2828</v>
      </c>
      <c r="E72" s="696" t="s">
        <v>2829</v>
      </c>
      <c r="F72" s="711">
        <v>7</v>
      </c>
      <c r="G72" s="711">
        <v>0</v>
      </c>
      <c r="H72" s="701"/>
      <c r="I72" s="711"/>
      <c r="J72" s="711"/>
      <c r="K72" s="701"/>
      <c r="L72" s="711">
        <v>7</v>
      </c>
      <c r="M72" s="712">
        <v>0</v>
      </c>
    </row>
    <row r="73" spans="1:13" ht="14.4" customHeight="1" x14ac:dyDescent="0.3">
      <c r="A73" s="695" t="s">
        <v>2149</v>
      </c>
      <c r="B73" s="696" t="s">
        <v>2116</v>
      </c>
      <c r="C73" s="696" t="s">
        <v>2251</v>
      </c>
      <c r="D73" s="696" t="s">
        <v>2252</v>
      </c>
      <c r="E73" s="696" t="s">
        <v>2253</v>
      </c>
      <c r="F73" s="711">
        <v>22</v>
      </c>
      <c r="G73" s="711">
        <v>4438.5</v>
      </c>
      <c r="H73" s="701">
        <v>1</v>
      </c>
      <c r="I73" s="711"/>
      <c r="J73" s="711"/>
      <c r="K73" s="701">
        <v>0</v>
      </c>
      <c r="L73" s="711">
        <v>22</v>
      </c>
      <c r="M73" s="712">
        <v>4438.5</v>
      </c>
    </row>
    <row r="74" spans="1:13" ht="14.4" customHeight="1" x14ac:dyDescent="0.3">
      <c r="A74" s="695" t="s">
        <v>2149</v>
      </c>
      <c r="B74" s="696" t="s">
        <v>2116</v>
      </c>
      <c r="C74" s="696" t="s">
        <v>2830</v>
      </c>
      <c r="D74" s="696" t="s">
        <v>2252</v>
      </c>
      <c r="E74" s="696" t="s">
        <v>2253</v>
      </c>
      <c r="F74" s="711">
        <v>3</v>
      </c>
      <c r="G74" s="711">
        <v>605.25</v>
      </c>
      <c r="H74" s="701">
        <v>1</v>
      </c>
      <c r="I74" s="711"/>
      <c r="J74" s="711"/>
      <c r="K74" s="701">
        <v>0</v>
      </c>
      <c r="L74" s="711">
        <v>3</v>
      </c>
      <c r="M74" s="712">
        <v>605.25</v>
      </c>
    </row>
    <row r="75" spans="1:13" ht="14.4" customHeight="1" x14ac:dyDescent="0.3">
      <c r="A75" s="695" t="s">
        <v>2149</v>
      </c>
      <c r="B75" s="696" t="s">
        <v>3267</v>
      </c>
      <c r="C75" s="696" t="s">
        <v>2848</v>
      </c>
      <c r="D75" s="696" t="s">
        <v>2849</v>
      </c>
      <c r="E75" s="696" t="s">
        <v>2406</v>
      </c>
      <c r="F75" s="711"/>
      <c r="G75" s="711"/>
      <c r="H75" s="701">
        <v>0</v>
      </c>
      <c r="I75" s="711">
        <v>3</v>
      </c>
      <c r="J75" s="711">
        <v>697.31999999999994</v>
      </c>
      <c r="K75" s="701">
        <v>1</v>
      </c>
      <c r="L75" s="711">
        <v>3</v>
      </c>
      <c r="M75" s="712">
        <v>697.31999999999994</v>
      </c>
    </row>
    <row r="76" spans="1:13" ht="14.4" customHeight="1" x14ac:dyDescent="0.3">
      <c r="A76" s="695" t="s">
        <v>2149</v>
      </c>
      <c r="B76" s="696" t="s">
        <v>3281</v>
      </c>
      <c r="C76" s="696" t="s">
        <v>2961</v>
      </c>
      <c r="D76" s="696" t="s">
        <v>2962</v>
      </c>
      <c r="E76" s="696" t="s">
        <v>2963</v>
      </c>
      <c r="F76" s="711"/>
      <c r="G76" s="711"/>
      <c r="H76" s="701">
        <v>0</v>
      </c>
      <c r="I76" s="711">
        <v>3</v>
      </c>
      <c r="J76" s="711">
        <v>418.38</v>
      </c>
      <c r="K76" s="701">
        <v>1</v>
      </c>
      <c r="L76" s="711">
        <v>3</v>
      </c>
      <c r="M76" s="712">
        <v>418.38</v>
      </c>
    </row>
    <row r="77" spans="1:13" ht="14.4" customHeight="1" x14ac:dyDescent="0.3">
      <c r="A77" s="695" t="s">
        <v>2149</v>
      </c>
      <c r="B77" s="696" t="s">
        <v>3276</v>
      </c>
      <c r="C77" s="696" t="s">
        <v>2296</v>
      </c>
      <c r="D77" s="696" t="s">
        <v>2297</v>
      </c>
      <c r="E77" s="696" t="s">
        <v>2298</v>
      </c>
      <c r="F77" s="711"/>
      <c r="G77" s="711"/>
      <c r="H77" s="701"/>
      <c r="I77" s="711">
        <v>2</v>
      </c>
      <c r="J77" s="711">
        <v>0</v>
      </c>
      <c r="K77" s="701"/>
      <c r="L77" s="711">
        <v>2</v>
      </c>
      <c r="M77" s="712">
        <v>0</v>
      </c>
    </row>
    <row r="78" spans="1:13" ht="14.4" customHeight="1" x14ac:dyDescent="0.3">
      <c r="A78" s="695" t="s">
        <v>2149</v>
      </c>
      <c r="B78" s="696" t="s">
        <v>3276</v>
      </c>
      <c r="C78" s="696" t="s">
        <v>2299</v>
      </c>
      <c r="D78" s="696" t="s">
        <v>2300</v>
      </c>
      <c r="E78" s="696" t="s">
        <v>2301</v>
      </c>
      <c r="F78" s="711"/>
      <c r="G78" s="711"/>
      <c r="H78" s="701"/>
      <c r="I78" s="711">
        <v>2</v>
      </c>
      <c r="J78" s="711">
        <v>0</v>
      </c>
      <c r="K78" s="701"/>
      <c r="L78" s="711">
        <v>2</v>
      </c>
      <c r="M78" s="712">
        <v>0</v>
      </c>
    </row>
    <row r="79" spans="1:13" ht="14.4" customHeight="1" x14ac:dyDescent="0.3">
      <c r="A79" s="695" t="s">
        <v>2150</v>
      </c>
      <c r="B79" s="696" t="s">
        <v>2071</v>
      </c>
      <c r="C79" s="696" t="s">
        <v>2310</v>
      </c>
      <c r="D79" s="696" t="s">
        <v>2311</v>
      </c>
      <c r="E79" s="696" t="s">
        <v>2312</v>
      </c>
      <c r="F79" s="711"/>
      <c r="G79" s="711"/>
      <c r="H79" s="701">
        <v>0</v>
      </c>
      <c r="I79" s="711">
        <v>2</v>
      </c>
      <c r="J79" s="711">
        <v>199.4</v>
      </c>
      <c r="K79" s="701">
        <v>1</v>
      </c>
      <c r="L79" s="711">
        <v>2</v>
      </c>
      <c r="M79" s="712">
        <v>199.4</v>
      </c>
    </row>
    <row r="80" spans="1:13" ht="14.4" customHeight="1" x14ac:dyDescent="0.3">
      <c r="A80" s="695" t="s">
        <v>2150</v>
      </c>
      <c r="B80" s="696" t="s">
        <v>3282</v>
      </c>
      <c r="C80" s="696" t="s">
        <v>2306</v>
      </c>
      <c r="D80" s="696" t="s">
        <v>2307</v>
      </c>
      <c r="E80" s="696" t="s">
        <v>2308</v>
      </c>
      <c r="F80" s="711">
        <v>2</v>
      </c>
      <c r="G80" s="711">
        <v>95.26</v>
      </c>
      <c r="H80" s="701">
        <v>1</v>
      </c>
      <c r="I80" s="711"/>
      <c r="J80" s="711"/>
      <c r="K80" s="701">
        <v>0</v>
      </c>
      <c r="L80" s="711">
        <v>2</v>
      </c>
      <c r="M80" s="712">
        <v>95.26</v>
      </c>
    </row>
    <row r="81" spans="1:13" ht="14.4" customHeight="1" x14ac:dyDescent="0.3">
      <c r="A81" s="695" t="s">
        <v>2150</v>
      </c>
      <c r="B81" s="696" t="s">
        <v>3283</v>
      </c>
      <c r="C81" s="696" t="s">
        <v>2327</v>
      </c>
      <c r="D81" s="696" t="s">
        <v>2328</v>
      </c>
      <c r="E81" s="696" t="s">
        <v>2329</v>
      </c>
      <c r="F81" s="711">
        <v>3</v>
      </c>
      <c r="G81" s="711">
        <v>250.26999999999998</v>
      </c>
      <c r="H81" s="701">
        <v>1</v>
      </c>
      <c r="I81" s="711"/>
      <c r="J81" s="711"/>
      <c r="K81" s="701">
        <v>0</v>
      </c>
      <c r="L81" s="711">
        <v>3</v>
      </c>
      <c r="M81" s="712">
        <v>250.26999999999998</v>
      </c>
    </row>
    <row r="82" spans="1:13" ht="14.4" customHeight="1" x14ac:dyDescent="0.3">
      <c r="A82" s="695" t="s">
        <v>2151</v>
      </c>
      <c r="B82" s="696" t="s">
        <v>2130</v>
      </c>
      <c r="C82" s="696" t="s">
        <v>3042</v>
      </c>
      <c r="D82" s="696" t="s">
        <v>3043</v>
      </c>
      <c r="E82" s="696" t="s">
        <v>3044</v>
      </c>
      <c r="F82" s="711"/>
      <c r="G82" s="711"/>
      <c r="H82" s="701">
        <v>0</v>
      </c>
      <c r="I82" s="711">
        <v>3</v>
      </c>
      <c r="J82" s="711">
        <v>4078.83</v>
      </c>
      <c r="K82" s="701">
        <v>1</v>
      </c>
      <c r="L82" s="711">
        <v>3</v>
      </c>
      <c r="M82" s="712">
        <v>4078.83</v>
      </c>
    </row>
    <row r="83" spans="1:13" ht="14.4" customHeight="1" x14ac:dyDescent="0.3">
      <c r="A83" s="695" t="s">
        <v>2151</v>
      </c>
      <c r="B83" s="696" t="s">
        <v>2130</v>
      </c>
      <c r="C83" s="696" t="s">
        <v>3045</v>
      </c>
      <c r="D83" s="696" t="s">
        <v>3046</v>
      </c>
      <c r="E83" s="696" t="s">
        <v>3047</v>
      </c>
      <c r="F83" s="711"/>
      <c r="G83" s="711"/>
      <c r="H83" s="701">
        <v>0</v>
      </c>
      <c r="I83" s="711">
        <v>1</v>
      </c>
      <c r="J83" s="711">
        <v>1359.61</v>
      </c>
      <c r="K83" s="701">
        <v>1</v>
      </c>
      <c r="L83" s="711">
        <v>1</v>
      </c>
      <c r="M83" s="712">
        <v>1359.61</v>
      </c>
    </row>
    <row r="84" spans="1:13" ht="14.4" customHeight="1" x14ac:dyDescent="0.3">
      <c r="A84" s="695" t="s">
        <v>2151</v>
      </c>
      <c r="B84" s="696" t="s">
        <v>3270</v>
      </c>
      <c r="C84" s="696" t="s">
        <v>2716</v>
      </c>
      <c r="D84" s="696" t="s">
        <v>2500</v>
      </c>
      <c r="E84" s="696" t="s">
        <v>2717</v>
      </c>
      <c r="F84" s="711"/>
      <c r="G84" s="711"/>
      <c r="H84" s="701">
        <v>0</v>
      </c>
      <c r="I84" s="711">
        <v>4</v>
      </c>
      <c r="J84" s="711">
        <v>773.04</v>
      </c>
      <c r="K84" s="701">
        <v>1</v>
      </c>
      <c r="L84" s="711">
        <v>4</v>
      </c>
      <c r="M84" s="712">
        <v>773.04</v>
      </c>
    </row>
    <row r="85" spans="1:13" ht="14.4" customHeight="1" x14ac:dyDescent="0.3">
      <c r="A85" s="695" t="s">
        <v>2151</v>
      </c>
      <c r="B85" s="696" t="s">
        <v>3271</v>
      </c>
      <c r="C85" s="696" t="s">
        <v>2397</v>
      </c>
      <c r="D85" s="696" t="s">
        <v>2235</v>
      </c>
      <c r="E85" s="696" t="s">
        <v>2398</v>
      </c>
      <c r="F85" s="711"/>
      <c r="G85" s="711"/>
      <c r="H85" s="701">
        <v>0</v>
      </c>
      <c r="I85" s="711">
        <v>6</v>
      </c>
      <c r="J85" s="711">
        <v>579.78</v>
      </c>
      <c r="K85" s="701">
        <v>1</v>
      </c>
      <c r="L85" s="711">
        <v>6</v>
      </c>
      <c r="M85" s="712">
        <v>579.78</v>
      </c>
    </row>
    <row r="86" spans="1:13" ht="14.4" customHeight="1" x14ac:dyDescent="0.3">
      <c r="A86" s="695" t="s">
        <v>2151</v>
      </c>
      <c r="B86" s="696" t="s">
        <v>3271</v>
      </c>
      <c r="C86" s="696" t="s">
        <v>2917</v>
      </c>
      <c r="D86" s="696" t="s">
        <v>2918</v>
      </c>
      <c r="E86" s="696" t="s">
        <v>2919</v>
      </c>
      <c r="F86" s="711">
        <v>2</v>
      </c>
      <c r="G86" s="711">
        <v>193.26</v>
      </c>
      <c r="H86" s="701">
        <v>1</v>
      </c>
      <c r="I86" s="711"/>
      <c r="J86" s="711"/>
      <c r="K86" s="701">
        <v>0</v>
      </c>
      <c r="L86" s="711">
        <v>2</v>
      </c>
      <c r="M86" s="712">
        <v>193.26</v>
      </c>
    </row>
    <row r="87" spans="1:13" ht="14.4" customHeight="1" x14ac:dyDescent="0.3">
      <c r="A87" s="695" t="s">
        <v>2151</v>
      </c>
      <c r="B87" s="696" t="s">
        <v>3272</v>
      </c>
      <c r="C87" s="696" t="s">
        <v>2968</v>
      </c>
      <c r="D87" s="696" t="s">
        <v>2969</v>
      </c>
      <c r="E87" s="696" t="s">
        <v>2970</v>
      </c>
      <c r="F87" s="711">
        <v>6</v>
      </c>
      <c r="G87" s="711">
        <v>6781.2000000000007</v>
      </c>
      <c r="H87" s="701">
        <v>1</v>
      </c>
      <c r="I87" s="711"/>
      <c r="J87" s="711"/>
      <c r="K87" s="701">
        <v>0</v>
      </c>
      <c r="L87" s="711">
        <v>6</v>
      </c>
      <c r="M87" s="712">
        <v>6781.2000000000007</v>
      </c>
    </row>
    <row r="88" spans="1:13" ht="14.4" customHeight="1" x14ac:dyDescent="0.3">
      <c r="A88" s="695" t="s">
        <v>2151</v>
      </c>
      <c r="B88" s="696" t="s">
        <v>3272</v>
      </c>
      <c r="C88" s="696" t="s">
        <v>2625</v>
      </c>
      <c r="D88" s="696" t="s">
        <v>2626</v>
      </c>
      <c r="E88" s="696" t="s">
        <v>2627</v>
      </c>
      <c r="F88" s="711"/>
      <c r="G88" s="711"/>
      <c r="H88" s="701">
        <v>0</v>
      </c>
      <c r="I88" s="711">
        <v>23</v>
      </c>
      <c r="J88" s="711">
        <v>23182.059999999998</v>
      </c>
      <c r="K88" s="701">
        <v>1</v>
      </c>
      <c r="L88" s="711">
        <v>23</v>
      </c>
      <c r="M88" s="712">
        <v>23182.059999999998</v>
      </c>
    </row>
    <row r="89" spans="1:13" ht="14.4" customHeight="1" x14ac:dyDescent="0.3">
      <c r="A89" s="695" t="s">
        <v>2151</v>
      </c>
      <c r="B89" s="696" t="s">
        <v>3272</v>
      </c>
      <c r="C89" s="696" t="s">
        <v>2815</v>
      </c>
      <c r="D89" s="696" t="s">
        <v>2816</v>
      </c>
      <c r="E89" s="696" t="s">
        <v>2817</v>
      </c>
      <c r="F89" s="711"/>
      <c r="G89" s="711"/>
      <c r="H89" s="701">
        <v>0</v>
      </c>
      <c r="I89" s="711">
        <v>13</v>
      </c>
      <c r="J89" s="711">
        <v>17776.84</v>
      </c>
      <c r="K89" s="701">
        <v>1</v>
      </c>
      <c r="L89" s="711">
        <v>13</v>
      </c>
      <c r="M89" s="712">
        <v>17776.84</v>
      </c>
    </row>
    <row r="90" spans="1:13" ht="14.4" customHeight="1" x14ac:dyDescent="0.3">
      <c r="A90" s="695" t="s">
        <v>2151</v>
      </c>
      <c r="B90" s="696" t="s">
        <v>3272</v>
      </c>
      <c r="C90" s="696" t="s">
        <v>2818</v>
      </c>
      <c r="D90" s="696" t="s">
        <v>2819</v>
      </c>
      <c r="E90" s="696" t="s">
        <v>2820</v>
      </c>
      <c r="F90" s="711"/>
      <c r="G90" s="711"/>
      <c r="H90" s="701">
        <v>0</v>
      </c>
      <c r="I90" s="711">
        <v>24</v>
      </c>
      <c r="J90" s="711">
        <v>43745.22</v>
      </c>
      <c r="K90" s="701">
        <v>1</v>
      </c>
      <c r="L90" s="711">
        <v>24</v>
      </c>
      <c r="M90" s="712">
        <v>43745.22</v>
      </c>
    </row>
    <row r="91" spans="1:13" ht="14.4" customHeight="1" x14ac:dyDescent="0.3">
      <c r="A91" s="695" t="s">
        <v>2151</v>
      </c>
      <c r="B91" s="696" t="s">
        <v>2131</v>
      </c>
      <c r="C91" s="696" t="s">
        <v>2795</v>
      </c>
      <c r="D91" s="696" t="s">
        <v>2796</v>
      </c>
      <c r="E91" s="696" t="s">
        <v>2287</v>
      </c>
      <c r="F91" s="711"/>
      <c r="G91" s="711"/>
      <c r="H91" s="701">
        <v>0</v>
      </c>
      <c r="I91" s="711">
        <v>21</v>
      </c>
      <c r="J91" s="711">
        <v>3094.5600000000004</v>
      </c>
      <c r="K91" s="701">
        <v>1</v>
      </c>
      <c r="L91" s="711">
        <v>21</v>
      </c>
      <c r="M91" s="712">
        <v>3094.5600000000004</v>
      </c>
    </row>
    <row r="92" spans="1:13" ht="14.4" customHeight="1" x14ac:dyDescent="0.3">
      <c r="A92" s="695" t="s">
        <v>2151</v>
      </c>
      <c r="B92" s="696" t="s">
        <v>2131</v>
      </c>
      <c r="C92" s="696" t="s">
        <v>2457</v>
      </c>
      <c r="D92" s="696" t="s">
        <v>2458</v>
      </c>
      <c r="E92" s="696" t="s">
        <v>2441</v>
      </c>
      <c r="F92" s="711"/>
      <c r="G92" s="711"/>
      <c r="H92" s="701">
        <v>0</v>
      </c>
      <c r="I92" s="711">
        <v>12</v>
      </c>
      <c r="J92" s="711">
        <v>2357.52</v>
      </c>
      <c r="K92" s="701">
        <v>1</v>
      </c>
      <c r="L92" s="711">
        <v>12</v>
      </c>
      <c r="M92" s="712">
        <v>2357.52</v>
      </c>
    </row>
    <row r="93" spans="1:13" ht="14.4" customHeight="1" x14ac:dyDescent="0.3">
      <c r="A93" s="695" t="s">
        <v>2151</v>
      </c>
      <c r="B93" s="696" t="s">
        <v>2131</v>
      </c>
      <c r="C93" s="696" t="s">
        <v>3077</v>
      </c>
      <c r="D93" s="696" t="s">
        <v>3075</v>
      </c>
      <c r="E93" s="696" t="s">
        <v>2204</v>
      </c>
      <c r="F93" s="711">
        <v>2</v>
      </c>
      <c r="G93" s="711">
        <v>327.45999999999998</v>
      </c>
      <c r="H93" s="701">
        <v>1</v>
      </c>
      <c r="I93" s="711"/>
      <c r="J93" s="711"/>
      <c r="K93" s="701">
        <v>0</v>
      </c>
      <c r="L93" s="711">
        <v>2</v>
      </c>
      <c r="M93" s="712">
        <v>327.45999999999998</v>
      </c>
    </row>
    <row r="94" spans="1:13" ht="14.4" customHeight="1" x14ac:dyDescent="0.3">
      <c r="A94" s="695" t="s">
        <v>2151</v>
      </c>
      <c r="B94" s="696" t="s">
        <v>2131</v>
      </c>
      <c r="C94" s="696" t="s">
        <v>2797</v>
      </c>
      <c r="D94" s="696" t="s">
        <v>2203</v>
      </c>
      <c r="E94" s="696" t="s">
        <v>2450</v>
      </c>
      <c r="F94" s="711"/>
      <c r="G94" s="711"/>
      <c r="H94" s="701">
        <v>0</v>
      </c>
      <c r="I94" s="711">
        <v>2</v>
      </c>
      <c r="J94" s="711">
        <v>196.46</v>
      </c>
      <c r="K94" s="701">
        <v>1</v>
      </c>
      <c r="L94" s="711">
        <v>2</v>
      </c>
      <c r="M94" s="712">
        <v>196.46</v>
      </c>
    </row>
    <row r="95" spans="1:13" ht="14.4" customHeight="1" x14ac:dyDescent="0.3">
      <c r="A95" s="695" t="s">
        <v>2151</v>
      </c>
      <c r="B95" s="696" t="s">
        <v>2131</v>
      </c>
      <c r="C95" s="696" t="s">
        <v>2202</v>
      </c>
      <c r="D95" s="696" t="s">
        <v>2203</v>
      </c>
      <c r="E95" s="696" t="s">
        <v>2204</v>
      </c>
      <c r="F95" s="711"/>
      <c r="G95" s="711"/>
      <c r="H95" s="701">
        <v>0</v>
      </c>
      <c r="I95" s="711">
        <v>18</v>
      </c>
      <c r="J95" s="711">
        <v>2947.1399999999994</v>
      </c>
      <c r="K95" s="701">
        <v>1</v>
      </c>
      <c r="L95" s="711">
        <v>18</v>
      </c>
      <c r="M95" s="712">
        <v>2947.1399999999994</v>
      </c>
    </row>
    <row r="96" spans="1:13" ht="14.4" customHeight="1" x14ac:dyDescent="0.3">
      <c r="A96" s="695" t="s">
        <v>2151</v>
      </c>
      <c r="B96" s="696" t="s">
        <v>2131</v>
      </c>
      <c r="C96" s="696" t="s">
        <v>2798</v>
      </c>
      <c r="D96" s="696" t="s">
        <v>2793</v>
      </c>
      <c r="E96" s="696" t="s">
        <v>2799</v>
      </c>
      <c r="F96" s="711"/>
      <c r="G96" s="711"/>
      <c r="H96" s="701">
        <v>0</v>
      </c>
      <c r="I96" s="711">
        <v>10</v>
      </c>
      <c r="J96" s="711">
        <v>3143.3999999999996</v>
      </c>
      <c r="K96" s="701">
        <v>1</v>
      </c>
      <c r="L96" s="711">
        <v>10</v>
      </c>
      <c r="M96" s="712">
        <v>3143.3999999999996</v>
      </c>
    </row>
    <row r="97" spans="1:13" ht="14.4" customHeight="1" x14ac:dyDescent="0.3">
      <c r="A97" s="695" t="s">
        <v>2151</v>
      </c>
      <c r="B97" s="696" t="s">
        <v>2131</v>
      </c>
      <c r="C97" s="696" t="s">
        <v>3074</v>
      </c>
      <c r="D97" s="696" t="s">
        <v>3075</v>
      </c>
      <c r="E97" s="696" t="s">
        <v>3076</v>
      </c>
      <c r="F97" s="711">
        <v>3</v>
      </c>
      <c r="G97" s="711">
        <v>196.46999999999997</v>
      </c>
      <c r="H97" s="701">
        <v>1</v>
      </c>
      <c r="I97" s="711"/>
      <c r="J97" s="711"/>
      <c r="K97" s="701">
        <v>0</v>
      </c>
      <c r="L97" s="711">
        <v>3</v>
      </c>
      <c r="M97" s="712">
        <v>196.46999999999997</v>
      </c>
    </row>
    <row r="98" spans="1:13" ht="14.4" customHeight="1" x14ac:dyDescent="0.3">
      <c r="A98" s="695" t="s">
        <v>2151</v>
      </c>
      <c r="B98" s="696" t="s">
        <v>3273</v>
      </c>
      <c r="C98" s="696" t="s">
        <v>3064</v>
      </c>
      <c r="D98" s="696" t="s">
        <v>2283</v>
      </c>
      <c r="E98" s="696" t="s">
        <v>3065</v>
      </c>
      <c r="F98" s="711">
        <v>2</v>
      </c>
      <c r="G98" s="711">
        <v>0</v>
      </c>
      <c r="H98" s="701"/>
      <c r="I98" s="711"/>
      <c r="J98" s="711"/>
      <c r="K98" s="701"/>
      <c r="L98" s="711">
        <v>2</v>
      </c>
      <c r="M98" s="712">
        <v>0</v>
      </c>
    </row>
    <row r="99" spans="1:13" ht="14.4" customHeight="1" x14ac:dyDescent="0.3">
      <c r="A99" s="695" t="s">
        <v>2151</v>
      </c>
      <c r="B99" s="696" t="s">
        <v>3273</v>
      </c>
      <c r="C99" s="696" t="s">
        <v>3066</v>
      </c>
      <c r="D99" s="696" t="s">
        <v>3067</v>
      </c>
      <c r="E99" s="696" t="s">
        <v>3068</v>
      </c>
      <c r="F99" s="711">
        <v>1</v>
      </c>
      <c r="G99" s="711">
        <v>126.26</v>
      </c>
      <c r="H99" s="701">
        <v>1</v>
      </c>
      <c r="I99" s="711"/>
      <c r="J99" s="711"/>
      <c r="K99" s="701">
        <v>0</v>
      </c>
      <c r="L99" s="711">
        <v>1</v>
      </c>
      <c r="M99" s="712">
        <v>126.26</v>
      </c>
    </row>
    <row r="100" spans="1:13" ht="14.4" customHeight="1" x14ac:dyDescent="0.3">
      <c r="A100" s="695" t="s">
        <v>2151</v>
      </c>
      <c r="B100" s="696" t="s">
        <v>3274</v>
      </c>
      <c r="C100" s="696" t="s">
        <v>2999</v>
      </c>
      <c r="D100" s="696" t="s">
        <v>3000</v>
      </c>
      <c r="E100" s="696" t="s">
        <v>3001</v>
      </c>
      <c r="F100" s="711">
        <v>2</v>
      </c>
      <c r="G100" s="711">
        <v>1999.2</v>
      </c>
      <c r="H100" s="701">
        <v>0.5</v>
      </c>
      <c r="I100" s="711">
        <v>2</v>
      </c>
      <c r="J100" s="711">
        <v>1999.2</v>
      </c>
      <c r="K100" s="701">
        <v>0.5</v>
      </c>
      <c r="L100" s="711">
        <v>4</v>
      </c>
      <c r="M100" s="712">
        <v>3998.4</v>
      </c>
    </row>
    <row r="101" spans="1:13" ht="14.4" customHeight="1" x14ac:dyDescent="0.3">
      <c r="A101" s="695" t="s">
        <v>2151</v>
      </c>
      <c r="B101" s="696" t="s">
        <v>3274</v>
      </c>
      <c r="C101" s="696" t="s">
        <v>3002</v>
      </c>
      <c r="D101" s="696" t="s">
        <v>3003</v>
      </c>
      <c r="E101" s="696" t="s">
        <v>2688</v>
      </c>
      <c r="F101" s="711">
        <v>2</v>
      </c>
      <c r="G101" s="711">
        <v>1774.1</v>
      </c>
      <c r="H101" s="701">
        <v>0.66666666666666674</v>
      </c>
      <c r="I101" s="711">
        <v>1</v>
      </c>
      <c r="J101" s="711">
        <v>887.05</v>
      </c>
      <c r="K101" s="701">
        <v>0.33333333333333337</v>
      </c>
      <c r="L101" s="711">
        <v>3</v>
      </c>
      <c r="M101" s="712">
        <v>2661.1499999999996</v>
      </c>
    </row>
    <row r="102" spans="1:13" ht="14.4" customHeight="1" x14ac:dyDescent="0.3">
      <c r="A102" s="695" t="s">
        <v>2151</v>
      </c>
      <c r="B102" s="696" t="s">
        <v>3274</v>
      </c>
      <c r="C102" s="696" t="s">
        <v>2879</v>
      </c>
      <c r="D102" s="696" t="s">
        <v>2880</v>
      </c>
      <c r="E102" s="696" t="s">
        <v>2881</v>
      </c>
      <c r="F102" s="711"/>
      <c r="G102" s="711"/>
      <c r="H102" s="701">
        <v>0</v>
      </c>
      <c r="I102" s="711">
        <v>4</v>
      </c>
      <c r="J102" s="711">
        <v>2246.16</v>
      </c>
      <c r="K102" s="701">
        <v>1</v>
      </c>
      <c r="L102" s="711">
        <v>4</v>
      </c>
      <c r="M102" s="712">
        <v>2246.16</v>
      </c>
    </row>
    <row r="103" spans="1:13" ht="14.4" customHeight="1" x14ac:dyDescent="0.3">
      <c r="A103" s="695" t="s">
        <v>2151</v>
      </c>
      <c r="B103" s="696" t="s">
        <v>3274</v>
      </c>
      <c r="C103" s="696" t="s">
        <v>2684</v>
      </c>
      <c r="D103" s="696" t="s">
        <v>2685</v>
      </c>
      <c r="E103" s="696" t="s">
        <v>2686</v>
      </c>
      <c r="F103" s="711"/>
      <c r="G103" s="711"/>
      <c r="H103" s="701">
        <v>0</v>
      </c>
      <c r="I103" s="711">
        <v>2</v>
      </c>
      <c r="J103" s="711">
        <v>887.04</v>
      </c>
      <c r="K103" s="701">
        <v>1</v>
      </c>
      <c r="L103" s="711">
        <v>2</v>
      </c>
      <c r="M103" s="712">
        <v>887.04</v>
      </c>
    </row>
    <row r="104" spans="1:13" ht="14.4" customHeight="1" x14ac:dyDescent="0.3">
      <c r="A104" s="695" t="s">
        <v>2151</v>
      </c>
      <c r="B104" s="696" t="s">
        <v>3274</v>
      </c>
      <c r="C104" s="696" t="s">
        <v>2687</v>
      </c>
      <c r="D104" s="696" t="s">
        <v>2685</v>
      </c>
      <c r="E104" s="696" t="s">
        <v>2688</v>
      </c>
      <c r="F104" s="711"/>
      <c r="G104" s="711"/>
      <c r="H104" s="701">
        <v>0</v>
      </c>
      <c r="I104" s="711">
        <v>32</v>
      </c>
      <c r="J104" s="711">
        <v>28385.599999999999</v>
      </c>
      <c r="K104" s="701">
        <v>1</v>
      </c>
      <c r="L104" s="711">
        <v>32</v>
      </c>
      <c r="M104" s="712">
        <v>28385.599999999999</v>
      </c>
    </row>
    <row r="105" spans="1:13" ht="14.4" customHeight="1" x14ac:dyDescent="0.3">
      <c r="A105" s="695" t="s">
        <v>2151</v>
      </c>
      <c r="B105" s="696" t="s">
        <v>3274</v>
      </c>
      <c r="C105" s="696" t="s">
        <v>2689</v>
      </c>
      <c r="D105" s="696" t="s">
        <v>2690</v>
      </c>
      <c r="E105" s="696" t="s">
        <v>2691</v>
      </c>
      <c r="F105" s="711"/>
      <c r="G105" s="711"/>
      <c r="H105" s="701">
        <v>0</v>
      </c>
      <c r="I105" s="711">
        <v>4</v>
      </c>
      <c r="J105" s="711">
        <v>1999.2</v>
      </c>
      <c r="K105" s="701">
        <v>1</v>
      </c>
      <c r="L105" s="711">
        <v>4</v>
      </c>
      <c r="M105" s="712">
        <v>1999.2</v>
      </c>
    </row>
    <row r="106" spans="1:13" ht="14.4" customHeight="1" x14ac:dyDescent="0.3">
      <c r="A106" s="695" t="s">
        <v>2151</v>
      </c>
      <c r="B106" s="696" t="s">
        <v>3274</v>
      </c>
      <c r="C106" s="696" t="s">
        <v>3004</v>
      </c>
      <c r="D106" s="696" t="s">
        <v>3005</v>
      </c>
      <c r="E106" s="696" t="s">
        <v>3006</v>
      </c>
      <c r="F106" s="711">
        <v>2</v>
      </c>
      <c r="G106" s="711">
        <v>0</v>
      </c>
      <c r="H106" s="701"/>
      <c r="I106" s="711"/>
      <c r="J106" s="711"/>
      <c r="K106" s="701"/>
      <c r="L106" s="711">
        <v>2</v>
      </c>
      <c r="M106" s="712">
        <v>0</v>
      </c>
    </row>
    <row r="107" spans="1:13" ht="14.4" customHeight="1" x14ac:dyDescent="0.3">
      <c r="A107" s="695" t="s">
        <v>2151</v>
      </c>
      <c r="B107" s="696" t="s">
        <v>3275</v>
      </c>
      <c r="C107" s="696" t="s">
        <v>2770</v>
      </c>
      <c r="D107" s="696" t="s">
        <v>2771</v>
      </c>
      <c r="E107" s="696" t="s">
        <v>2772</v>
      </c>
      <c r="F107" s="711"/>
      <c r="G107" s="711"/>
      <c r="H107" s="701">
        <v>0</v>
      </c>
      <c r="I107" s="711">
        <v>3</v>
      </c>
      <c r="J107" s="711">
        <v>4033.9800000000005</v>
      </c>
      <c r="K107" s="701">
        <v>1</v>
      </c>
      <c r="L107" s="711">
        <v>3</v>
      </c>
      <c r="M107" s="712">
        <v>4033.9800000000005</v>
      </c>
    </row>
    <row r="108" spans="1:13" ht="14.4" customHeight="1" x14ac:dyDescent="0.3">
      <c r="A108" s="695" t="s">
        <v>2151</v>
      </c>
      <c r="B108" s="696" t="s">
        <v>3275</v>
      </c>
      <c r="C108" s="696" t="s">
        <v>2773</v>
      </c>
      <c r="D108" s="696" t="s">
        <v>2774</v>
      </c>
      <c r="E108" s="696" t="s">
        <v>2775</v>
      </c>
      <c r="F108" s="711"/>
      <c r="G108" s="711"/>
      <c r="H108" s="701">
        <v>0</v>
      </c>
      <c r="I108" s="711">
        <v>24</v>
      </c>
      <c r="J108" s="711">
        <v>43043.040000000001</v>
      </c>
      <c r="K108" s="701">
        <v>1</v>
      </c>
      <c r="L108" s="711">
        <v>24</v>
      </c>
      <c r="M108" s="712">
        <v>43043.040000000001</v>
      </c>
    </row>
    <row r="109" spans="1:13" ht="14.4" customHeight="1" x14ac:dyDescent="0.3">
      <c r="A109" s="695" t="s">
        <v>2151</v>
      </c>
      <c r="B109" s="696" t="s">
        <v>2116</v>
      </c>
      <c r="C109" s="696" t="s">
        <v>2481</v>
      </c>
      <c r="D109" s="696" t="s">
        <v>2482</v>
      </c>
      <c r="E109" s="696" t="s">
        <v>834</v>
      </c>
      <c r="F109" s="711"/>
      <c r="G109" s="711"/>
      <c r="H109" s="701">
        <v>0</v>
      </c>
      <c r="I109" s="711">
        <v>3</v>
      </c>
      <c r="J109" s="711">
        <v>648.48</v>
      </c>
      <c r="K109" s="701">
        <v>1</v>
      </c>
      <c r="L109" s="711">
        <v>3</v>
      </c>
      <c r="M109" s="712">
        <v>648.48</v>
      </c>
    </row>
    <row r="110" spans="1:13" ht="14.4" customHeight="1" x14ac:dyDescent="0.3">
      <c r="A110" s="695" t="s">
        <v>2151</v>
      </c>
      <c r="B110" s="696" t="s">
        <v>2116</v>
      </c>
      <c r="C110" s="696" t="s">
        <v>2824</v>
      </c>
      <c r="D110" s="696" t="s">
        <v>2825</v>
      </c>
      <c r="E110" s="696" t="s">
        <v>2826</v>
      </c>
      <c r="F110" s="711"/>
      <c r="G110" s="711"/>
      <c r="H110" s="701">
        <v>0</v>
      </c>
      <c r="I110" s="711">
        <v>8</v>
      </c>
      <c r="J110" s="711">
        <v>1297.04</v>
      </c>
      <c r="K110" s="701">
        <v>1</v>
      </c>
      <c r="L110" s="711">
        <v>8</v>
      </c>
      <c r="M110" s="712">
        <v>1297.04</v>
      </c>
    </row>
    <row r="111" spans="1:13" ht="14.4" customHeight="1" x14ac:dyDescent="0.3">
      <c r="A111" s="695" t="s">
        <v>2151</v>
      </c>
      <c r="B111" s="696" t="s">
        <v>2116</v>
      </c>
      <c r="C111" s="696" t="s">
        <v>2251</v>
      </c>
      <c r="D111" s="696" t="s">
        <v>2252</v>
      </c>
      <c r="E111" s="696" t="s">
        <v>2253</v>
      </c>
      <c r="F111" s="711">
        <v>1</v>
      </c>
      <c r="G111" s="711">
        <v>201.75</v>
      </c>
      <c r="H111" s="701">
        <v>1</v>
      </c>
      <c r="I111" s="711"/>
      <c r="J111" s="711"/>
      <c r="K111" s="701">
        <v>0</v>
      </c>
      <c r="L111" s="711">
        <v>1</v>
      </c>
      <c r="M111" s="712">
        <v>201.75</v>
      </c>
    </row>
    <row r="112" spans="1:13" ht="14.4" customHeight="1" x14ac:dyDescent="0.3">
      <c r="A112" s="695" t="s">
        <v>2151</v>
      </c>
      <c r="B112" s="696" t="s">
        <v>3267</v>
      </c>
      <c r="C112" s="696" t="s">
        <v>2848</v>
      </c>
      <c r="D112" s="696" t="s">
        <v>2849</v>
      </c>
      <c r="E112" s="696" t="s">
        <v>2406</v>
      </c>
      <c r="F112" s="711"/>
      <c r="G112" s="711"/>
      <c r="H112" s="701">
        <v>0</v>
      </c>
      <c r="I112" s="711">
        <v>2</v>
      </c>
      <c r="J112" s="711">
        <v>464.88</v>
      </c>
      <c r="K112" s="701">
        <v>1</v>
      </c>
      <c r="L112" s="711">
        <v>2</v>
      </c>
      <c r="M112" s="712">
        <v>464.88</v>
      </c>
    </row>
    <row r="113" spans="1:13" ht="14.4" customHeight="1" x14ac:dyDescent="0.3">
      <c r="A113" s="695" t="s">
        <v>2151</v>
      </c>
      <c r="B113" s="696" t="s">
        <v>3284</v>
      </c>
      <c r="C113" s="696" t="s">
        <v>3037</v>
      </c>
      <c r="D113" s="696" t="s">
        <v>3038</v>
      </c>
      <c r="E113" s="696" t="s">
        <v>3039</v>
      </c>
      <c r="F113" s="711"/>
      <c r="G113" s="711"/>
      <c r="H113" s="701">
        <v>0</v>
      </c>
      <c r="I113" s="711">
        <v>1</v>
      </c>
      <c r="J113" s="711">
        <v>418.37</v>
      </c>
      <c r="K113" s="701">
        <v>1</v>
      </c>
      <c r="L113" s="711">
        <v>1</v>
      </c>
      <c r="M113" s="712">
        <v>418.37</v>
      </c>
    </row>
    <row r="114" spans="1:13" ht="14.4" customHeight="1" x14ac:dyDescent="0.3">
      <c r="A114" s="695" t="s">
        <v>2151</v>
      </c>
      <c r="B114" s="696" t="s">
        <v>3281</v>
      </c>
      <c r="C114" s="696" t="s">
        <v>3084</v>
      </c>
      <c r="D114" s="696" t="s">
        <v>2962</v>
      </c>
      <c r="E114" s="696" t="s">
        <v>3085</v>
      </c>
      <c r="F114" s="711"/>
      <c r="G114" s="711"/>
      <c r="H114" s="701">
        <v>0</v>
      </c>
      <c r="I114" s="711">
        <v>1</v>
      </c>
      <c r="J114" s="711">
        <v>464.86</v>
      </c>
      <c r="K114" s="701">
        <v>1</v>
      </c>
      <c r="L114" s="711">
        <v>1</v>
      </c>
      <c r="M114" s="712">
        <v>464.86</v>
      </c>
    </row>
    <row r="115" spans="1:13" ht="14.4" customHeight="1" x14ac:dyDescent="0.3">
      <c r="A115" s="695" t="s">
        <v>2151</v>
      </c>
      <c r="B115" s="696" t="s">
        <v>3281</v>
      </c>
      <c r="C115" s="696" t="s">
        <v>3086</v>
      </c>
      <c r="D115" s="696" t="s">
        <v>3087</v>
      </c>
      <c r="E115" s="696" t="s">
        <v>3088</v>
      </c>
      <c r="F115" s="711"/>
      <c r="G115" s="711"/>
      <c r="H115" s="701">
        <v>0</v>
      </c>
      <c r="I115" s="711">
        <v>1</v>
      </c>
      <c r="J115" s="711">
        <v>619.66</v>
      </c>
      <c r="K115" s="701">
        <v>1</v>
      </c>
      <c r="L115" s="711">
        <v>1</v>
      </c>
      <c r="M115" s="712">
        <v>619.66</v>
      </c>
    </row>
    <row r="116" spans="1:13" ht="14.4" customHeight="1" x14ac:dyDescent="0.3">
      <c r="A116" s="695" t="s">
        <v>2151</v>
      </c>
      <c r="B116" s="696" t="s">
        <v>3283</v>
      </c>
      <c r="C116" s="696" t="s">
        <v>3025</v>
      </c>
      <c r="D116" s="696" t="s">
        <v>3026</v>
      </c>
      <c r="E116" s="696" t="s">
        <v>1458</v>
      </c>
      <c r="F116" s="711"/>
      <c r="G116" s="711"/>
      <c r="H116" s="701">
        <v>0</v>
      </c>
      <c r="I116" s="711">
        <v>3</v>
      </c>
      <c r="J116" s="711">
        <v>413.22</v>
      </c>
      <c r="K116" s="701">
        <v>1</v>
      </c>
      <c r="L116" s="711">
        <v>3</v>
      </c>
      <c r="M116" s="712">
        <v>413.22</v>
      </c>
    </row>
    <row r="117" spans="1:13" ht="14.4" customHeight="1" x14ac:dyDescent="0.3">
      <c r="A117" s="695" t="s">
        <v>2169</v>
      </c>
      <c r="B117" s="696" t="s">
        <v>3266</v>
      </c>
      <c r="C117" s="696" t="s">
        <v>2586</v>
      </c>
      <c r="D117" s="696" t="s">
        <v>2587</v>
      </c>
      <c r="E117" s="696" t="s">
        <v>2588</v>
      </c>
      <c r="F117" s="711">
        <v>2</v>
      </c>
      <c r="G117" s="711">
        <v>444.5</v>
      </c>
      <c r="H117" s="701">
        <v>1</v>
      </c>
      <c r="I117" s="711"/>
      <c r="J117" s="711"/>
      <c r="K117" s="701">
        <v>0</v>
      </c>
      <c r="L117" s="711">
        <v>2</v>
      </c>
      <c r="M117" s="712">
        <v>444.5</v>
      </c>
    </row>
    <row r="118" spans="1:13" ht="14.4" customHeight="1" x14ac:dyDescent="0.3">
      <c r="A118" s="695" t="s">
        <v>2169</v>
      </c>
      <c r="B118" s="696" t="s">
        <v>3266</v>
      </c>
      <c r="C118" s="696" t="s">
        <v>2589</v>
      </c>
      <c r="D118" s="696" t="s">
        <v>2184</v>
      </c>
      <c r="E118" s="696" t="s">
        <v>2588</v>
      </c>
      <c r="F118" s="711"/>
      <c r="G118" s="711"/>
      <c r="H118" s="701">
        <v>0</v>
      </c>
      <c r="I118" s="711">
        <v>4</v>
      </c>
      <c r="J118" s="711">
        <v>889</v>
      </c>
      <c r="K118" s="701">
        <v>1</v>
      </c>
      <c r="L118" s="711">
        <v>4</v>
      </c>
      <c r="M118" s="712">
        <v>889</v>
      </c>
    </row>
    <row r="119" spans="1:13" ht="14.4" customHeight="1" x14ac:dyDescent="0.3">
      <c r="A119" s="695" t="s">
        <v>2153</v>
      </c>
      <c r="B119" s="696" t="s">
        <v>2071</v>
      </c>
      <c r="C119" s="696" t="s">
        <v>2338</v>
      </c>
      <c r="D119" s="696" t="s">
        <v>2339</v>
      </c>
      <c r="E119" s="696" t="s">
        <v>2340</v>
      </c>
      <c r="F119" s="711"/>
      <c r="G119" s="711"/>
      <c r="H119" s="701">
        <v>0</v>
      </c>
      <c r="I119" s="711">
        <v>2</v>
      </c>
      <c r="J119" s="711">
        <v>313.72000000000003</v>
      </c>
      <c r="K119" s="701">
        <v>1</v>
      </c>
      <c r="L119" s="711">
        <v>2</v>
      </c>
      <c r="M119" s="712">
        <v>313.72000000000003</v>
      </c>
    </row>
    <row r="120" spans="1:13" ht="14.4" customHeight="1" x14ac:dyDescent="0.3">
      <c r="A120" s="695" t="s">
        <v>2153</v>
      </c>
      <c r="B120" s="696" t="s">
        <v>2080</v>
      </c>
      <c r="C120" s="696" t="s">
        <v>2349</v>
      </c>
      <c r="D120" s="696" t="s">
        <v>2350</v>
      </c>
      <c r="E120" s="696" t="s">
        <v>2351</v>
      </c>
      <c r="F120" s="711"/>
      <c r="G120" s="711"/>
      <c r="H120" s="701">
        <v>0</v>
      </c>
      <c r="I120" s="711">
        <v>1</v>
      </c>
      <c r="J120" s="711">
        <v>116.8</v>
      </c>
      <c r="K120" s="701">
        <v>1</v>
      </c>
      <c r="L120" s="711">
        <v>1</v>
      </c>
      <c r="M120" s="712">
        <v>116.8</v>
      </c>
    </row>
    <row r="121" spans="1:13" ht="14.4" customHeight="1" x14ac:dyDescent="0.3">
      <c r="A121" s="695" t="s">
        <v>2154</v>
      </c>
      <c r="B121" s="696" t="s">
        <v>3271</v>
      </c>
      <c r="C121" s="696" t="s">
        <v>2397</v>
      </c>
      <c r="D121" s="696" t="s">
        <v>2235</v>
      </c>
      <c r="E121" s="696" t="s">
        <v>2398</v>
      </c>
      <c r="F121" s="711"/>
      <c r="G121" s="711"/>
      <c r="H121" s="701">
        <v>0</v>
      </c>
      <c r="I121" s="711">
        <v>1</v>
      </c>
      <c r="J121" s="711">
        <v>96.63</v>
      </c>
      <c r="K121" s="701">
        <v>1</v>
      </c>
      <c r="L121" s="711">
        <v>1</v>
      </c>
      <c r="M121" s="712">
        <v>96.63</v>
      </c>
    </row>
    <row r="122" spans="1:13" ht="14.4" customHeight="1" x14ac:dyDescent="0.3">
      <c r="A122" s="695" t="s">
        <v>2154</v>
      </c>
      <c r="B122" s="696" t="s">
        <v>3271</v>
      </c>
      <c r="C122" s="696" t="s">
        <v>3117</v>
      </c>
      <c r="D122" s="696" t="s">
        <v>2235</v>
      </c>
      <c r="E122" s="696" t="s">
        <v>3118</v>
      </c>
      <c r="F122" s="711"/>
      <c r="G122" s="711"/>
      <c r="H122" s="701">
        <v>0</v>
      </c>
      <c r="I122" s="711">
        <v>3</v>
      </c>
      <c r="J122" s="711">
        <v>579.78</v>
      </c>
      <c r="K122" s="701">
        <v>1</v>
      </c>
      <c r="L122" s="711">
        <v>3</v>
      </c>
      <c r="M122" s="712">
        <v>579.78</v>
      </c>
    </row>
    <row r="123" spans="1:13" ht="14.4" customHeight="1" x14ac:dyDescent="0.3">
      <c r="A123" s="695" t="s">
        <v>2154</v>
      </c>
      <c r="B123" s="696" t="s">
        <v>3272</v>
      </c>
      <c r="C123" s="696" t="s">
        <v>2625</v>
      </c>
      <c r="D123" s="696" t="s">
        <v>2626</v>
      </c>
      <c r="E123" s="696" t="s">
        <v>2627</v>
      </c>
      <c r="F123" s="711"/>
      <c r="G123" s="711"/>
      <c r="H123" s="701">
        <v>0</v>
      </c>
      <c r="I123" s="711">
        <v>8</v>
      </c>
      <c r="J123" s="711">
        <v>7768.0599999999995</v>
      </c>
      <c r="K123" s="701">
        <v>1</v>
      </c>
      <c r="L123" s="711">
        <v>8</v>
      </c>
      <c r="M123" s="712">
        <v>7768.0599999999995</v>
      </c>
    </row>
    <row r="124" spans="1:13" ht="14.4" customHeight="1" x14ac:dyDescent="0.3">
      <c r="A124" s="695" t="s">
        <v>2154</v>
      </c>
      <c r="B124" s="696" t="s">
        <v>3272</v>
      </c>
      <c r="C124" s="696" t="s">
        <v>2815</v>
      </c>
      <c r="D124" s="696" t="s">
        <v>2816</v>
      </c>
      <c r="E124" s="696" t="s">
        <v>2817</v>
      </c>
      <c r="F124" s="711"/>
      <c r="G124" s="711"/>
      <c r="H124" s="701">
        <v>0</v>
      </c>
      <c r="I124" s="711">
        <v>24</v>
      </c>
      <c r="J124" s="711">
        <v>34380.239999999998</v>
      </c>
      <c r="K124" s="701">
        <v>1</v>
      </c>
      <c r="L124" s="711">
        <v>24</v>
      </c>
      <c r="M124" s="712">
        <v>34380.239999999998</v>
      </c>
    </row>
    <row r="125" spans="1:13" ht="14.4" customHeight="1" x14ac:dyDescent="0.3">
      <c r="A125" s="695" t="s">
        <v>2154</v>
      </c>
      <c r="B125" s="696" t="s">
        <v>2131</v>
      </c>
      <c r="C125" s="696" t="s">
        <v>2795</v>
      </c>
      <c r="D125" s="696" t="s">
        <v>2796</v>
      </c>
      <c r="E125" s="696" t="s">
        <v>2287</v>
      </c>
      <c r="F125" s="711"/>
      <c r="G125" s="711"/>
      <c r="H125" s="701">
        <v>0</v>
      </c>
      <c r="I125" s="711">
        <v>2</v>
      </c>
      <c r="J125" s="711">
        <v>294.72000000000003</v>
      </c>
      <c r="K125" s="701">
        <v>1</v>
      </c>
      <c r="L125" s="711">
        <v>2</v>
      </c>
      <c r="M125" s="712">
        <v>294.72000000000003</v>
      </c>
    </row>
    <row r="126" spans="1:13" ht="14.4" customHeight="1" x14ac:dyDescent="0.3">
      <c r="A126" s="695" t="s">
        <v>2154</v>
      </c>
      <c r="B126" s="696" t="s">
        <v>2131</v>
      </c>
      <c r="C126" s="696" t="s">
        <v>3123</v>
      </c>
      <c r="D126" s="696" t="s">
        <v>3075</v>
      </c>
      <c r="E126" s="696" t="s">
        <v>2450</v>
      </c>
      <c r="F126" s="711">
        <v>3</v>
      </c>
      <c r="G126" s="711">
        <v>0</v>
      </c>
      <c r="H126" s="701"/>
      <c r="I126" s="711"/>
      <c r="J126" s="711"/>
      <c r="K126" s="701"/>
      <c r="L126" s="711">
        <v>3</v>
      </c>
      <c r="M126" s="712">
        <v>0</v>
      </c>
    </row>
    <row r="127" spans="1:13" ht="14.4" customHeight="1" x14ac:dyDescent="0.3">
      <c r="A127" s="695" t="s">
        <v>2154</v>
      </c>
      <c r="B127" s="696" t="s">
        <v>2131</v>
      </c>
      <c r="C127" s="696" t="s">
        <v>2285</v>
      </c>
      <c r="D127" s="696" t="s">
        <v>2286</v>
      </c>
      <c r="E127" s="696" t="s">
        <v>2287</v>
      </c>
      <c r="F127" s="711">
        <v>4</v>
      </c>
      <c r="G127" s="711">
        <v>589.44000000000005</v>
      </c>
      <c r="H127" s="701">
        <v>1</v>
      </c>
      <c r="I127" s="711"/>
      <c r="J127" s="711"/>
      <c r="K127" s="701">
        <v>0</v>
      </c>
      <c r="L127" s="711">
        <v>4</v>
      </c>
      <c r="M127" s="712">
        <v>589.44000000000005</v>
      </c>
    </row>
    <row r="128" spans="1:13" ht="14.4" customHeight="1" x14ac:dyDescent="0.3">
      <c r="A128" s="695" t="s">
        <v>2154</v>
      </c>
      <c r="B128" s="696" t="s">
        <v>2131</v>
      </c>
      <c r="C128" s="696" t="s">
        <v>2797</v>
      </c>
      <c r="D128" s="696" t="s">
        <v>2203</v>
      </c>
      <c r="E128" s="696" t="s">
        <v>2450</v>
      </c>
      <c r="F128" s="711"/>
      <c r="G128" s="711"/>
      <c r="H128" s="701">
        <v>0</v>
      </c>
      <c r="I128" s="711">
        <v>10</v>
      </c>
      <c r="J128" s="711">
        <v>982.3</v>
      </c>
      <c r="K128" s="701">
        <v>1</v>
      </c>
      <c r="L128" s="711">
        <v>10</v>
      </c>
      <c r="M128" s="712">
        <v>982.3</v>
      </c>
    </row>
    <row r="129" spans="1:13" ht="14.4" customHeight="1" x14ac:dyDescent="0.3">
      <c r="A129" s="695" t="s">
        <v>2154</v>
      </c>
      <c r="B129" s="696" t="s">
        <v>2131</v>
      </c>
      <c r="C129" s="696" t="s">
        <v>2202</v>
      </c>
      <c r="D129" s="696" t="s">
        <v>2203</v>
      </c>
      <c r="E129" s="696" t="s">
        <v>2204</v>
      </c>
      <c r="F129" s="711"/>
      <c r="G129" s="711"/>
      <c r="H129" s="701">
        <v>0</v>
      </c>
      <c r="I129" s="711">
        <v>7</v>
      </c>
      <c r="J129" s="711">
        <v>1146.1099999999999</v>
      </c>
      <c r="K129" s="701">
        <v>1</v>
      </c>
      <c r="L129" s="711">
        <v>7</v>
      </c>
      <c r="M129" s="712">
        <v>1146.1099999999999</v>
      </c>
    </row>
    <row r="130" spans="1:13" ht="14.4" customHeight="1" x14ac:dyDescent="0.3">
      <c r="A130" s="695" t="s">
        <v>2154</v>
      </c>
      <c r="B130" s="696" t="s">
        <v>2131</v>
      </c>
      <c r="C130" s="696" t="s">
        <v>2957</v>
      </c>
      <c r="D130" s="696" t="s">
        <v>2958</v>
      </c>
      <c r="E130" s="696" t="s">
        <v>2559</v>
      </c>
      <c r="F130" s="711">
        <v>2</v>
      </c>
      <c r="G130" s="711">
        <v>0</v>
      </c>
      <c r="H130" s="701"/>
      <c r="I130" s="711"/>
      <c r="J130" s="711"/>
      <c r="K130" s="701"/>
      <c r="L130" s="711">
        <v>2</v>
      </c>
      <c r="M130" s="712">
        <v>0</v>
      </c>
    </row>
    <row r="131" spans="1:13" ht="14.4" customHeight="1" x14ac:dyDescent="0.3">
      <c r="A131" s="695" t="s">
        <v>2154</v>
      </c>
      <c r="B131" s="696" t="s">
        <v>2131</v>
      </c>
      <c r="C131" s="696" t="s">
        <v>2798</v>
      </c>
      <c r="D131" s="696" t="s">
        <v>2793</v>
      </c>
      <c r="E131" s="696" t="s">
        <v>2799</v>
      </c>
      <c r="F131" s="711"/>
      <c r="G131" s="711"/>
      <c r="H131" s="701">
        <v>0</v>
      </c>
      <c r="I131" s="711">
        <v>4</v>
      </c>
      <c r="J131" s="711">
        <v>1257.3599999999999</v>
      </c>
      <c r="K131" s="701">
        <v>1</v>
      </c>
      <c r="L131" s="711">
        <v>4</v>
      </c>
      <c r="M131" s="712">
        <v>1257.3599999999999</v>
      </c>
    </row>
    <row r="132" spans="1:13" ht="14.4" customHeight="1" x14ac:dyDescent="0.3">
      <c r="A132" s="695" t="s">
        <v>2154</v>
      </c>
      <c r="B132" s="696" t="s">
        <v>2131</v>
      </c>
      <c r="C132" s="696" t="s">
        <v>3074</v>
      </c>
      <c r="D132" s="696" t="s">
        <v>3075</v>
      </c>
      <c r="E132" s="696" t="s">
        <v>3076</v>
      </c>
      <c r="F132" s="711">
        <v>1</v>
      </c>
      <c r="G132" s="711">
        <v>65.489999999999995</v>
      </c>
      <c r="H132" s="701">
        <v>1</v>
      </c>
      <c r="I132" s="711"/>
      <c r="J132" s="711"/>
      <c r="K132" s="701">
        <v>0</v>
      </c>
      <c r="L132" s="711">
        <v>1</v>
      </c>
      <c r="M132" s="712">
        <v>65.489999999999995</v>
      </c>
    </row>
    <row r="133" spans="1:13" ht="14.4" customHeight="1" x14ac:dyDescent="0.3">
      <c r="A133" s="695" t="s">
        <v>2154</v>
      </c>
      <c r="B133" s="696" t="s">
        <v>2131</v>
      </c>
      <c r="C133" s="696" t="s">
        <v>3121</v>
      </c>
      <c r="D133" s="696" t="s">
        <v>3075</v>
      </c>
      <c r="E133" s="696" t="s">
        <v>3122</v>
      </c>
      <c r="F133" s="711">
        <v>1</v>
      </c>
      <c r="G133" s="711">
        <v>0</v>
      </c>
      <c r="H133" s="701"/>
      <c r="I133" s="711"/>
      <c r="J133" s="711"/>
      <c r="K133" s="701"/>
      <c r="L133" s="711">
        <v>1</v>
      </c>
      <c r="M133" s="712">
        <v>0</v>
      </c>
    </row>
    <row r="134" spans="1:13" ht="14.4" customHeight="1" x14ac:dyDescent="0.3">
      <c r="A134" s="695" t="s">
        <v>2154</v>
      </c>
      <c r="B134" s="696" t="s">
        <v>3274</v>
      </c>
      <c r="C134" s="696" t="s">
        <v>2879</v>
      </c>
      <c r="D134" s="696" t="s">
        <v>2880</v>
      </c>
      <c r="E134" s="696" t="s">
        <v>2881</v>
      </c>
      <c r="F134" s="711"/>
      <c r="G134" s="711"/>
      <c r="H134" s="701">
        <v>0</v>
      </c>
      <c r="I134" s="711">
        <v>4</v>
      </c>
      <c r="J134" s="711">
        <v>2246.16</v>
      </c>
      <c r="K134" s="701">
        <v>1</v>
      </c>
      <c r="L134" s="711">
        <v>4</v>
      </c>
      <c r="M134" s="712">
        <v>2246.16</v>
      </c>
    </row>
    <row r="135" spans="1:13" ht="14.4" customHeight="1" x14ac:dyDescent="0.3">
      <c r="A135" s="695" t="s">
        <v>2154</v>
      </c>
      <c r="B135" s="696" t="s">
        <v>3274</v>
      </c>
      <c r="C135" s="696" t="s">
        <v>2687</v>
      </c>
      <c r="D135" s="696" t="s">
        <v>2685</v>
      </c>
      <c r="E135" s="696" t="s">
        <v>2688</v>
      </c>
      <c r="F135" s="711"/>
      <c r="G135" s="711"/>
      <c r="H135" s="701">
        <v>0</v>
      </c>
      <c r="I135" s="711">
        <v>4</v>
      </c>
      <c r="J135" s="711">
        <v>3548.2</v>
      </c>
      <c r="K135" s="701">
        <v>1</v>
      </c>
      <c r="L135" s="711">
        <v>4</v>
      </c>
      <c r="M135" s="712">
        <v>3548.2</v>
      </c>
    </row>
    <row r="136" spans="1:13" ht="14.4" customHeight="1" x14ac:dyDescent="0.3">
      <c r="A136" s="695" t="s">
        <v>2154</v>
      </c>
      <c r="B136" s="696" t="s">
        <v>3275</v>
      </c>
      <c r="C136" s="696" t="s">
        <v>2770</v>
      </c>
      <c r="D136" s="696" t="s">
        <v>2771</v>
      </c>
      <c r="E136" s="696" t="s">
        <v>2772</v>
      </c>
      <c r="F136" s="711"/>
      <c r="G136" s="711"/>
      <c r="H136" s="701">
        <v>0</v>
      </c>
      <c r="I136" s="711">
        <v>2</v>
      </c>
      <c r="J136" s="711">
        <v>2689.32</v>
      </c>
      <c r="K136" s="701">
        <v>1</v>
      </c>
      <c r="L136" s="711">
        <v>2</v>
      </c>
      <c r="M136" s="712">
        <v>2689.32</v>
      </c>
    </row>
    <row r="137" spans="1:13" ht="14.4" customHeight="1" x14ac:dyDescent="0.3">
      <c r="A137" s="695" t="s">
        <v>2154</v>
      </c>
      <c r="B137" s="696" t="s">
        <v>2116</v>
      </c>
      <c r="C137" s="696" t="s">
        <v>3097</v>
      </c>
      <c r="D137" s="696" t="s">
        <v>2482</v>
      </c>
      <c r="E137" s="696" t="s">
        <v>3098</v>
      </c>
      <c r="F137" s="711"/>
      <c r="G137" s="711"/>
      <c r="H137" s="701">
        <v>0</v>
      </c>
      <c r="I137" s="711">
        <v>1</v>
      </c>
      <c r="J137" s="711">
        <v>432.32</v>
      </c>
      <c r="K137" s="701">
        <v>1</v>
      </c>
      <c r="L137" s="711">
        <v>1</v>
      </c>
      <c r="M137" s="712">
        <v>432.32</v>
      </c>
    </row>
    <row r="138" spans="1:13" ht="14.4" customHeight="1" x14ac:dyDescent="0.3">
      <c r="A138" s="695" t="s">
        <v>2154</v>
      </c>
      <c r="B138" s="696" t="s">
        <v>2116</v>
      </c>
      <c r="C138" s="696" t="s">
        <v>2628</v>
      </c>
      <c r="D138" s="696" t="s">
        <v>2482</v>
      </c>
      <c r="E138" s="696" t="s">
        <v>2629</v>
      </c>
      <c r="F138" s="711"/>
      <c r="G138" s="711"/>
      <c r="H138" s="701">
        <v>0</v>
      </c>
      <c r="I138" s="711">
        <v>6</v>
      </c>
      <c r="J138" s="711">
        <v>1296.96</v>
      </c>
      <c r="K138" s="701">
        <v>1</v>
      </c>
      <c r="L138" s="711">
        <v>6</v>
      </c>
      <c r="M138" s="712">
        <v>1296.96</v>
      </c>
    </row>
    <row r="139" spans="1:13" ht="14.4" customHeight="1" x14ac:dyDescent="0.3">
      <c r="A139" s="695" t="s">
        <v>2154</v>
      </c>
      <c r="B139" s="696" t="s">
        <v>3283</v>
      </c>
      <c r="C139" s="696" t="s">
        <v>3025</v>
      </c>
      <c r="D139" s="696" t="s">
        <v>3026</v>
      </c>
      <c r="E139" s="696" t="s">
        <v>1458</v>
      </c>
      <c r="F139" s="711"/>
      <c r="G139" s="711"/>
      <c r="H139" s="701">
        <v>0</v>
      </c>
      <c r="I139" s="711">
        <v>2</v>
      </c>
      <c r="J139" s="711">
        <v>275.48</v>
      </c>
      <c r="K139" s="701">
        <v>1</v>
      </c>
      <c r="L139" s="711">
        <v>2</v>
      </c>
      <c r="M139" s="712">
        <v>275.48</v>
      </c>
    </row>
    <row r="140" spans="1:13" ht="14.4" customHeight="1" x14ac:dyDescent="0.3">
      <c r="A140" s="695" t="s">
        <v>2154</v>
      </c>
      <c r="B140" s="696" t="s">
        <v>2121</v>
      </c>
      <c r="C140" s="696" t="s">
        <v>3108</v>
      </c>
      <c r="D140" s="696" t="s">
        <v>1421</v>
      </c>
      <c r="E140" s="696" t="s">
        <v>3109</v>
      </c>
      <c r="F140" s="711"/>
      <c r="G140" s="711"/>
      <c r="H140" s="701">
        <v>0</v>
      </c>
      <c r="I140" s="711">
        <v>1</v>
      </c>
      <c r="J140" s="711">
        <v>913.5</v>
      </c>
      <c r="K140" s="701">
        <v>1</v>
      </c>
      <c r="L140" s="711">
        <v>1</v>
      </c>
      <c r="M140" s="712">
        <v>913.5</v>
      </c>
    </row>
    <row r="141" spans="1:13" ht="14.4" customHeight="1" x14ac:dyDescent="0.3">
      <c r="A141" s="695" t="s">
        <v>2156</v>
      </c>
      <c r="B141" s="696" t="s">
        <v>2092</v>
      </c>
      <c r="C141" s="696" t="s">
        <v>3129</v>
      </c>
      <c r="D141" s="696" t="s">
        <v>3130</v>
      </c>
      <c r="E141" s="696" t="s">
        <v>3131</v>
      </c>
      <c r="F141" s="711"/>
      <c r="G141" s="711"/>
      <c r="H141" s="701">
        <v>0</v>
      </c>
      <c r="I141" s="711">
        <v>1</v>
      </c>
      <c r="J141" s="711">
        <v>543.04</v>
      </c>
      <c r="K141" s="701">
        <v>1</v>
      </c>
      <c r="L141" s="711">
        <v>1</v>
      </c>
      <c r="M141" s="712">
        <v>543.04</v>
      </c>
    </row>
    <row r="142" spans="1:13" ht="14.4" customHeight="1" x14ac:dyDescent="0.3">
      <c r="A142" s="695" t="s">
        <v>2156</v>
      </c>
      <c r="B142" s="696" t="s">
        <v>2107</v>
      </c>
      <c r="C142" s="696" t="s">
        <v>2361</v>
      </c>
      <c r="D142" s="696" t="s">
        <v>2362</v>
      </c>
      <c r="E142" s="696" t="s">
        <v>2363</v>
      </c>
      <c r="F142" s="711"/>
      <c r="G142" s="711"/>
      <c r="H142" s="701">
        <v>0</v>
      </c>
      <c r="I142" s="711">
        <v>12</v>
      </c>
      <c r="J142" s="711">
        <v>212.28000000000003</v>
      </c>
      <c r="K142" s="701">
        <v>1</v>
      </c>
      <c r="L142" s="711">
        <v>12</v>
      </c>
      <c r="M142" s="712">
        <v>212.28000000000003</v>
      </c>
    </row>
    <row r="143" spans="1:13" ht="14.4" customHeight="1" x14ac:dyDescent="0.3">
      <c r="A143" s="695" t="s">
        <v>2157</v>
      </c>
      <c r="B143" s="696" t="s">
        <v>3269</v>
      </c>
      <c r="C143" s="696" t="s">
        <v>2390</v>
      </c>
      <c r="D143" s="696" t="s">
        <v>2391</v>
      </c>
      <c r="E143" s="696" t="s">
        <v>2392</v>
      </c>
      <c r="F143" s="711"/>
      <c r="G143" s="711"/>
      <c r="H143" s="701">
        <v>0</v>
      </c>
      <c r="I143" s="711">
        <v>2</v>
      </c>
      <c r="J143" s="711">
        <v>195.94</v>
      </c>
      <c r="K143" s="701">
        <v>1</v>
      </c>
      <c r="L143" s="711">
        <v>2</v>
      </c>
      <c r="M143" s="712">
        <v>195.94</v>
      </c>
    </row>
    <row r="144" spans="1:13" ht="14.4" customHeight="1" x14ac:dyDescent="0.3">
      <c r="A144" s="695" t="s">
        <v>2157</v>
      </c>
      <c r="B144" s="696" t="s">
        <v>3278</v>
      </c>
      <c r="C144" s="696" t="s">
        <v>2382</v>
      </c>
      <c r="D144" s="696" t="s">
        <v>2383</v>
      </c>
      <c r="E144" s="696" t="s">
        <v>2384</v>
      </c>
      <c r="F144" s="711">
        <v>1</v>
      </c>
      <c r="G144" s="711">
        <v>0</v>
      </c>
      <c r="H144" s="701"/>
      <c r="I144" s="711"/>
      <c r="J144" s="711"/>
      <c r="K144" s="701"/>
      <c r="L144" s="711">
        <v>1</v>
      </c>
      <c r="M144" s="712">
        <v>0</v>
      </c>
    </row>
    <row r="145" spans="1:13" ht="14.4" customHeight="1" x14ac:dyDescent="0.3">
      <c r="A145" s="695" t="s">
        <v>2157</v>
      </c>
      <c r="B145" s="696" t="s">
        <v>2071</v>
      </c>
      <c r="C145" s="696" t="s">
        <v>2338</v>
      </c>
      <c r="D145" s="696" t="s">
        <v>2339</v>
      </c>
      <c r="E145" s="696" t="s">
        <v>2340</v>
      </c>
      <c r="F145" s="711"/>
      <c r="G145" s="711"/>
      <c r="H145" s="701">
        <v>0</v>
      </c>
      <c r="I145" s="711">
        <v>1</v>
      </c>
      <c r="J145" s="711">
        <v>333.31</v>
      </c>
      <c r="K145" s="701">
        <v>1</v>
      </c>
      <c r="L145" s="711">
        <v>1</v>
      </c>
      <c r="M145" s="712">
        <v>333.31</v>
      </c>
    </row>
    <row r="146" spans="1:13" ht="14.4" customHeight="1" x14ac:dyDescent="0.3">
      <c r="A146" s="695" t="s">
        <v>2157</v>
      </c>
      <c r="B146" s="696" t="s">
        <v>3271</v>
      </c>
      <c r="C146" s="696" t="s">
        <v>2397</v>
      </c>
      <c r="D146" s="696" t="s">
        <v>2235</v>
      </c>
      <c r="E146" s="696" t="s">
        <v>2398</v>
      </c>
      <c r="F146" s="711"/>
      <c r="G146" s="711"/>
      <c r="H146" s="701">
        <v>0</v>
      </c>
      <c r="I146" s="711">
        <v>3</v>
      </c>
      <c r="J146" s="711">
        <v>289.89</v>
      </c>
      <c r="K146" s="701">
        <v>1</v>
      </c>
      <c r="L146" s="711">
        <v>3</v>
      </c>
      <c r="M146" s="712">
        <v>289.89</v>
      </c>
    </row>
    <row r="147" spans="1:13" ht="14.4" customHeight="1" x14ac:dyDescent="0.3">
      <c r="A147" s="695" t="s">
        <v>2158</v>
      </c>
      <c r="B147" s="696" t="s">
        <v>3278</v>
      </c>
      <c r="C147" s="696" t="s">
        <v>2415</v>
      </c>
      <c r="D147" s="696" t="s">
        <v>2416</v>
      </c>
      <c r="E147" s="696" t="s">
        <v>2417</v>
      </c>
      <c r="F147" s="711">
        <v>1</v>
      </c>
      <c r="G147" s="711">
        <v>0</v>
      </c>
      <c r="H147" s="701"/>
      <c r="I147" s="711"/>
      <c r="J147" s="711"/>
      <c r="K147" s="701"/>
      <c r="L147" s="711">
        <v>1</v>
      </c>
      <c r="M147" s="712">
        <v>0</v>
      </c>
    </row>
    <row r="148" spans="1:13" ht="14.4" customHeight="1" x14ac:dyDescent="0.3">
      <c r="A148" s="695" t="s">
        <v>2158</v>
      </c>
      <c r="B148" s="696" t="s">
        <v>3285</v>
      </c>
      <c r="C148" s="696" t="s">
        <v>2394</v>
      </c>
      <c r="D148" s="696" t="s">
        <v>2395</v>
      </c>
      <c r="E148" s="696" t="s">
        <v>2396</v>
      </c>
      <c r="F148" s="711">
        <v>3</v>
      </c>
      <c r="G148" s="711">
        <v>149.76</v>
      </c>
      <c r="H148" s="701">
        <v>1</v>
      </c>
      <c r="I148" s="711"/>
      <c r="J148" s="711"/>
      <c r="K148" s="701">
        <v>0</v>
      </c>
      <c r="L148" s="711">
        <v>3</v>
      </c>
      <c r="M148" s="712">
        <v>149.76</v>
      </c>
    </row>
    <row r="149" spans="1:13" ht="14.4" customHeight="1" x14ac:dyDescent="0.3">
      <c r="A149" s="695" t="s">
        <v>2158</v>
      </c>
      <c r="B149" s="696" t="s">
        <v>3286</v>
      </c>
      <c r="C149" s="696" t="s">
        <v>2423</v>
      </c>
      <c r="D149" s="696" t="s">
        <v>2424</v>
      </c>
      <c r="E149" s="696" t="s">
        <v>2425</v>
      </c>
      <c r="F149" s="711">
        <v>3</v>
      </c>
      <c r="G149" s="711">
        <v>202.26</v>
      </c>
      <c r="H149" s="701">
        <v>1</v>
      </c>
      <c r="I149" s="711"/>
      <c r="J149" s="711"/>
      <c r="K149" s="701">
        <v>0</v>
      </c>
      <c r="L149" s="711">
        <v>3</v>
      </c>
      <c r="M149" s="712">
        <v>202.26</v>
      </c>
    </row>
    <row r="150" spans="1:13" ht="14.4" customHeight="1" x14ac:dyDescent="0.3">
      <c r="A150" s="695" t="s">
        <v>2158</v>
      </c>
      <c r="B150" s="696" t="s">
        <v>3287</v>
      </c>
      <c r="C150" s="696" t="s">
        <v>2411</v>
      </c>
      <c r="D150" s="696" t="s">
        <v>2412</v>
      </c>
      <c r="E150" s="696" t="s">
        <v>2406</v>
      </c>
      <c r="F150" s="711"/>
      <c r="G150" s="711"/>
      <c r="H150" s="701">
        <v>0</v>
      </c>
      <c r="I150" s="711">
        <v>2</v>
      </c>
      <c r="J150" s="711">
        <v>130.6</v>
      </c>
      <c r="K150" s="701">
        <v>1</v>
      </c>
      <c r="L150" s="711">
        <v>2</v>
      </c>
      <c r="M150" s="712">
        <v>130.6</v>
      </c>
    </row>
    <row r="151" spans="1:13" ht="14.4" customHeight="1" x14ac:dyDescent="0.3">
      <c r="A151" s="695" t="s">
        <v>2159</v>
      </c>
      <c r="B151" s="696" t="s">
        <v>2045</v>
      </c>
      <c r="C151" s="696" t="s">
        <v>1478</v>
      </c>
      <c r="D151" s="696" t="s">
        <v>1479</v>
      </c>
      <c r="E151" s="696" t="s">
        <v>1480</v>
      </c>
      <c r="F151" s="711"/>
      <c r="G151" s="711"/>
      <c r="H151" s="701"/>
      <c r="I151" s="711">
        <v>1</v>
      </c>
      <c r="J151" s="711">
        <v>0</v>
      </c>
      <c r="K151" s="701"/>
      <c r="L151" s="711">
        <v>1</v>
      </c>
      <c r="M151" s="712">
        <v>0</v>
      </c>
    </row>
    <row r="152" spans="1:13" ht="14.4" customHeight="1" x14ac:dyDescent="0.3">
      <c r="A152" s="695" t="s">
        <v>2159</v>
      </c>
      <c r="B152" s="696" t="s">
        <v>2045</v>
      </c>
      <c r="C152" s="696" t="s">
        <v>2534</v>
      </c>
      <c r="D152" s="696" t="s">
        <v>1479</v>
      </c>
      <c r="E152" s="696" t="s">
        <v>2535</v>
      </c>
      <c r="F152" s="711"/>
      <c r="G152" s="711"/>
      <c r="H152" s="701"/>
      <c r="I152" s="711">
        <v>1</v>
      </c>
      <c r="J152" s="711">
        <v>0</v>
      </c>
      <c r="K152" s="701"/>
      <c r="L152" s="711">
        <v>1</v>
      </c>
      <c r="M152" s="712">
        <v>0</v>
      </c>
    </row>
    <row r="153" spans="1:13" ht="14.4" customHeight="1" x14ac:dyDescent="0.3">
      <c r="A153" s="695" t="s">
        <v>2159</v>
      </c>
      <c r="B153" s="696" t="s">
        <v>2075</v>
      </c>
      <c r="C153" s="696" t="s">
        <v>2209</v>
      </c>
      <c r="D153" s="696" t="s">
        <v>2210</v>
      </c>
      <c r="E153" s="696" t="s">
        <v>2211</v>
      </c>
      <c r="F153" s="711"/>
      <c r="G153" s="711"/>
      <c r="H153" s="701">
        <v>0</v>
      </c>
      <c r="I153" s="711">
        <v>3</v>
      </c>
      <c r="J153" s="711">
        <v>552.66</v>
      </c>
      <c r="K153" s="701">
        <v>1</v>
      </c>
      <c r="L153" s="711">
        <v>3</v>
      </c>
      <c r="M153" s="712">
        <v>552.66</v>
      </c>
    </row>
    <row r="154" spans="1:13" ht="14.4" customHeight="1" x14ac:dyDescent="0.3">
      <c r="A154" s="695" t="s">
        <v>2159</v>
      </c>
      <c r="B154" s="696" t="s">
        <v>3270</v>
      </c>
      <c r="C154" s="696" t="s">
        <v>2716</v>
      </c>
      <c r="D154" s="696" t="s">
        <v>2500</v>
      </c>
      <c r="E154" s="696" t="s">
        <v>2717</v>
      </c>
      <c r="F154" s="711"/>
      <c r="G154" s="711"/>
      <c r="H154" s="701">
        <v>0</v>
      </c>
      <c r="I154" s="711">
        <v>23</v>
      </c>
      <c r="J154" s="711">
        <v>4444.9799999999996</v>
      </c>
      <c r="K154" s="701">
        <v>1</v>
      </c>
      <c r="L154" s="711">
        <v>23</v>
      </c>
      <c r="M154" s="712">
        <v>4444.9799999999996</v>
      </c>
    </row>
    <row r="155" spans="1:13" ht="14.4" customHeight="1" x14ac:dyDescent="0.3">
      <c r="A155" s="695" t="s">
        <v>2159</v>
      </c>
      <c r="B155" s="696" t="s">
        <v>3271</v>
      </c>
      <c r="C155" s="696" t="s">
        <v>2397</v>
      </c>
      <c r="D155" s="696" t="s">
        <v>2235</v>
      </c>
      <c r="E155" s="696" t="s">
        <v>2398</v>
      </c>
      <c r="F155" s="711"/>
      <c r="G155" s="711"/>
      <c r="H155" s="701">
        <v>0</v>
      </c>
      <c r="I155" s="711">
        <v>7</v>
      </c>
      <c r="J155" s="711">
        <v>676.41</v>
      </c>
      <c r="K155" s="701">
        <v>1</v>
      </c>
      <c r="L155" s="711">
        <v>7</v>
      </c>
      <c r="M155" s="712">
        <v>676.41</v>
      </c>
    </row>
    <row r="156" spans="1:13" ht="14.4" customHeight="1" x14ac:dyDescent="0.3">
      <c r="A156" s="695" t="s">
        <v>2159</v>
      </c>
      <c r="B156" s="696" t="s">
        <v>3271</v>
      </c>
      <c r="C156" s="696" t="s">
        <v>2917</v>
      </c>
      <c r="D156" s="696" t="s">
        <v>2918</v>
      </c>
      <c r="E156" s="696" t="s">
        <v>2919</v>
      </c>
      <c r="F156" s="711">
        <v>2</v>
      </c>
      <c r="G156" s="711">
        <v>193.26</v>
      </c>
      <c r="H156" s="701">
        <v>1</v>
      </c>
      <c r="I156" s="711"/>
      <c r="J156" s="711"/>
      <c r="K156" s="701">
        <v>0</v>
      </c>
      <c r="L156" s="711">
        <v>2</v>
      </c>
      <c r="M156" s="712">
        <v>193.26</v>
      </c>
    </row>
    <row r="157" spans="1:13" ht="14.4" customHeight="1" x14ac:dyDescent="0.3">
      <c r="A157" s="695" t="s">
        <v>2159</v>
      </c>
      <c r="B157" s="696" t="s">
        <v>3272</v>
      </c>
      <c r="C157" s="696" t="s">
        <v>2968</v>
      </c>
      <c r="D157" s="696" t="s">
        <v>2969</v>
      </c>
      <c r="E157" s="696" t="s">
        <v>2970</v>
      </c>
      <c r="F157" s="711">
        <v>7</v>
      </c>
      <c r="G157" s="711">
        <v>7911.4000000000005</v>
      </c>
      <c r="H157" s="701">
        <v>1</v>
      </c>
      <c r="I157" s="711"/>
      <c r="J157" s="711"/>
      <c r="K157" s="701">
        <v>0</v>
      </c>
      <c r="L157" s="711">
        <v>7</v>
      </c>
      <c r="M157" s="712">
        <v>7911.4000000000005</v>
      </c>
    </row>
    <row r="158" spans="1:13" ht="14.4" customHeight="1" x14ac:dyDescent="0.3">
      <c r="A158" s="695" t="s">
        <v>2159</v>
      </c>
      <c r="B158" s="696" t="s">
        <v>3272</v>
      </c>
      <c r="C158" s="696" t="s">
        <v>2625</v>
      </c>
      <c r="D158" s="696" t="s">
        <v>2626</v>
      </c>
      <c r="E158" s="696" t="s">
        <v>2627</v>
      </c>
      <c r="F158" s="711"/>
      <c r="G158" s="711"/>
      <c r="H158" s="701">
        <v>0</v>
      </c>
      <c r="I158" s="711">
        <v>45</v>
      </c>
      <c r="J158" s="711">
        <v>41940.97</v>
      </c>
      <c r="K158" s="701">
        <v>1</v>
      </c>
      <c r="L158" s="711">
        <v>45</v>
      </c>
      <c r="M158" s="712">
        <v>41940.97</v>
      </c>
    </row>
    <row r="159" spans="1:13" ht="14.4" customHeight="1" x14ac:dyDescent="0.3">
      <c r="A159" s="695" t="s">
        <v>2159</v>
      </c>
      <c r="B159" s="696" t="s">
        <v>3272</v>
      </c>
      <c r="C159" s="696" t="s">
        <v>2815</v>
      </c>
      <c r="D159" s="696" t="s">
        <v>2816</v>
      </c>
      <c r="E159" s="696" t="s">
        <v>2817</v>
      </c>
      <c r="F159" s="711"/>
      <c r="G159" s="711"/>
      <c r="H159" s="701">
        <v>0</v>
      </c>
      <c r="I159" s="711">
        <v>19</v>
      </c>
      <c r="J159" s="711">
        <v>22834.959999999999</v>
      </c>
      <c r="K159" s="701">
        <v>1</v>
      </c>
      <c r="L159" s="711">
        <v>19</v>
      </c>
      <c r="M159" s="712">
        <v>22834.959999999999</v>
      </c>
    </row>
    <row r="160" spans="1:13" ht="14.4" customHeight="1" x14ac:dyDescent="0.3">
      <c r="A160" s="695" t="s">
        <v>2159</v>
      </c>
      <c r="B160" s="696" t="s">
        <v>3272</v>
      </c>
      <c r="C160" s="696" t="s">
        <v>2818</v>
      </c>
      <c r="D160" s="696" t="s">
        <v>2819</v>
      </c>
      <c r="E160" s="696" t="s">
        <v>2820</v>
      </c>
      <c r="F160" s="711"/>
      <c r="G160" s="711"/>
      <c r="H160" s="701">
        <v>0</v>
      </c>
      <c r="I160" s="711">
        <v>40</v>
      </c>
      <c r="J160" s="711">
        <v>70852.87</v>
      </c>
      <c r="K160" s="701">
        <v>1</v>
      </c>
      <c r="L160" s="711">
        <v>40</v>
      </c>
      <c r="M160" s="712">
        <v>70852.87</v>
      </c>
    </row>
    <row r="161" spans="1:13" ht="14.4" customHeight="1" x14ac:dyDescent="0.3">
      <c r="A161" s="695" t="s">
        <v>2159</v>
      </c>
      <c r="B161" s="696" t="s">
        <v>3272</v>
      </c>
      <c r="C161" s="696" t="s">
        <v>3136</v>
      </c>
      <c r="D161" s="696" t="s">
        <v>3137</v>
      </c>
      <c r="E161" s="696" t="s">
        <v>3138</v>
      </c>
      <c r="F161" s="711">
        <v>8</v>
      </c>
      <c r="G161" s="711">
        <v>11344.56</v>
      </c>
      <c r="H161" s="701">
        <v>1</v>
      </c>
      <c r="I161" s="711"/>
      <c r="J161" s="711"/>
      <c r="K161" s="701">
        <v>0</v>
      </c>
      <c r="L161" s="711">
        <v>8</v>
      </c>
      <c r="M161" s="712">
        <v>11344.56</v>
      </c>
    </row>
    <row r="162" spans="1:13" ht="14.4" customHeight="1" x14ac:dyDescent="0.3">
      <c r="A162" s="695" t="s">
        <v>2159</v>
      </c>
      <c r="B162" s="696" t="s">
        <v>3272</v>
      </c>
      <c r="C162" s="696" t="s">
        <v>2821</v>
      </c>
      <c r="D162" s="696" t="s">
        <v>2822</v>
      </c>
      <c r="E162" s="696" t="s">
        <v>2823</v>
      </c>
      <c r="F162" s="711">
        <v>8</v>
      </c>
      <c r="G162" s="711">
        <v>6165.6</v>
      </c>
      <c r="H162" s="701">
        <v>1</v>
      </c>
      <c r="I162" s="711"/>
      <c r="J162" s="711"/>
      <c r="K162" s="701">
        <v>0</v>
      </c>
      <c r="L162" s="711">
        <v>8</v>
      </c>
      <c r="M162" s="712">
        <v>6165.6</v>
      </c>
    </row>
    <row r="163" spans="1:13" ht="14.4" customHeight="1" x14ac:dyDescent="0.3">
      <c r="A163" s="695" t="s">
        <v>2159</v>
      </c>
      <c r="B163" s="696" t="s">
        <v>2131</v>
      </c>
      <c r="C163" s="696" t="s">
        <v>3214</v>
      </c>
      <c r="D163" s="696" t="s">
        <v>2791</v>
      </c>
      <c r="E163" s="696" t="s">
        <v>2450</v>
      </c>
      <c r="F163" s="711">
        <v>6</v>
      </c>
      <c r="G163" s="711">
        <v>687.12</v>
      </c>
      <c r="H163" s="701">
        <v>1</v>
      </c>
      <c r="I163" s="711"/>
      <c r="J163" s="711"/>
      <c r="K163" s="701">
        <v>0</v>
      </c>
      <c r="L163" s="711">
        <v>6</v>
      </c>
      <c r="M163" s="712">
        <v>687.12</v>
      </c>
    </row>
    <row r="164" spans="1:13" ht="14.4" customHeight="1" x14ac:dyDescent="0.3">
      <c r="A164" s="695" t="s">
        <v>2159</v>
      </c>
      <c r="B164" s="696" t="s">
        <v>2131</v>
      </c>
      <c r="C164" s="696" t="s">
        <v>2790</v>
      </c>
      <c r="D164" s="696" t="s">
        <v>2791</v>
      </c>
      <c r="E164" s="696" t="s">
        <v>2450</v>
      </c>
      <c r="F164" s="711">
        <v>3</v>
      </c>
      <c r="G164" s="711">
        <v>0</v>
      </c>
      <c r="H164" s="701"/>
      <c r="I164" s="711"/>
      <c r="J164" s="711"/>
      <c r="K164" s="701"/>
      <c r="L164" s="711">
        <v>3</v>
      </c>
      <c r="M164" s="712">
        <v>0</v>
      </c>
    </row>
    <row r="165" spans="1:13" ht="14.4" customHeight="1" x14ac:dyDescent="0.3">
      <c r="A165" s="695" t="s">
        <v>2159</v>
      </c>
      <c r="B165" s="696" t="s">
        <v>2131</v>
      </c>
      <c r="C165" s="696" t="s">
        <v>2455</v>
      </c>
      <c r="D165" s="696" t="s">
        <v>2456</v>
      </c>
      <c r="E165" s="696" t="s">
        <v>2441</v>
      </c>
      <c r="F165" s="711">
        <v>6</v>
      </c>
      <c r="G165" s="711">
        <v>1178.76</v>
      </c>
      <c r="H165" s="701">
        <v>1</v>
      </c>
      <c r="I165" s="711"/>
      <c r="J165" s="711"/>
      <c r="K165" s="701">
        <v>0</v>
      </c>
      <c r="L165" s="711">
        <v>6</v>
      </c>
      <c r="M165" s="712">
        <v>1178.76</v>
      </c>
    </row>
    <row r="166" spans="1:13" ht="14.4" customHeight="1" x14ac:dyDescent="0.3">
      <c r="A166" s="695" t="s">
        <v>2159</v>
      </c>
      <c r="B166" s="696" t="s">
        <v>2131</v>
      </c>
      <c r="C166" s="696" t="s">
        <v>2792</v>
      </c>
      <c r="D166" s="696" t="s">
        <v>2793</v>
      </c>
      <c r="E166" s="696" t="s">
        <v>2794</v>
      </c>
      <c r="F166" s="711"/>
      <c r="G166" s="711"/>
      <c r="H166" s="701">
        <v>0</v>
      </c>
      <c r="I166" s="711">
        <v>4</v>
      </c>
      <c r="J166" s="711">
        <v>130.96</v>
      </c>
      <c r="K166" s="701">
        <v>1</v>
      </c>
      <c r="L166" s="711">
        <v>4</v>
      </c>
      <c r="M166" s="712">
        <v>130.96</v>
      </c>
    </row>
    <row r="167" spans="1:13" ht="14.4" customHeight="1" x14ac:dyDescent="0.3">
      <c r="A167" s="695" t="s">
        <v>2159</v>
      </c>
      <c r="B167" s="696" t="s">
        <v>2131</v>
      </c>
      <c r="C167" s="696" t="s">
        <v>2795</v>
      </c>
      <c r="D167" s="696" t="s">
        <v>2796</v>
      </c>
      <c r="E167" s="696" t="s">
        <v>2287</v>
      </c>
      <c r="F167" s="711"/>
      <c r="G167" s="711"/>
      <c r="H167" s="701">
        <v>0</v>
      </c>
      <c r="I167" s="711">
        <v>21</v>
      </c>
      <c r="J167" s="711">
        <v>3094.56</v>
      </c>
      <c r="K167" s="701">
        <v>1</v>
      </c>
      <c r="L167" s="711">
        <v>21</v>
      </c>
      <c r="M167" s="712">
        <v>3094.56</v>
      </c>
    </row>
    <row r="168" spans="1:13" ht="14.4" customHeight="1" x14ac:dyDescent="0.3">
      <c r="A168" s="695" t="s">
        <v>2159</v>
      </c>
      <c r="B168" s="696" t="s">
        <v>2131</v>
      </c>
      <c r="C168" s="696" t="s">
        <v>2457</v>
      </c>
      <c r="D168" s="696" t="s">
        <v>2458</v>
      </c>
      <c r="E168" s="696" t="s">
        <v>2441</v>
      </c>
      <c r="F168" s="711"/>
      <c r="G168" s="711"/>
      <c r="H168" s="701">
        <v>0</v>
      </c>
      <c r="I168" s="711">
        <v>23</v>
      </c>
      <c r="J168" s="711">
        <v>4518.58</v>
      </c>
      <c r="K168" s="701">
        <v>1</v>
      </c>
      <c r="L168" s="711">
        <v>23</v>
      </c>
      <c r="M168" s="712">
        <v>4518.58</v>
      </c>
    </row>
    <row r="169" spans="1:13" ht="14.4" customHeight="1" x14ac:dyDescent="0.3">
      <c r="A169" s="695" t="s">
        <v>2159</v>
      </c>
      <c r="B169" s="696" t="s">
        <v>2131</v>
      </c>
      <c r="C169" s="696" t="s">
        <v>2797</v>
      </c>
      <c r="D169" s="696" t="s">
        <v>2203</v>
      </c>
      <c r="E169" s="696" t="s">
        <v>2450</v>
      </c>
      <c r="F169" s="711"/>
      <c r="G169" s="711"/>
      <c r="H169" s="701">
        <v>0</v>
      </c>
      <c r="I169" s="711">
        <v>1</v>
      </c>
      <c r="J169" s="711">
        <v>98.23</v>
      </c>
      <c r="K169" s="701">
        <v>1</v>
      </c>
      <c r="L169" s="711">
        <v>1</v>
      </c>
      <c r="M169" s="712">
        <v>98.23</v>
      </c>
    </row>
    <row r="170" spans="1:13" ht="14.4" customHeight="1" x14ac:dyDescent="0.3">
      <c r="A170" s="695" t="s">
        <v>2159</v>
      </c>
      <c r="B170" s="696" t="s">
        <v>2131</v>
      </c>
      <c r="C170" s="696" t="s">
        <v>2798</v>
      </c>
      <c r="D170" s="696" t="s">
        <v>2793</v>
      </c>
      <c r="E170" s="696" t="s">
        <v>2799</v>
      </c>
      <c r="F170" s="711"/>
      <c r="G170" s="711"/>
      <c r="H170" s="701">
        <v>0</v>
      </c>
      <c r="I170" s="711">
        <v>1</v>
      </c>
      <c r="J170" s="711">
        <v>314.33999999999997</v>
      </c>
      <c r="K170" s="701">
        <v>1</v>
      </c>
      <c r="L170" s="711">
        <v>1</v>
      </c>
      <c r="M170" s="712">
        <v>314.33999999999997</v>
      </c>
    </row>
    <row r="171" spans="1:13" ht="14.4" customHeight="1" x14ac:dyDescent="0.3">
      <c r="A171" s="695" t="s">
        <v>2159</v>
      </c>
      <c r="B171" s="696" t="s">
        <v>2131</v>
      </c>
      <c r="C171" s="696" t="s">
        <v>3215</v>
      </c>
      <c r="D171" s="696" t="s">
        <v>3216</v>
      </c>
      <c r="E171" s="696" t="s">
        <v>3217</v>
      </c>
      <c r="F171" s="711">
        <v>2</v>
      </c>
      <c r="G171" s="711">
        <v>196.46</v>
      </c>
      <c r="H171" s="701">
        <v>1</v>
      </c>
      <c r="I171" s="711"/>
      <c r="J171" s="711"/>
      <c r="K171" s="701">
        <v>0</v>
      </c>
      <c r="L171" s="711">
        <v>2</v>
      </c>
      <c r="M171" s="712">
        <v>196.46</v>
      </c>
    </row>
    <row r="172" spans="1:13" ht="14.4" customHeight="1" x14ac:dyDescent="0.3">
      <c r="A172" s="695" t="s">
        <v>2159</v>
      </c>
      <c r="B172" s="696" t="s">
        <v>3273</v>
      </c>
      <c r="C172" s="696" t="s">
        <v>3181</v>
      </c>
      <c r="D172" s="696" t="s">
        <v>3182</v>
      </c>
      <c r="E172" s="696" t="s">
        <v>3183</v>
      </c>
      <c r="F172" s="711">
        <v>3</v>
      </c>
      <c r="G172" s="711">
        <v>378.78000000000003</v>
      </c>
      <c r="H172" s="701">
        <v>1</v>
      </c>
      <c r="I172" s="711"/>
      <c r="J172" s="711"/>
      <c r="K172" s="701">
        <v>0</v>
      </c>
      <c r="L172" s="711">
        <v>3</v>
      </c>
      <c r="M172" s="712">
        <v>378.78000000000003</v>
      </c>
    </row>
    <row r="173" spans="1:13" ht="14.4" customHeight="1" x14ac:dyDescent="0.3">
      <c r="A173" s="695" t="s">
        <v>2159</v>
      </c>
      <c r="B173" s="696" t="s">
        <v>3273</v>
      </c>
      <c r="C173" s="696" t="s">
        <v>3184</v>
      </c>
      <c r="D173" s="696" t="s">
        <v>3185</v>
      </c>
      <c r="E173" s="696" t="s">
        <v>2281</v>
      </c>
      <c r="F173" s="711"/>
      <c r="G173" s="711"/>
      <c r="H173" s="701"/>
      <c r="I173" s="711">
        <v>2</v>
      </c>
      <c r="J173" s="711">
        <v>0</v>
      </c>
      <c r="K173" s="701"/>
      <c r="L173" s="711">
        <v>2</v>
      </c>
      <c r="M173" s="712">
        <v>0</v>
      </c>
    </row>
    <row r="174" spans="1:13" ht="14.4" customHeight="1" x14ac:dyDescent="0.3">
      <c r="A174" s="695" t="s">
        <v>2159</v>
      </c>
      <c r="B174" s="696" t="s">
        <v>3273</v>
      </c>
      <c r="C174" s="696" t="s">
        <v>3064</v>
      </c>
      <c r="D174" s="696" t="s">
        <v>2283</v>
      </c>
      <c r="E174" s="696" t="s">
        <v>3065</v>
      </c>
      <c r="F174" s="711">
        <v>1</v>
      </c>
      <c r="G174" s="711">
        <v>0</v>
      </c>
      <c r="H174" s="701"/>
      <c r="I174" s="711"/>
      <c r="J174" s="711"/>
      <c r="K174" s="701"/>
      <c r="L174" s="711">
        <v>1</v>
      </c>
      <c r="M174" s="712">
        <v>0</v>
      </c>
    </row>
    <row r="175" spans="1:13" ht="14.4" customHeight="1" x14ac:dyDescent="0.3">
      <c r="A175" s="695" t="s">
        <v>2159</v>
      </c>
      <c r="B175" s="696" t="s">
        <v>3274</v>
      </c>
      <c r="C175" s="696" t="s">
        <v>2999</v>
      </c>
      <c r="D175" s="696" t="s">
        <v>3000</v>
      </c>
      <c r="E175" s="696" t="s">
        <v>3001</v>
      </c>
      <c r="F175" s="711">
        <v>1</v>
      </c>
      <c r="G175" s="711">
        <v>999.6</v>
      </c>
      <c r="H175" s="701">
        <v>0.5</v>
      </c>
      <c r="I175" s="711">
        <v>1</v>
      </c>
      <c r="J175" s="711">
        <v>999.6</v>
      </c>
      <c r="K175" s="701">
        <v>0.5</v>
      </c>
      <c r="L175" s="711">
        <v>2</v>
      </c>
      <c r="M175" s="712">
        <v>1999.2</v>
      </c>
    </row>
    <row r="176" spans="1:13" ht="14.4" customHeight="1" x14ac:dyDescent="0.3">
      <c r="A176" s="695" t="s">
        <v>2159</v>
      </c>
      <c r="B176" s="696" t="s">
        <v>3274</v>
      </c>
      <c r="C176" s="696" t="s">
        <v>3002</v>
      </c>
      <c r="D176" s="696" t="s">
        <v>3003</v>
      </c>
      <c r="E176" s="696" t="s">
        <v>2688</v>
      </c>
      <c r="F176" s="711">
        <v>7</v>
      </c>
      <c r="G176" s="711">
        <v>6209.3499999999995</v>
      </c>
      <c r="H176" s="701">
        <v>0.7</v>
      </c>
      <c r="I176" s="711">
        <v>3</v>
      </c>
      <c r="J176" s="711">
        <v>2661.1499999999996</v>
      </c>
      <c r="K176" s="701">
        <v>0.29999999999999993</v>
      </c>
      <c r="L176" s="711">
        <v>10</v>
      </c>
      <c r="M176" s="712">
        <v>8870.5</v>
      </c>
    </row>
    <row r="177" spans="1:13" ht="14.4" customHeight="1" x14ac:dyDescent="0.3">
      <c r="A177" s="695" t="s">
        <v>2159</v>
      </c>
      <c r="B177" s="696" t="s">
        <v>3274</v>
      </c>
      <c r="C177" s="696" t="s">
        <v>2681</v>
      </c>
      <c r="D177" s="696" t="s">
        <v>2682</v>
      </c>
      <c r="E177" s="696" t="s">
        <v>2683</v>
      </c>
      <c r="F177" s="711"/>
      <c r="G177" s="711"/>
      <c r="H177" s="701">
        <v>0</v>
      </c>
      <c r="I177" s="711">
        <v>4</v>
      </c>
      <c r="J177" s="711">
        <v>2366.6799999999998</v>
      </c>
      <c r="K177" s="701">
        <v>1</v>
      </c>
      <c r="L177" s="711">
        <v>4</v>
      </c>
      <c r="M177" s="712">
        <v>2366.6799999999998</v>
      </c>
    </row>
    <row r="178" spans="1:13" ht="14.4" customHeight="1" x14ac:dyDescent="0.3">
      <c r="A178" s="695" t="s">
        <v>2159</v>
      </c>
      <c r="B178" s="696" t="s">
        <v>3274</v>
      </c>
      <c r="C178" s="696" t="s">
        <v>3160</v>
      </c>
      <c r="D178" s="696" t="s">
        <v>3161</v>
      </c>
      <c r="E178" s="696" t="s">
        <v>2683</v>
      </c>
      <c r="F178" s="711">
        <v>3</v>
      </c>
      <c r="G178" s="711">
        <v>1775.0099999999998</v>
      </c>
      <c r="H178" s="701">
        <v>1</v>
      </c>
      <c r="I178" s="711"/>
      <c r="J178" s="711"/>
      <c r="K178" s="701">
        <v>0</v>
      </c>
      <c r="L178" s="711">
        <v>3</v>
      </c>
      <c r="M178" s="712">
        <v>1775.0099999999998</v>
      </c>
    </row>
    <row r="179" spans="1:13" ht="14.4" customHeight="1" x14ac:dyDescent="0.3">
      <c r="A179" s="695" t="s">
        <v>2159</v>
      </c>
      <c r="B179" s="696" t="s">
        <v>3274</v>
      </c>
      <c r="C179" s="696" t="s">
        <v>2879</v>
      </c>
      <c r="D179" s="696" t="s">
        <v>2880</v>
      </c>
      <c r="E179" s="696" t="s">
        <v>2881</v>
      </c>
      <c r="F179" s="711"/>
      <c r="G179" s="711"/>
      <c r="H179" s="701">
        <v>0</v>
      </c>
      <c r="I179" s="711">
        <v>4</v>
      </c>
      <c r="J179" s="711">
        <v>2246.16</v>
      </c>
      <c r="K179" s="701">
        <v>1</v>
      </c>
      <c r="L179" s="711">
        <v>4</v>
      </c>
      <c r="M179" s="712">
        <v>2246.16</v>
      </c>
    </row>
    <row r="180" spans="1:13" ht="14.4" customHeight="1" x14ac:dyDescent="0.3">
      <c r="A180" s="695" t="s">
        <v>2159</v>
      </c>
      <c r="B180" s="696" t="s">
        <v>3274</v>
      </c>
      <c r="C180" s="696" t="s">
        <v>2684</v>
      </c>
      <c r="D180" s="696" t="s">
        <v>2685</v>
      </c>
      <c r="E180" s="696" t="s">
        <v>2686</v>
      </c>
      <c r="F180" s="711"/>
      <c r="G180" s="711"/>
      <c r="H180" s="701">
        <v>0</v>
      </c>
      <c r="I180" s="711">
        <v>2</v>
      </c>
      <c r="J180" s="711">
        <v>887.04</v>
      </c>
      <c r="K180" s="701">
        <v>1</v>
      </c>
      <c r="L180" s="711">
        <v>2</v>
      </c>
      <c r="M180" s="712">
        <v>887.04</v>
      </c>
    </row>
    <row r="181" spans="1:13" ht="14.4" customHeight="1" x14ac:dyDescent="0.3">
      <c r="A181" s="695" t="s">
        <v>2159</v>
      </c>
      <c r="B181" s="696" t="s">
        <v>3274</v>
      </c>
      <c r="C181" s="696" t="s">
        <v>2687</v>
      </c>
      <c r="D181" s="696" t="s">
        <v>2685</v>
      </c>
      <c r="E181" s="696" t="s">
        <v>2688</v>
      </c>
      <c r="F181" s="711"/>
      <c r="G181" s="711"/>
      <c r="H181" s="701">
        <v>0</v>
      </c>
      <c r="I181" s="711">
        <v>41</v>
      </c>
      <c r="J181" s="711">
        <v>36369.050000000003</v>
      </c>
      <c r="K181" s="701">
        <v>1</v>
      </c>
      <c r="L181" s="711">
        <v>41</v>
      </c>
      <c r="M181" s="712">
        <v>36369.050000000003</v>
      </c>
    </row>
    <row r="182" spans="1:13" ht="14.4" customHeight="1" x14ac:dyDescent="0.3">
      <c r="A182" s="695" t="s">
        <v>2159</v>
      </c>
      <c r="B182" s="696" t="s">
        <v>3275</v>
      </c>
      <c r="C182" s="696" t="s">
        <v>2770</v>
      </c>
      <c r="D182" s="696" t="s">
        <v>2771</v>
      </c>
      <c r="E182" s="696" t="s">
        <v>2772</v>
      </c>
      <c r="F182" s="711"/>
      <c r="G182" s="711"/>
      <c r="H182" s="701">
        <v>0</v>
      </c>
      <c r="I182" s="711">
        <v>13</v>
      </c>
      <c r="J182" s="711">
        <v>17480.580000000002</v>
      </c>
      <c r="K182" s="701">
        <v>1</v>
      </c>
      <c r="L182" s="711">
        <v>13</v>
      </c>
      <c r="M182" s="712">
        <v>17480.580000000002</v>
      </c>
    </row>
    <row r="183" spans="1:13" ht="14.4" customHeight="1" x14ac:dyDescent="0.3">
      <c r="A183" s="695" t="s">
        <v>2159</v>
      </c>
      <c r="B183" s="696" t="s">
        <v>3275</v>
      </c>
      <c r="C183" s="696" t="s">
        <v>2773</v>
      </c>
      <c r="D183" s="696" t="s">
        <v>2774</v>
      </c>
      <c r="E183" s="696" t="s">
        <v>2775</v>
      </c>
      <c r="F183" s="711"/>
      <c r="G183" s="711"/>
      <c r="H183" s="701">
        <v>0</v>
      </c>
      <c r="I183" s="711">
        <v>31</v>
      </c>
      <c r="J183" s="711">
        <v>55597.259999999995</v>
      </c>
      <c r="K183" s="701">
        <v>1</v>
      </c>
      <c r="L183" s="711">
        <v>31</v>
      </c>
      <c r="M183" s="712">
        <v>55597.259999999995</v>
      </c>
    </row>
    <row r="184" spans="1:13" ht="14.4" customHeight="1" x14ac:dyDescent="0.3">
      <c r="A184" s="695" t="s">
        <v>2159</v>
      </c>
      <c r="B184" s="696" t="s">
        <v>2116</v>
      </c>
      <c r="C184" s="696" t="s">
        <v>2481</v>
      </c>
      <c r="D184" s="696" t="s">
        <v>2482</v>
      </c>
      <c r="E184" s="696" t="s">
        <v>834</v>
      </c>
      <c r="F184" s="711"/>
      <c r="G184" s="711"/>
      <c r="H184" s="701">
        <v>0</v>
      </c>
      <c r="I184" s="711">
        <v>3</v>
      </c>
      <c r="J184" s="711">
        <v>648.48</v>
      </c>
      <c r="K184" s="701">
        <v>1</v>
      </c>
      <c r="L184" s="711">
        <v>3</v>
      </c>
      <c r="M184" s="712">
        <v>648.48</v>
      </c>
    </row>
    <row r="185" spans="1:13" ht="14.4" customHeight="1" x14ac:dyDescent="0.3">
      <c r="A185" s="695" t="s">
        <v>2159</v>
      </c>
      <c r="B185" s="696" t="s">
        <v>2116</v>
      </c>
      <c r="C185" s="696" t="s">
        <v>2824</v>
      </c>
      <c r="D185" s="696" t="s">
        <v>2825</v>
      </c>
      <c r="E185" s="696" t="s">
        <v>2826</v>
      </c>
      <c r="F185" s="711"/>
      <c r="G185" s="711"/>
      <c r="H185" s="701">
        <v>0</v>
      </c>
      <c r="I185" s="711">
        <v>3</v>
      </c>
      <c r="J185" s="711">
        <v>486.39</v>
      </c>
      <c r="K185" s="701">
        <v>1</v>
      </c>
      <c r="L185" s="711">
        <v>3</v>
      </c>
      <c r="M185" s="712">
        <v>486.39</v>
      </c>
    </row>
    <row r="186" spans="1:13" ht="14.4" customHeight="1" x14ac:dyDescent="0.3">
      <c r="A186" s="695" t="s">
        <v>2159</v>
      </c>
      <c r="B186" s="696" t="s">
        <v>2116</v>
      </c>
      <c r="C186" s="696" t="s">
        <v>2628</v>
      </c>
      <c r="D186" s="696" t="s">
        <v>2482</v>
      </c>
      <c r="E186" s="696" t="s">
        <v>2629</v>
      </c>
      <c r="F186" s="711"/>
      <c r="G186" s="711"/>
      <c r="H186" s="701">
        <v>0</v>
      </c>
      <c r="I186" s="711">
        <v>8</v>
      </c>
      <c r="J186" s="711">
        <v>1729.28</v>
      </c>
      <c r="K186" s="701">
        <v>1</v>
      </c>
      <c r="L186" s="711">
        <v>8</v>
      </c>
      <c r="M186" s="712">
        <v>1729.28</v>
      </c>
    </row>
    <row r="187" spans="1:13" ht="14.4" customHeight="1" x14ac:dyDescent="0.3">
      <c r="A187" s="695" t="s">
        <v>2159</v>
      </c>
      <c r="B187" s="696" t="s">
        <v>3267</v>
      </c>
      <c r="C187" s="696" t="s">
        <v>2848</v>
      </c>
      <c r="D187" s="696" t="s">
        <v>2849</v>
      </c>
      <c r="E187" s="696" t="s">
        <v>2406</v>
      </c>
      <c r="F187" s="711"/>
      <c r="G187" s="711"/>
      <c r="H187" s="701">
        <v>0</v>
      </c>
      <c r="I187" s="711">
        <v>3</v>
      </c>
      <c r="J187" s="711">
        <v>697.31999999999994</v>
      </c>
      <c r="K187" s="701">
        <v>1</v>
      </c>
      <c r="L187" s="711">
        <v>3</v>
      </c>
      <c r="M187" s="712">
        <v>697.31999999999994</v>
      </c>
    </row>
    <row r="188" spans="1:13" ht="14.4" customHeight="1" x14ac:dyDescent="0.3">
      <c r="A188" s="695" t="s">
        <v>2159</v>
      </c>
      <c r="B188" s="696" t="s">
        <v>3267</v>
      </c>
      <c r="C188" s="696" t="s">
        <v>3146</v>
      </c>
      <c r="D188" s="696" t="s">
        <v>3147</v>
      </c>
      <c r="E188" s="696" t="s">
        <v>2406</v>
      </c>
      <c r="F188" s="711">
        <v>1</v>
      </c>
      <c r="G188" s="711">
        <v>0</v>
      </c>
      <c r="H188" s="701"/>
      <c r="I188" s="711"/>
      <c r="J188" s="711"/>
      <c r="K188" s="701"/>
      <c r="L188" s="711">
        <v>1</v>
      </c>
      <c r="M188" s="712">
        <v>0</v>
      </c>
    </row>
    <row r="189" spans="1:13" ht="14.4" customHeight="1" x14ac:dyDescent="0.3">
      <c r="A189" s="695" t="s">
        <v>2159</v>
      </c>
      <c r="B189" s="696" t="s">
        <v>3281</v>
      </c>
      <c r="C189" s="696" t="s">
        <v>3223</v>
      </c>
      <c r="D189" s="696" t="s">
        <v>3222</v>
      </c>
      <c r="E189" s="696" t="s">
        <v>2963</v>
      </c>
      <c r="F189" s="711">
        <v>2</v>
      </c>
      <c r="G189" s="711">
        <v>278.92</v>
      </c>
      <c r="H189" s="701">
        <v>1</v>
      </c>
      <c r="I189" s="711"/>
      <c r="J189" s="711"/>
      <c r="K189" s="701">
        <v>0</v>
      </c>
      <c r="L189" s="711">
        <v>2</v>
      </c>
      <c r="M189" s="712">
        <v>278.92</v>
      </c>
    </row>
    <row r="190" spans="1:13" ht="14.4" customHeight="1" x14ac:dyDescent="0.3">
      <c r="A190" s="695" t="s">
        <v>2159</v>
      </c>
      <c r="B190" s="696" t="s">
        <v>2118</v>
      </c>
      <c r="C190" s="696" t="s">
        <v>3179</v>
      </c>
      <c r="D190" s="696" t="s">
        <v>3180</v>
      </c>
      <c r="E190" s="696" t="s">
        <v>2129</v>
      </c>
      <c r="F190" s="711">
        <v>1</v>
      </c>
      <c r="G190" s="711">
        <v>94.8</v>
      </c>
      <c r="H190" s="701">
        <v>1</v>
      </c>
      <c r="I190" s="711"/>
      <c r="J190" s="711"/>
      <c r="K190" s="701">
        <v>0</v>
      </c>
      <c r="L190" s="711">
        <v>1</v>
      </c>
      <c r="M190" s="712">
        <v>94.8</v>
      </c>
    </row>
    <row r="191" spans="1:13" ht="14.4" customHeight="1" x14ac:dyDescent="0.3">
      <c r="A191" s="695" t="s">
        <v>2159</v>
      </c>
      <c r="B191" s="696" t="s">
        <v>3277</v>
      </c>
      <c r="C191" s="696" t="s">
        <v>2707</v>
      </c>
      <c r="D191" s="696" t="s">
        <v>2708</v>
      </c>
      <c r="E191" s="696" t="s">
        <v>2709</v>
      </c>
      <c r="F191" s="711"/>
      <c r="G191" s="711"/>
      <c r="H191" s="701">
        <v>0</v>
      </c>
      <c r="I191" s="711">
        <v>4</v>
      </c>
      <c r="J191" s="711">
        <v>494.2</v>
      </c>
      <c r="K191" s="701">
        <v>1</v>
      </c>
      <c r="L191" s="711">
        <v>4</v>
      </c>
      <c r="M191" s="712">
        <v>494.2</v>
      </c>
    </row>
    <row r="192" spans="1:13" ht="14.4" customHeight="1" x14ac:dyDescent="0.3">
      <c r="A192" s="695" t="s">
        <v>2167</v>
      </c>
      <c r="B192" s="696" t="s">
        <v>3288</v>
      </c>
      <c r="C192" s="696" t="s">
        <v>3232</v>
      </c>
      <c r="D192" s="696" t="s">
        <v>3233</v>
      </c>
      <c r="E192" s="696" t="s">
        <v>3234</v>
      </c>
      <c r="F192" s="711">
        <v>2</v>
      </c>
      <c r="G192" s="711">
        <v>130.5</v>
      </c>
      <c r="H192" s="701">
        <v>1</v>
      </c>
      <c r="I192" s="711"/>
      <c r="J192" s="711"/>
      <c r="K192" s="701">
        <v>0</v>
      </c>
      <c r="L192" s="711">
        <v>2</v>
      </c>
      <c r="M192" s="712">
        <v>130.5</v>
      </c>
    </row>
    <row r="193" spans="1:13" ht="14.4" customHeight="1" x14ac:dyDescent="0.3">
      <c r="A193" s="695" t="s">
        <v>2167</v>
      </c>
      <c r="B193" s="696" t="s">
        <v>3288</v>
      </c>
      <c r="C193" s="696" t="s">
        <v>3235</v>
      </c>
      <c r="D193" s="696" t="s">
        <v>3236</v>
      </c>
      <c r="E193" s="696" t="s">
        <v>2562</v>
      </c>
      <c r="F193" s="711"/>
      <c r="G193" s="711"/>
      <c r="H193" s="701">
        <v>0</v>
      </c>
      <c r="I193" s="711">
        <v>2</v>
      </c>
      <c r="J193" s="711">
        <v>65.260000000000005</v>
      </c>
      <c r="K193" s="701">
        <v>1</v>
      </c>
      <c r="L193" s="711">
        <v>2</v>
      </c>
      <c r="M193" s="712">
        <v>65.260000000000005</v>
      </c>
    </row>
    <row r="194" spans="1:13" ht="14.4" customHeight="1" x14ac:dyDescent="0.3">
      <c r="A194" s="695" t="s">
        <v>2162</v>
      </c>
      <c r="B194" s="696" t="s">
        <v>3285</v>
      </c>
      <c r="C194" s="696" t="s">
        <v>2485</v>
      </c>
      <c r="D194" s="696" t="s">
        <v>2486</v>
      </c>
      <c r="E194" s="696" t="s">
        <v>2487</v>
      </c>
      <c r="F194" s="711">
        <v>1</v>
      </c>
      <c r="G194" s="711">
        <v>200.07</v>
      </c>
      <c r="H194" s="701">
        <v>1</v>
      </c>
      <c r="I194" s="711"/>
      <c r="J194" s="711"/>
      <c r="K194" s="701">
        <v>0</v>
      </c>
      <c r="L194" s="711">
        <v>1</v>
      </c>
      <c r="M194" s="712">
        <v>200.07</v>
      </c>
    </row>
    <row r="195" spans="1:13" ht="14.4" customHeight="1" x14ac:dyDescent="0.3">
      <c r="A195" s="695" t="s">
        <v>2162</v>
      </c>
      <c r="B195" s="696" t="s">
        <v>2116</v>
      </c>
      <c r="C195" s="696" t="s">
        <v>2481</v>
      </c>
      <c r="D195" s="696" t="s">
        <v>2482</v>
      </c>
      <c r="E195" s="696" t="s">
        <v>834</v>
      </c>
      <c r="F195" s="711"/>
      <c r="G195" s="711"/>
      <c r="H195" s="701">
        <v>0</v>
      </c>
      <c r="I195" s="711">
        <v>2</v>
      </c>
      <c r="J195" s="711">
        <v>432.32</v>
      </c>
      <c r="K195" s="701">
        <v>1</v>
      </c>
      <c r="L195" s="711">
        <v>2</v>
      </c>
      <c r="M195" s="712">
        <v>432.32</v>
      </c>
    </row>
    <row r="196" spans="1:13" ht="14.4" customHeight="1" x14ac:dyDescent="0.3">
      <c r="A196" s="695" t="s">
        <v>2163</v>
      </c>
      <c r="B196" s="696" t="s">
        <v>3270</v>
      </c>
      <c r="C196" s="696" t="s">
        <v>2499</v>
      </c>
      <c r="D196" s="696" t="s">
        <v>2500</v>
      </c>
      <c r="E196" s="696" t="s">
        <v>2501</v>
      </c>
      <c r="F196" s="711"/>
      <c r="G196" s="711"/>
      <c r="H196" s="701">
        <v>0</v>
      </c>
      <c r="I196" s="711">
        <v>2</v>
      </c>
      <c r="J196" s="711">
        <v>773.02</v>
      </c>
      <c r="K196" s="701">
        <v>1</v>
      </c>
      <c r="L196" s="711">
        <v>2</v>
      </c>
      <c r="M196" s="712">
        <v>773.02</v>
      </c>
    </row>
    <row r="197" spans="1:13" ht="14.4" customHeight="1" x14ac:dyDescent="0.3">
      <c r="A197" s="695" t="s">
        <v>2164</v>
      </c>
      <c r="B197" s="696" t="s">
        <v>2045</v>
      </c>
      <c r="C197" s="696" t="s">
        <v>2534</v>
      </c>
      <c r="D197" s="696" t="s">
        <v>1479</v>
      </c>
      <c r="E197" s="696" t="s">
        <v>2535</v>
      </c>
      <c r="F197" s="711"/>
      <c r="G197" s="711"/>
      <c r="H197" s="701"/>
      <c r="I197" s="711">
        <v>3</v>
      </c>
      <c r="J197" s="711">
        <v>0</v>
      </c>
      <c r="K197" s="701"/>
      <c r="L197" s="711">
        <v>3</v>
      </c>
      <c r="M197" s="712">
        <v>0</v>
      </c>
    </row>
    <row r="198" spans="1:13" ht="14.4" customHeight="1" x14ac:dyDescent="0.3">
      <c r="A198" s="695" t="s">
        <v>2164</v>
      </c>
      <c r="B198" s="696" t="s">
        <v>2050</v>
      </c>
      <c r="C198" s="696" t="s">
        <v>2187</v>
      </c>
      <c r="D198" s="696" t="s">
        <v>2188</v>
      </c>
      <c r="E198" s="696" t="s">
        <v>2189</v>
      </c>
      <c r="F198" s="711"/>
      <c r="G198" s="711"/>
      <c r="H198" s="701">
        <v>0</v>
      </c>
      <c r="I198" s="711">
        <v>145</v>
      </c>
      <c r="J198" s="711">
        <v>90667.049999999988</v>
      </c>
      <c r="K198" s="701">
        <v>1</v>
      </c>
      <c r="L198" s="711">
        <v>145</v>
      </c>
      <c r="M198" s="712">
        <v>90667.049999999988</v>
      </c>
    </row>
    <row r="199" spans="1:13" ht="14.4" customHeight="1" x14ac:dyDescent="0.3">
      <c r="A199" s="695" t="s">
        <v>2164</v>
      </c>
      <c r="B199" s="696" t="s">
        <v>2056</v>
      </c>
      <c r="C199" s="696" t="s">
        <v>1471</v>
      </c>
      <c r="D199" s="696" t="s">
        <v>1472</v>
      </c>
      <c r="E199" s="696" t="s">
        <v>1473</v>
      </c>
      <c r="F199" s="711"/>
      <c r="G199" s="711"/>
      <c r="H199" s="701">
        <v>0</v>
      </c>
      <c r="I199" s="711">
        <v>1</v>
      </c>
      <c r="J199" s="711">
        <v>25.07</v>
      </c>
      <c r="K199" s="701">
        <v>1</v>
      </c>
      <c r="L199" s="711">
        <v>1</v>
      </c>
      <c r="M199" s="712">
        <v>25.07</v>
      </c>
    </row>
    <row r="200" spans="1:13" ht="14.4" customHeight="1" x14ac:dyDescent="0.3">
      <c r="A200" s="695" t="s">
        <v>2164</v>
      </c>
      <c r="B200" s="696" t="s">
        <v>2056</v>
      </c>
      <c r="C200" s="696" t="s">
        <v>2531</v>
      </c>
      <c r="D200" s="696" t="s">
        <v>1472</v>
      </c>
      <c r="E200" s="696" t="s">
        <v>2532</v>
      </c>
      <c r="F200" s="711">
        <v>1</v>
      </c>
      <c r="G200" s="711">
        <v>0</v>
      </c>
      <c r="H200" s="701"/>
      <c r="I200" s="711"/>
      <c r="J200" s="711"/>
      <c r="K200" s="701"/>
      <c r="L200" s="711">
        <v>1</v>
      </c>
      <c r="M200" s="712">
        <v>0</v>
      </c>
    </row>
    <row r="201" spans="1:13" ht="14.4" customHeight="1" x14ac:dyDescent="0.3">
      <c r="A201" s="695" t="s">
        <v>2165</v>
      </c>
      <c r="B201" s="696" t="s">
        <v>2071</v>
      </c>
      <c r="C201" s="696" t="s">
        <v>2338</v>
      </c>
      <c r="D201" s="696" t="s">
        <v>2339</v>
      </c>
      <c r="E201" s="696" t="s">
        <v>2340</v>
      </c>
      <c r="F201" s="711"/>
      <c r="G201" s="711"/>
      <c r="H201" s="701">
        <v>0</v>
      </c>
      <c r="I201" s="711">
        <v>1</v>
      </c>
      <c r="J201" s="711">
        <v>333.31</v>
      </c>
      <c r="K201" s="701">
        <v>1</v>
      </c>
      <c r="L201" s="711">
        <v>1</v>
      </c>
      <c r="M201" s="712">
        <v>333.31</v>
      </c>
    </row>
    <row r="202" spans="1:13" ht="14.4" customHeight="1" x14ac:dyDescent="0.3">
      <c r="A202" s="695" t="s">
        <v>2165</v>
      </c>
      <c r="B202" s="696" t="s">
        <v>2075</v>
      </c>
      <c r="C202" s="696" t="s">
        <v>2209</v>
      </c>
      <c r="D202" s="696" t="s">
        <v>2210</v>
      </c>
      <c r="E202" s="696" t="s">
        <v>2211</v>
      </c>
      <c r="F202" s="711"/>
      <c r="G202" s="711"/>
      <c r="H202" s="701">
        <v>0</v>
      </c>
      <c r="I202" s="711">
        <v>1</v>
      </c>
      <c r="J202" s="711">
        <v>184.22</v>
      </c>
      <c r="K202" s="701">
        <v>1</v>
      </c>
      <c r="L202" s="711">
        <v>1</v>
      </c>
      <c r="M202" s="712">
        <v>184.22</v>
      </c>
    </row>
    <row r="203" spans="1:13" ht="14.4" customHeight="1" x14ac:dyDescent="0.3">
      <c r="A203" s="695" t="s">
        <v>2165</v>
      </c>
      <c r="B203" s="696" t="s">
        <v>3271</v>
      </c>
      <c r="C203" s="696" t="s">
        <v>2397</v>
      </c>
      <c r="D203" s="696" t="s">
        <v>2235</v>
      </c>
      <c r="E203" s="696" t="s">
        <v>2398</v>
      </c>
      <c r="F203" s="711"/>
      <c r="G203" s="711"/>
      <c r="H203" s="701">
        <v>0</v>
      </c>
      <c r="I203" s="711">
        <v>2</v>
      </c>
      <c r="J203" s="711">
        <v>193.26</v>
      </c>
      <c r="K203" s="701">
        <v>1</v>
      </c>
      <c r="L203" s="711">
        <v>2</v>
      </c>
      <c r="M203" s="712">
        <v>193.26</v>
      </c>
    </row>
    <row r="204" spans="1:13" ht="14.4" customHeight="1" x14ac:dyDescent="0.3">
      <c r="A204" s="695" t="s">
        <v>2165</v>
      </c>
      <c r="B204" s="696" t="s">
        <v>2119</v>
      </c>
      <c r="C204" s="696" t="s">
        <v>2567</v>
      </c>
      <c r="D204" s="696" t="s">
        <v>2568</v>
      </c>
      <c r="E204" s="696" t="s">
        <v>2569</v>
      </c>
      <c r="F204" s="711">
        <v>1</v>
      </c>
      <c r="G204" s="711">
        <v>413.22</v>
      </c>
      <c r="H204" s="701">
        <v>1</v>
      </c>
      <c r="I204" s="711"/>
      <c r="J204" s="711"/>
      <c r="K204" s="701">
        <v>0</v>
      </c>
      <c r="L204" s="711">
        <v>1</v>
      </c>
      <c r="M204" s="712">
        <v>413.22</v>
      </c>
    </row>
    <row r="205" spans="1:13" ht="14.4" customHeight="1" thickBot="1" x14ac:dyDescent="0.35">
      <c r="A205" s="703" t="s">
        <v>2165</v>
      </c>
      <c r="B205" s="704" t="s">
        <v>3283</v>
      </c>
      <c r="C205" s="704" t="s">
        <v>2570</v>
      </c>
      <c r="D205" s="704" t="s">
        <v>2571</v>
      </c>
      <c r="E205" s="704" t="s">
        <v>2572</v>
      </c>
      <c r="F205" s="713">
        <v>1</v>
      </c>
      <c r="G205" s="713">
        <v>356.47</v>
      </c>
      <c r="H205" s="709">
        <v>1</v>
      </c>
      <c r="I205" s="713"/>
      <c r="J205" s="713"/>
      <c r="K205" s="709">
        <v>0</v>
      </c>
      <c r="L205" s="713">
        <v>1</v>
      </c>
      <c r="M205" s="714">
        <v>356.47</v>
      </c>
    </row>
  </sheetData>
  <autoFilter ref="A5:M1005"/>
  <mergeCells count="4">
    <mergeCell ref="A1:M1"/>
    <mergeCell ref="F4:H4"/>
    <mergeCell ref="I4:K4"/>
    <mergeCell ref="L4:M4"/>
  </mergeCells>
  <hyperlinks>
    <hyperlink ref="A2" location="Obsah!A1" display="Zpět na Obsah  KL 01  1.-4.měsíc"/>
  </hyperlinks>
  <pageMargins left="0.25" right="0.25" top="0.75" bottom="0.75" header="0.3" footer="0.3"/>
  <pageSetup paperSize="9" scale="99" fitToHeight="0" orientation="landscape" r:id="rId1"/>
  <ignoredErrors>
    <ignoredError sqref="H3 K3" formula="1"/>
  </ignoredErrors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51">
    <tabColor theme="3" tint="0.39997558519241921"/>
    <pageSetUpPr fitToPage="1"/>
  </sheetPr>
  <dimension ref="A1:J80"/>
  <sheetViews>
    <sheetView showGridLines="0" showRowColHeaders="0" workbookViewId="0">
      <pane ySplit="4" topLeftCell="A5" activePane="bottomLeft" state="frozen"/>
      <selection activeCell="A2" sqref="A2:I2"/>
      <selection pane="bottomLeft" sqref="A1:I1"/>
    </sheetView>
  </sheetViews>
  <sheetFormatPr defaultRowHeight="14.4" customHeight="1" x14ac:dyDescent="0.3"/>
  <cols>
    <col min="1" max="1" width="5.5546875" style="341" customWidth="1"/>
    <col min="2" max="2" width="61.109375" style="341" customWidth="1"/>
    <col min="3" max="3" width="9.5546875" style="257" customWidth="1"/>
    <col min="4" max="4" width="9.5546875" style="342" customWidth="1"/>
    <col min="5" max="5" width="2.21875" style="342" customWidth="1"/>
    <col min="6" max="6" width="9.5546875" style="343" customWidth="1"/>
    <col min="7" max="7" width="9.5546875" style="340" customWidth="1"/>
    <col min="8" max="9" width="9.5546875" style="257" customWidth="1"/>
    <col min="10" max="10" width="0" style="257" hidden="1" customWidth="1"/>
    <col min="11" max="16384" width="8.88671875" style="257"/>
  </cols>
  <sheetData>
    <row r="1" spans="1:10" ht="18.600000000000001" customHeight="1" thickBot="1" x14ac:dyDescent="0.4">
      <c r="A1" s="487" t="s">
        <v>179</v>
      </c>
      <c r="B1" s="488"/>
      <c r="C1" s="488"/>
      <c r="D1" s="488"/>
      <c r="E1" s="488"/>
      <c r="F1" s="488"/>
      <c r="G1" s="459"/>
      <c r="H1" s="489"/>
      <c r="I1" s="489"/>
    </row>
    <row r="2" spans="1:10" ht="14.4" customHeight="1" thickBot="1" x14ac:dyDescent="0.35">
      <c r="A2" s="386" t="s">
        <v>321</v>
      </c>
      <c r="B2" s="339"/>
      <c r="C2" s="339"/>
      <c r="D2" s="339"/>
      <c r="E2" s="339"/>
      <c r="F2" s="339"/>
    </row>
    <row r="3" spans="1:10" ht="14.4" customHeight="1" thickBot="1" x14ac:dyDescent="0.35">
      <c r="A3" s="386"/>
      <c r="B3" s="339"/>
      <c r="C3" s="444">
        <v>2012</v>
      </c>
      <c r="D3" s="445">
        <v>2013</v>
      </c>
      <c r="E3" s="11"/>
      <c r="F3" s="482">
        <v>2014</v>
      </c>
      <c r="G3" s="483"/>
      <c r="H3" s="483"/>
      <c r="I3" s="484"/>
    </row>
    <row r="4" spans="1:10" ht="14.4" customHeight="1" thickBot="1" x14ac:dyDescent="0.35">
      <c r="A4" s="449" t="s">
        <v>0</v>
      </c>
      <c r="B4" s="450" t="s">
        <v>313</v>
      </c>
      <c r="C4" s="485" t="s">
        <v>94</v>
      </c>
      <c r="D4" s="486"/>
      <c r="E4" s="451"/>
      <c r="F4" s="446" t="s">
        <v>94</v>
      </c>
      <c r="G4" s="447" t="s">
        <v>95</v>
      </c>
      <c r="H4" s="447" t="s">
        <v>69</v>
      </c>
      <c r="I4" s="448" t="s">
        <v>96</v>
      </c>
    </row>
    <row r="5" spans="1:10" ht="14.4" customHeight="1" x14ac:dyDescent="0.3">
      <c r="A5" s="614" t="s">
        <v>545</v>
      </c>
      <c r="B5" s="615" t="s">
        <v>546</v>
      </c>
      <c r="C5" s="616" t="s">
        <v>547</v>
      </c>
      <c r="D5" s="616" t="s">
        <v>547</v>
      </c>
      <c r="E5" s="616"/>
      <c r="F5" s="616" t="s">
        <v>547</v>
      </c>
      <c r="G5" s="616" t="s">
        <v>547</v>
      </c>
      <c r="H5" s="616" t="s">
        <v>547</v>
      </c>
      <c r="I5" s="617" t="s">
        <v>547</v>
      </c>
      <c r="J5" s="618" t="s">
        <v>74</v>
      </c>
    </row>
    <row r="6" spans="1:10" ht="14.4" customHeight="1" x14ac:dyDescent="0.3">
      <c r="A6" s="614" t="s">
        <v>545</v>
      </c>
      <c r="B6" s="615" t="s">
        <v>343</v>
      </c>
      <c r="C6" s="616">
        <v>299.35129999999998</v>
      </c>
      <c r="D6" s="616">
        <v>325.04039999999793</v>
      </c>
      <c r="E6" s="616"/>
      <c r="F6" s="616">
        <v>265.07790000000102</v>
      </c>
      <c r="G6" s="616">
        <v>487.16949609005246</v>
      </c>
      <c r="H6" s="616">
        <v>-222.09159609005144</v>
      </c>
      <c r="I6" s="617">
        <v>0.544118427215734</v>
      </c>
      <c r="J6" s="618" t="s">
        <v>1</v>
      </c>
    </row>
    <row r="7" spans="1:10" ht="14.4" customHeight="1" x14ac:dyDescent="0.3">
      <c r="A7" s="614" t="s">
        <v>545</v>
      </c>
      <c r="B7" s="615" t="s">
        <v>344</v>
      </c>
      <c r="C7" s="616">
        <v>5.0753900000000005</v>
      </c>
      <c r="D7" s="616">
        <v>1.1677699999989999</v>
      </c>
      <c r="E7" s="616"/>
      <c r="F7" s="616">
        <v>1.1836899999999999</v>
      </c>
      <c r="G7" s="616">
        <v>1.1704989921875</v>
      </c>
      <c r="H7" s="616">
        <v>1.3191007812499933E-2</v>
      </c>
      <c r="I7" s="617">
        <v>1.0112695593080758</v>
      </c>
      <c r="J7" s="618" t="s">
        <v>1</v>
      </c>
    </row>
    <row r="8" spans="1:10" ht="14.4" customHeight="1" x14ac:dyDescent="0.3">
      <c r="A8" s="614" t="s">
        <v>545</v>
      </c>
      <c r="B8" s="615" t="s">
        <v>345</v>
      </c>
      <c r="C8" s="616">
        <v>411.94280000000003</v>
      </c>
      <c r="D8" s="616">
        <v>301.48049999999802</v>
      </c>
      <c r="E8" s="616"/>
      <c r="F8" s="616">
        <v>325.34388000000007</v>
      </c>
      <c r="G8" s="616">
        <v>330.46771961907086</v>
      </c>
      <c r="H8" s="616">
        <v>-5.1238396190707931</v>
      </c>
      <c r="I8" s="617">
        <v>0.98449518874346631</v>
      </c>
      <c r="J8" s="618" t="s">
        <v>1</v>
      </c>
    </row>
    <row r="9" spans="1:10" ht="14.4" customHeight="1" x14ac:dyDescent="0.3">
      <c r="A9" s="614" t="s">
        <v>545</v>
      </c>
      <c r="B9" s="615" t="s">
        <v>346</v>
      </c>
      <c r="C9" s="616">
        <v>2988.2696599999999</v>
      </c>
      <c r="D9" s="616">
        <v>2938.0228499999994</v>
      </c>
      <c r="E9" s="616"/>
      <c r="F9" s="616">
        <v>3141.1205300000038</v>
      </c>
      <c r="G9" s="616">
        <v>3046.8718955986628</v>
      </c>
      <c r="H9" s="616">
        <v>94.248634401340951</v>
      </c>
      <c r="I9" s="617">
        <v>1.0309329166537942</v>
      </c>
      <c r="J9" s="618" t="s">
        <v>1</v>
      </c>
    </row>
    <row r="10" spans="1:10" ht="14.4" customHeight="1" x14ac:dyDescent="0.3">
      <c r="A10" s="614" t="s">
        <v>545</v>
      </c>
      <c r="B10" s="615" t="s">
        <v>347</v>
      </c>
      <c r="C10" s="616">
        <v>4.3859399999999997</v>
      </c>
      <c r="D10" s="616">
        <v>0</v>
      </c>
      <c r="E10" s="616"/>
      <c r="F10" s="616">
        <v>0</v>
      </c>
      <c r="G10" s="616">
        <v>0.83333333333333326</v>
      </c>
      <c r="H10" s="616">
        <v>-0.83333333333333326</v>
      </c>
      <c r="I10" s="617">
        <v>0</v>
      </c>
      <c r="J10" s="618" t="s">
        <v>1</v>
      </c>
    </row>
    <row r="11" spans="1:10" ht="14.4" customHeight="1" x14ac:dyDescent="0.3">
      <c r="A11" s="614" t="s">
        <v>545</v>
      </c>
      <c r="B11" s="615" t="s">
        <v>348</v>
      </c>
      <c r="C11" s="616">
        <v>138.72751000000002</v>
      </c>
      <c r="D11" s="616">
        <v>174.92696999999799</v>
      </c>
      <c r="E11" s="616"/>
      <c r="F11" s="616">
        <v>174.89524</v>
      </c>
      <c r="G11" s="616">
        <v>211.61927698632374</v>
      </c>
      <c r="H11" s="616">
        <v>-36.724036986323739</v>
      </c>
      <c r="I11" s="617">
        <v>0.82646175948943867</v>
      </c>
      <c r="J11" s="618" t="s">
        <v>1</v>
      </c>
    </row>
    <row r="12" spans="1:10" ht="14.4" customHeight="1" x14ac:dyDescent="0.3">
      <c r="A12" s="614" t="s">
        <v>545</v>
      </c>
      <c r="B12" s="615" t="s">
        <v>349</v>
      </c>
      <c r="C12" s="616">
        <v>28.790530000000004</v>
      </c>
      <c r="D12" s="616">
        <v>35.234690000000001</v>
      </c>
      <c r="E12" s="616"/>
      <c r="F12" s="616">
        <v>32.667290000000001</v>
      </c>
      <c r="G12" s="616">
        <v>33.912920117806664</v>
      </c>
      <c r="H12" s="616">
        <v>-1.2456301178066624</v>
      </c>
      <c r="I12" s="617">
        <v>0.96326974753340044</v>
      </c>
      <c r="J12" s="618" t="s">
        <v>1</v>
      </c>
    </row>
    <row r="13" spans="1:10" ht="14.4" customHeight="1" x14ac:dyDescent="0.3">
      <c r="A13" s="614" t="s">
        <v>545</v>
      </c>
      <c r="B13" s="615" t="s">
        <v>350</v>
      </c>
      <c r="C13" s="616">
        <v>180.79921999999999</v>
      </c>
      <c r="D13" s="616">
        <v>107.09585999999602</v>
      </c>
      <c r="E13" s="616"/>
      <c r="F13" s="616">
        <v>86.007139999999993</v>
      </c>
      <c r="G13" s="616">
        <v>128.07408558267039</v>
      </c>
      <c r="H13" s="616">
        <v>-42.0669455826704</v>
      </c>
      <c r="I13" s="617">
        <v>0.67154209697232892</v>
      </c>
      <c r="J13" s="618" t="s">
        <v>1</v>
      </c>
    </row>
    <row r="14" spans="1:10" ht="14.4" customHeight="1" x14ac:dyDescent="0.3">
      <c r="A14" s="614" t="s">
        <v>545</v>
      </c>
      <c r="B14" s="615" t="s">
        <v>351</v>
      </c>
      <c r="C14" s="616">
        <v>156.98101</v>
      </c>
      <c r="D14" s="616">
        <v>132.15850999999898</v>
      </c>
      <c r="E14" s="616"/>
      <c r="F14" s="616">
        <v>161.53008</v>
      </c>
      <c r="G14" s="616">
        <v>147.89016071156541</v>
      </c>
      <c r="H14" s="616">
        <v>13.639919288434584</v>
      </c>
      <c r="I14" s="617">
        <v>1.092230066035542</v>
      </c>
      <c r="J14" s="618" t="s">
        <v>1</v>
      </c>
    </row>
    <row r="15" spans="1:10" ht="14.4" customHeight="1" x14ac:dyDescent="0.3">
      <c r="A15" s="614" t="s">
        <v>545</v>
      </c>
      <c r="B15" s="615" t="s">
        <v>352</v>
      </c>
      <c r="C15" s="616">
        <v>289.89930000000004</v>
      </c>
      <c r="D15" s="616">
        <v>276.69686999999897</v>
      </c>
      <c r="E15" s="616"/>
      <c r="F15" s="616">
        <v>172.03249</v>
      </c>
      <c r="G15" s="616">
        <v>256.31828992436289</v>
      </c>
      <c r="H15" s="616">
        <v>-84.285799924362891</v>
      </c>
      <c r="I15" s="617">
        <v>0.67116743815185864</v>
      </c>
      <c r="J15" s="618" t="s">
        <v>1</v>
      </c>
    </row>
    <row r="16" spans="1:10" ht="14.4" customHeight="1" x14ac:dyDescent="0.3">
      <c r="A16" s="614" t="s">
        <v>545</v>
      </c>
      <c r="B16" s="615" t="s">
        <v>548</v>
      </c>
      <c r="C16" s="616">
        <v>4504.2226600000004</v>
      </c>
      <c r="D16" s="616">
        <v>4291.8244199999863</v>
      </c>
      <c r="E16" s="616"/>
      <c r="F16" s="616">
        <v>4359.858240000005</v>
      </c>
      <c r="G16" s="616">
        <v>4644.3276769560371</v>
      </c>
      <c r="H16" s="616">
        <v>-284.46943695603204</v>
      </c>
      <c r="I16" s="617">
        <v>0.93874905976865142</v>
      </c>
      <c r="J16" s="618" t="s">
        <v>549</v>
      </c>
    </row>
    <row r="18" spans="1:10" ht="14.4" customHeight="1" x14ac:dyDescent="0.3">
      <c r="A18" s="614" t="s">
        <v>545</v>
      </c>
      <c r="B18" s="615" t="s">
        <v>546</v>
      </c>
      <c r="C18" s="616" t="s">
        <v>547</v>
      </c>
      <c r="D18" s="616" t="s">
        <v>547</v>
      </c>
      <c r="E18" s="616"/>
      <c r="F18" s="616" t="s">
        <v>547</v>
      </c>
      <c r="G18" s="616" t="s">
        <v>547</v>
      </c>
      <c r="H18" s="616" t="s">
        <v>547</v>
      </c>
      <c r="I18" s="617" t="s">
        <v>547</v>
      </c>
      <c r="J18" s="618" t="s">
        <v>74</v>
      </c>
    </row>
    <row r="19" spans="1:10" ht="14.4" customHeight="1" x14ac:dyDescent="0.3">
      <c r="A19" s="614" t="s">
        <v>550</v>
      </c>
      <c r="B19" s="615" t="s">
        <v>551</v>
      </c>
      <c r="C19" s="616" t="s">
        <v>547</v>
      </c>
      <c r="D19" s="616" t="s">
        <v>547</v>
      </c>
      <c r="E19" s="616"/>
      <c r="F19" s="616" t="s">
        <v>547</v>
      </c>
      <c r="G19" s="616" t="s">
        <v>547</v>
      </c>
      <c r="H19" s="616" t="s">
        <v>547</v>
      </c>
      <c r="I19" s="617" t="s">
        <v>547</v>
      </c>
      <c r="J19" s="618" t="s">
        <v>0</v>
      </c>
    </row>
    <row r="20" spans="1:10" ht="14.4" customHeight="1" x14ac:dyDescent="0.3">
      <c r="A20" s="614" t="s">
        <v>550</v>
      </c>
      <c r="B20" s="615" t="s">
        <v>343</v>
      </c>
      <c r="C20" s="616" t="s">
        <v>547</v>
      </c>
      <c r="D20" s="616">
        <v>0.114</v>
      </c>
      <c r="E20" s="616"/>
      <c r="F20" s="616">
        <v>0</v>
      </c>
      <c r="G20" s="616">
        <v>4.7499949689999994E-2</v>
      </c>
      <c r="H20" s="616">
        <v>-4.7499949689999994E-2</v>
      </c>
      <c r="I20" s="617">
        <v>0</v>
      </c>
      <c r="J20" s="618" t="s">
        <v>1</v>
      </c>
    </row>
    <row r="21" spans="1:10" ht="14.4" customHeight="1" x14ac:dyDescent="0.3">
      <c r="A21" s="614" t="s">
        <v>550</v>
      </c>
      <c r="B21" s="615" t="s">
        <v>345</v>
      </c>
      <c r="C21" s="616">
        <v>3.0578999999999996</v>
      </c>
      <c r="D21" s="616">
        <v>2.5908999999999995</v>
      </c>
      <c r="E21" s="616"/>
      <c r="F21" s="616">
        <v>2.6473699999999996</v>
      </c>
      <c r="G21" s="616">
        <v>2.6884748587937501</v>
      </c>
      <c r="H21" s="616">
        <v>-4.1104858793750587E-2</v>
      </c>
      <c r="I21" s="617">
        <v>0.98471071482803696</v>
      </c>
      <c r="J21" s="618" t="s">
        <v>1</v>
      </c>
    </row>
    <row r="22" spans="1:10" ht="14.4" customHeight="1" x14ac:dyDescent="0.3">
      <c r="A22" s="614" t="s">
        <v>550</v>
      </c>
      <c r="B22" s="615" t="s">
        <v>346</v>
      </c>
      <c r="C22" s="616">
        <v>8.9430999999999994</v>
      </c>
      <c r="D22" s="616">
        <v>1.6193000000000002</v>
      </c>
      <c r="E22" s="616"/>
      <c r="F22" s="616">
        <v>2.4866999999999999</v>
      </c>
      <c r="G22" s="616">
        <v>3.7132761930829168</v>
      </c>
      <c r="H22" s="616">
        <v>-1.2265761930829169</v>
      </c>
      <c r="I22" s="617">
        <v>0.66967816846810901</v>
      </c>
      <c r="J22" s="618" t="s">
        <v>1</v>
      </c>
    </row>
    <row r="23" spans="1:10" ht="14.4" customHeight="1" x14ac:dyDescent="0.3">
      <c r="A23" s="614" t="s">
        <v>550</v>
      </c>
      <c r="B23" s="615" t="s">
        <v>348</v>
      </c>
      <c r="C23" s="616">
        <v>7.6899999999999996E-2</v>
      </c>
      <c r="D23" s="616" t="s">
        <v>547</v>
      </c>
      <c r="E23" s="616"/>
      <c r="F23" s="616" t="s">
        <v>547</v>
      </c>
      <c r="G23" s="616" t="s">
        <v>547</v>
      </c>
      <c r="H23" s="616" t="s">
        <v>547</v>
      </c>
      <c r="I23" s="617" t="s">
        <v>547</v>
      </c>
      <c r="J23" s="618" t="s">
        <v>1</v>
      </c>
    </row>
    <row r="24" spans="1:10" ht="14.4" customHeight="1" x14ac:dyDescent="0.3">
      <c r="A24" s="614" t="s">
        <v>550</v>
      </c>
      <c r="B24" s="615" t="s">
        <v>350</v>
      </c>
      <c r="C24" s="616">
        <v>28.262270000000001</v>
      </c>
      <c r="D24" s="616">
        <v>11.492999999999</v>
      </c>
      <c r="E24" s="616"/>
      <c r="F24" s="616">
        <v>9.4152699999999996</v>
      </c>
      <c r="G24" s="616">
        <v>13.79735881999</v>
      </c>
      <c r="H24" s="616">
        <v>-4.3820888199900008</v>
      </c>
      <c r="I24" s="617">
        <v>0.68239654580548359</v>
      </c>
      <c r="J24" s="618" t="s">
        <v>1</v>
      </c>
    </row>
    <row r="25" spans="1:10" ht="14.4" customHeight="1" x14ac:dyDescent="0.3">
      <c r="A25" s="614" t="s">
        <v>550</v>
      </c>
      <c r="B25" s="615" t="s">
        <v>351</v>
      </c>
      <c r="C25" s="616">
        <v>0.19</v>
      </c>
      <c r="D25" s="616">
        <v>0.77</v>
      </c>
      <c r="E25" s="616"/>
      <c r="F25" s="616">
        <v>0.98</v>
      </c>
      <c r="G25" s="616">
        <v>0.75173904432999994</v>
      </c>
      <c r="H25" s="616">
        <v>0.22826095567000004</v>
      </c>
      <c r="I25" s="617">
        <v>1.303643874016736</v>
      </c>
      <c r="J25" s="618" t="s">
        <v>1</v>
      </c>
    </row>
    <row r="26" spans="1:10" ht="14.4" customHeight="1" x14ac:dyDescent="0.3">
      <c r="A26" s="614" t="s">
        <v>550</v>
      </c>
      <c r="B26" s="615" t="s">
        <v>352</v>
      </c>
      <c r="C26" s="616">
        <v>0</v>
      </c>
      <c r="D26" s="616" t="s">
        <v>547</v>
      </c>
      <c r="E26" s="616"/>
      <c r="F26" s="616" t="s">
        <v>547</v>
      </c>
      <c r="G26" s="616" t="s">
        <v>547</v>
      </c>
      <c r="H26" s="616" t="s">
        <v>547</v>
      </c>
      <c r="I26" s="617" t="s">
        <v>547</v>
      </c>
      <c r="J26" s="618" t="s">
        <v>1</v>
      </c>
    </row>
    <row r="27" spans="1:10" ht="14.4" customHeight="1" x14ac:dyDescent="0.3">
      <c r="A27" s="614" t="s">
        <v>550</v>
      </c>
      <c r="B27" s="615" t="s">
        <v>552</v>
      </c>
      <c r="C27" s="616">
        <v>40.530169999999998</v>
      </c>
      <c r="D27" s="616">
        <v>16.587199999999001</v>
      </c>
      <c r="E27" s="616"/>
      <c r="F27" s="616">
        <v>15.529339999999999</v>
      </c>
      <c r="G27" s="616">
        <v>20.998348865886669</v>
      </c>
      <c r="H27" s="616">
        <v>-5.4690088658866696</v>
      </c>
      <c r="I27" s="617">
        <v>0.73955052843362035</v>
      </c>
      <c r="J27" s="618" t="s">
        <v>553</v>
      </c>
    </row>
    <row r="28" spans="1:10" ht="14.4" customHeight="1" x14ac:dyDescent="0.3">
      <c r="A28" s="614" t="s">
        <v>547</v>
      </c>
      <c r="B28" s="615" t="s">
        <v>547</v>
      </c>
      <c r="C28" s="616" t="s">
        <v>547</v>
      </c>
      <c r="D28" s="616" t="s">
        <v>547</v>
      </c>
      <c r="E28" s="616"/>
      <c r="F28" s="616" t="s">
        <v>547</v>
      </c>
      <c r="G28" s="616" t="s">
        <v>547</v>
      </c>
      <c r="H28" s="616" t="s">
        <v>547</v>
      </c>
      <c r="I28" s="617" t="s">
        <v>547</v>
      </c>
      <c r="J28" s="618" t="s">
        <v>554</v>
      </c>
    </row>
    <row r="29" spans="1:10" ht="14.4" customHeight="1" x14ac:dyDescent="0.3">
      <c r="A29" s="614" t="s">
        <v>555</v>
      </c>
      <c r="B29" s="615" t="s">
        <v>556</v>
      </c>
      <c r="C29" s="616" t="s">
        <v>547</v>
      </c>
      <c r="D29" s="616" t="s">
        <v>547</v>
      </c>
      <c r="E29" s="616"/>
      <c r="F29" s="616" t="s">
        <v>547</v>
      </c>
      <c r="G29" s="616" t="s">
        <v>547</v>
      </c>
      <c r="H29" s="616" t="s">
        <v>547</v>
      </c>
      <c r="I29" s="617" t="s">
        <v>547</v>
      </c>
      <c r="J29" s="618" t="s">
        <v>0</v>
      </c>
    </row>
    <row r="30" spans="1:10" ht="14.4" customHeight="1" x14ac:dyDescent="0.3">
      <c r="A30" s="614" t="s">
        <v>555</v>
      </c>
      <c r="B30" s="615" t="s">
        <v>343</v>
      </c>
      <c r="C30" s="616">
        <v>294.90854000000002</v>
      </c>
      <c r="D30" s="616">
        <v>320.52269999999999</v>
      </c>
      <c r="E30" s="616"/>
      <c r="F30" s="616">
        <v>262.181160000001</v>
      </c>
      <c r="G30" s="616">
        <v>482.36497617877495</v>
      </c>
      <c r="H30" s="616">
        <v>-220.18381617877395</v>
      </c>
      <c r="I30" s="617">
        <v>0.54353274584104749</v>
      </c>
      <c r="J30" s="618" t="s">
        <v>1</v>
      </c>
    </row>
    <row r="31" spans="1:10" ht="14.4" customHeight="1" x14ac:dyDescent="0.3">
      <c r="A31" s="614" t="s">
        <v>555</v>
      </c>
      <c r="B31" s="615" t="s">
        <v>344</v>
      </c>
      <c r="C31" s="616">
        <v>5.0753900000000005</v>
      </c>
      <c r="D31" s="616">
        <v>1.1677699999989999</v>
      </c>
      <c r="E31" s="616"/>
      <c r="F31" s="616">
        <v>1.1836899999999999</v>
      </c>
      <c r="G31" s="616">
        <v>1.1704989921875</v>
      </c>
      <c r="H31" s="616">
        <v>1.3191007812499933E-2</v>
      </c>
      <c r="I31" s="617">
        <v>1.0112695593080758</v>
      </c>
      <c r="J31" s="618" t="s">
        <v>1</v>
      </c>
    </row>
    <row r="32" spans="1:10" ht="14.4" customHeight="1" x14ac:dyDescent="0.3">
      <c r="A32" s="614" t="s">
        <v>555</v>
      </c>
      <c r="B32" s="615" t="s">
        <v>345</v>
      </c>
      <c r="C32" s="616">
        <v>258.75477000000001</v>
      </c>
      <c r="D32" s="616">
        <v>178.58108999999899</v>
      </c>
      <c r="E32" s="616"/>
      <c r="F32" s="616">
        <v>214.29507000000001</v>
      </c>
      <c r="G32" s="616">
        <v>208.42013112215042</v>
      </c>
      <c r="H32" s="616">
        <v>5.874938877849587</v>
      </c>
      <c r="I32" s="617">
        <v>1.0281879626800849</v>
      </c>
      <c r="J32" s="618" t="s">
        <v>1</v>
      </c>
    </row>
    <row r="33" spans="1:10" ht="14.4" customHeight="1" x14ac:dyDescent="0.3">
      <c r="A33" s="614" t="s">
        <v>555</v>
      </c>
      <c r="B33" s="615" t="s">
        <v>346</v>
      </c>
      <c r="C33" s="616">
        <v>1577.0864199999999</v>
      </c>
      <c r="D33" s="616">
        <v>1596.8302600000002</v>
      </c>
      <c r="E33" s="616"/>
      <c r="F33" s="616">
        <v>1748.674930000002</v>
      </c>
      <c r="G33" s="616">
        <v>1699.6187091920499</v>
      </c>
      <c r="H33" s="616">
        <v>49.056220807952059</v>
      </c>
      <c r="I33" s="617">
        <v>1.0288630741369469</v>
      </c>
      <c r="J33" s="618" t="s">
        <v>1</v>
      </c>
    </row>
    <row r="34" spans="1:10" ht="14.4" customHeight="1" x14ac:dyDescent="0.3">
      <c r="A34" s="614" t="s">
        <v>555</v>
      </c>
      <c r="B34" s="615" t="s">
        <v>347</v>
      </c>
      <c r="C34" s="616">
        <v>4.3859399999999997</v>
      </c>
      <c r="D34" s="616">
        <v>0</v>
      </c>
      <c r="E34" s="616"/>
      <c r="F34" s="616">
        <v>0</v>
      </c>
      <c r="G34" s="616">
        <v>0.83333333333333326</v>
      </c>
      <c r="H34" s="616">
        <v>-0.83333333333333326</v>
      </c>
      <c r="I34" s="617">
        <v>0</v>
      </c>
      <c r="J34" s="618" t="s">
        <v>1</v>
      </c>
    </row>
    <row r="35" spans="1:10" ht="14.4" customHeight="1" x14ac:dyDescent="0.3">
      <c r="A35" s="614" t="s">
        <v>555</v>
      </c>
      <c r="B35" s="615" t="s">
        <v>348</v>
      </c>
      <c r="C35" s="616">
        <v>87.982210000000009</v>
      </c>
      <c r="D35" s="616">
        <v>101.94717</v>
      </c>
      <c r="E35" s="616"/>
      <c r="F35" s="616">
        <v>93.655460000000005</v>
      </c>
      <c r="G35" s="616">
        <v>131.68019608119292</v>
      </c>
      <c r="H35" s="616">
        <v>-38.024736081192913</v>
      </c>
      <c r="I35" s="617">
        <v>0.71123420823472061</v>
      </c>
      <c r="J35" s="618" t="s">
        <v>1</v>
      </c>
    </row>
    <row r="36" spans="1:10" ht="14.4" customHeight="1" x14ac:dyDescent="0.3">
      <c r="A36" s="614" t="s">
        <v>555</v>
      </c>
      <c r="B36" s="615" t="s">
        <v>349</v>
      </c>
      <c r="C36" s="616">
        <v>16.343090000000004</v>
      </c>
      <c r="D36" s="616">
        <v>22.678049999999999</v>
      </c>
      <c r="E36" s="616"/>
      <c r="F36" s="616">
        <v>18.854950000000002</v>
      </c>
      <c r="G36" s="616">
        <v>20.865109825465833</v>
      </c>
      <c r="H36" s="616">
        <v>-2.0101598254658306</v>
      </c>
      <c r="I36" s="617">
        <v>0.9036592741528523</v>
      </c>
      <c r="J36" s="618" t="s">
        <v>1</v>
      </c>
    </row>
    <row r="37" spans="1:10" ht="14.4" customHeight="1" x14ac:dyDescent="0.3">
      <c r="A37" s="614" t="s">
        <v>555</v>
      </c>
      <c r="B37" s="615" t="s">
        <v>350</v>
      </c>
      <c r="C37" s="616">
        <v>14.378509999999999</v>
      </c>
      <c r="D37" s="616">
        <v>13.072970000000002</v>
      </c>
      <c r="E37" s="616"/>
      <c r="F37" s="616">
        <v>12.060379999999999</v>
      </c>
      <c r="G37" s="616">
        <v>11.464760625291667</v>
      </c>
      <c r="H37" s="616">
        <v>0.59561937470833115</v>
      </c>
      <c r="I37" s="617">
        <v>1.0519521858480301</v>
      </c>
      <c r="J37" s="618" t="s">
        <v>1</v>
      </c>
    </row>
    <row r="38" spans="1:10" ht="14.4" customHeight="1" x14ac:dyDescent="0.3">
      <c r="A38" s="614" t="s">
        <v>555</v>
      </c>
      <c r="B38" s="615" t="s">
        <v>351</v>
      </c>
      <c r="C38" s="616">
        <v>101.85039999999999</v>
      </c>
      <c r="D38" s="616">
        <v>91.212999999999994</v>
      </c>
      <c r="E38" s="616"/>
      <c r="F38" s="616">
        <v>111.9726</v>
      </c>
      <c r="G38" s="616">
        <v>101.62353972425376</v>
      </c>
      <c r="H38" s="616">
        <v>10.34906027574624</v>
      </c>
      <c r="I38" s="617">
        <v>1.1018372347964602</v>
      </c>
      <c r="J38" s="618" t="s">
        <v>1</v>
      </c>
    </row>
    <row r="39" spans="1:10" ht="14.4" customHeight="1" x14ac:dyDescent="0.3">
      <c r="A39" s="614" t="s">
        <v>555</v>
      </c>
      <c r="B39" s="615" t="s">
        <v>352</v>
      </c>
      <c r="C39" s="616">
        <v>245.91050000000001</v>
      </c>
      <c r="D39" s="616">
        <v>239.45500999999899</v>
      </c>
      <c r="E39" s="616"/>
      <c r="F39" s="616">
        <v>137.36339000000001</v>
      </c>
      <c r="G39" s="616">
        <v>220.34229230737083</v>
      </c>
      <c r="H39" s="616">
        <v>-82.978902307370817</v>
      </c>
      <c r="I39" s="617">
        <v>0.62340909936791544</v>
      </c>
      <c r="J39" s="618" t="s">
        <v>1</v>
      </c>
    </row>
    <row r="40" spans="1:10" ht="14.4" customHeight="1" x14ac:dyDescent="0.3">
      <c r="A40" s="614" t="s">
        <v>555</v>
      </c>
      <c r="B40" s="615" t="s">
        <v>557</v>
      </c>
      <c r="C40" s="616">
        <v>2606.6757699999998</v>
      </c>
      <c r="D40" s="616">
        <v>2565.4680199999975</v>
      </c>
      <c r="E40" s="616"/>
      <c r="F40" s="616">
        <v>2600.2416300000027</v>
      </c>
      <c r="G40" s="616">
        <v>2878.3835473820714</v>
      </c>
      <c r="H40" s="616">
        <v>-278.14191738206864</v>
      </c>
      <c r="I40" s="617">
        <v>0.90336870927606483</v>
      </c>
      <c r="J40" s="618" t="s">
        <v>553</v>
      </c>
    </row>
    <row r="41" spans="1:10" ht="14.4" customHeight="1" x14ac:dyDescent="0.3">
      <c r="A41" s="614" t="s">
        <v>547</v>
      </c>
      <c r="B41" s="615" t="s">
        <v>547</v>
      </c>
      <c r="C41" s="616" t="s">
        <v>547</v>
      </c>
      <c r="D41" s="616" t="s">
        <v>547</v>
      </c>
      <c r="E41" s="616"/>
      <c r="F41" s="616" t="s">
        <v>547</v>
      </c>
      <c r="G41" s="616" t="s">
        <v>547</v>
      </c>
      <c r="H41" s="616" t="s">
        <v>547</v>
      </c>
      <c r="I41" s="617" t="s">
        <v>547</v>
      </c>
      <c r="J41" s="618" t="s">
        <v>554</v>
      </c>
    </row>
    <row r="42" spans="1:10" ht="14.4" customHeight="1" x14ac:dyDescent="0.3">
      <c r="A42" s="614" t="s">
        <v>558</v>
      </c>
      <c r="B42" s="615" t="s">
        <v>559</v>
      </c>
      <c r="C42" s="616" t="s">
        <v>547</v>
      </c>
      <c r="D42" s="616" t="s">
        <v>547</v>
      </c>
      <c r="E42" s="616"/>
      <c r="F42" s="616" t="s">
        <v>547</v>
      </c>
      <c r="G42" s="616" t="s">
        <v>547</v>
      </c>
      <c r="H42" s="616" t="s">
        <v>547</v>
      </c>
      <c r="I42" s="617" t="s">
        <v>547</v>
      </c>
      <c r="J42" s="618" t="s">
        <v>0</v>
      </c>
    </row>
    <row r="43" spans="1:10" ht="14.4" customHeight="1" x14ac:dyDescent="0.3">
      <c r="A43" s="614" t="s">
        <v>558</v>
      </c>
      <c r="B43" s="615" t="s">
        <v>343</v>
      </c>
      <c r="C43" s="616">
        <v>3.5809199999999999</v>
      </c>
      <c r="D43" s="616">
        <v>2.574179999999</v>
      </c>
      <c r="E43" s="616"/>
      <c r="F43" s="616">
        <v>1.3721400000000001</v>
      </c>
      <c r="G43" s="616">
        <v>2.5336473164795832</v>
      </c>
      <c r="H43" s="616">
        <v>-1.1615073164795831</v>
      </c>
      <c r="I43" s="617">
        <v>0.54156708831383127</v>
      </c>
      <c r="J43" s="618" t="s">
        <v>1</v>
      </c>
    </row>
    <row r="44" spans="1:10" ht="14.4" customHeight="1" x14ac:dyDescent="0.3">
      <c r="A44" s="614" t="s">
        <v>558</v>
      </c>
      <c r="B44" s="615" t="s">
        <v>345</v>
      </c>
      <c r="C44" s="616">
        <v>52.902619999999999</v>
      </c>
      <c r="D44" s="616">
        <v>43.522149999999002</v>
      </c>
      <c r="E44" s="616"/>
      <c r="F44" s="616">
        <v>45.806940000000004</v>
      </c>
      <c r="G44" s="616">
        <v>43.74187475138833</v>
      </c>
      <c r="H44" s="616">
        <v>2.0650652486116741</v>
      </c>
      <c r="I44" s="617">
        <v>1.0472102592846946</v>
      </c>
      <c r="J44" s="618" t="s">
        <v>1</v>
      </c>
    </row>
    <row r="45" spans="1:10" ht="14.4" customHeight="1" x14ac:dyDescent="0.3">
      <c r="A45" s="614" t="s">
        <v>558</v>
      </c>
      <c r="B45" s="615" t="s">
        <v>346</v>
      </c>
      <c r="C45" s="616">
        <v>602.50805000000003</v>
      </c>
      <c r="D45" s="616">
        <v>546.02778999999998</v>
      </c>
      <c r="E45" s="616"/>
      <c r="F45" s="616">
        <v>636.13740000000098</v>
      </c>
      <c r="G45" s="616">
        <v>576.92673398462921</v>
      </c>
      <c r="H45" s="616">
        <v>59.210666015371771</v>
      </c>
      <c r="I45" s="617">
        <v>1.1026311705238976</v>
      </c>
      <c r="J45" s="618" t="s">
        <v>1</v>
      </c>
    </row>
    <row r="46" spans="1:10" ht="14.4" customHeight="1" x14ac:dyDescent="0.3">
      <c r="A46" s="614" t="s">
        <v>558</v>
      </c>
      <c r="B46" s="615" t="s">
        <v>348</v>
      </c>
      <c r="C46" s="616">
        <v>24.6416</v>
      </c>
      <c r="D46" s="616">
        <v>28.969599999998998</v>
      </c>
      <c r="E46" s="616"/>
      <c r="F46" s="616">
        <v>39.074599999999997</v>
      </c>
      <c r="G46" s="616">
        <v>33.323022862032502</v>
      </c>
      <c r="H46" s="616">
        <v>5.7515771379674945</v>
      </c>
      <c r="I46" s="617">
        <v>1.1726007019765519</v>
      </c>
      <c r="J46" s="618" t="s">
        <v>1</v>
      </c>
    </row>
    <row r="47" spans="1:10" ht="14.4" customHeight="1" x14ac:dyDescent="0.3">
      <c r="A47" s="614" t="s">
        <v>558</v>
      </c>
      <c r="B47" s="615" t="s">
        <v>350</v>
      </c>
      <c r="C47" s="616">
        <v>63.888169999999995</v>
      </c>
      <c r="D47" s="616">
        <v>32.796029999999</v>
      </c>
      <c r="E47" s="616"/>
      <c r="F47" s="616">
        <v>40.494250000000001</v>
      </c>
      <c r="G47" s="616">
        <v>47.116944809250832</v>
      </c>
      <c r="H47" s="616">
        <v>-6.6226948092508309</v>
      </c>
      <c r="I47" s="617">
        <v>0.85944133610397955</v>
      </c>
      <c r="J47" s="618" t="s">
        <v>1</v>
      </c>
    </row>
    <row r="48" spans="1:10" ht="14.4" customHeight="1" x14ac:dyDescent="0.3">
      <c r="A48" s="614" t="s">
        <v>558</v>
      </c>
      <c r="B48" s="615" t="s">
        <v>351</v>
      </c>
      <c r="C48" s="616">
        <v>21.404299999999999</v>
      </c>
      <c r="D48" s="616">
        <v>16.390160000000002</v>
      </c>
      <c r="E48" s="616"/>
      <c r="F48" s="616">
        <v>21.312780000000004</v>
      </c>
      <c r="G48" s="616">
        <v>18.794748021988752</v>
      </c>
      <c r="H48" s="616">
        <v>2.5180319780112512</v>
      </c>
      <c r="I48" s="617">
        <v>1.1339752985815665</v>
      </c>
      <c r="J48" s="618" t="s">
        <v>1</v>
      </c>
    </row>
    <row r="49" spans="1:10" ht="14.4" customHeight="1" x14ac:dyDescent="0.3">
      <c r="A49" s="614" t="s">
        <v>558</v>
      </c>
      <c r="B49" s="615" t="s">
        <v>352</v>
      </c>
      <c r="C49" s="616">
        <v>0</v>
      </c>
      <c r="D49" s="616">
        <v>0</v>
      </c>
      <c r="E49" s="616"/>
      <c r="F49" s="616" t="s">
        <v>547</v>
      </c>
      <c r="G49" s="616" t="s">
        <v>547</v>
      </c>
      <c r="H49" s="616" t="s">
        <v>547</v>
      </c>
      <c r="I49" s="617" t="s">
        <v>547</v>
      </c>
      <c r="J49" s="618" t="s">
        <v>1</v>
      </c>
    </row>
    <row r="50" spans="1:10" ht="14.4" customHeight="1" x14ac:dyDescent="0.3">
      <c r="A50" s="614" t="s">
        <v>558</v>
      </c>
      <c r="B50" s="615" t="s">
        <v>560</v>
      </c>
      <c r="C50" s="616">
        <v>768.92565999999999</v>
      </c>
      <c r="D50" s="616">
        <v>670.27990999999599</v>
      </c>
      <c r="E50" s="616"/>
      <c r="F50" s="616">
        <v>784.19811000000095</v>
      </c>
      <c r="G50" s="616">
        <v>722.43697174576926</v>
      </c>
      <c r="H50" s="616">
        <v>61.761138254231696</v>
      </c>
      <c r="I50" s="617">
        <v>1.085490002131239</v>
      </c>
      <c r="J50" s="618" t="s">
        <v>553</v>
      </c>
    </row>
    <row r="51" spans="1:10" ht="14.4" customHeight="1" x14ac:dyDescent="0.3">
      <c r="A51" s="614" t="s">
        <v>547</v>
      </c>
      <c r="B51" s="615" t="s">
        <v>547</v>
      </c>
      <c r="C51" s="616" t="s">
        <v>547</v>
      </c>
      <c r="D51" s="616" t="s">
        <v>547</v>
      </c>
      <c r="E51" s="616"/>
      <c r="F51" s="616" t="s">
        <v>547</v>
      </c>
      <c r="G51" s="616" t="s">
        <v>547</v>
      </c>
      <c r="H51" s="616" t="s">
        <v>547</v>
      </c>
      <c r="I51" s="617" t="s">
        <v>547</v>
      </c>
      <c r="J51" s="618" t="s">
        <v>554</v>
      </c>
    </row>
    <row r="52" spans="1:10" ht="14.4" customHeight="1" x14ac:dyDescent="0.3">
      <c r="A52" s="614" t="s">
        <v>561</v>
      </c>
      <c r="B52" s="615" t="s">
        <v>562</v>
      </c>
      <c r="C52" s="616" t="s">
        <v>547</v>
      </c>
      <c r="D52" s="616" t="s">
        <v>547</v>
      </c>
      <c r="E52" s="616"/>
      <c r="F52" s="616" t="s">
        <v>547</v>
      </c>
      <c r="G52" s="616" t="s">
        <v>547</v>
      </c>
      <c r="H52" s="616" t="s">
        <v>547</v>
      </c>
      <c r="I52" s="617" t="s">
        <v>547</v>
      </c>
      <c r="J52" s="618" t="s">
        <v>0</v>
      </c>
    </row>
    <row r="53" spans="1:10" ht="14.4" customHeight="1" x14ac:dyDescent="0.3">
      <c r="A53" s="614" t="s">
        <v>561</v>
      </c>
      <c r="B53" s="615" t="s">
        <v>343</v>
      </c>
      <c r="C53" s="616">
        <v>0.86184000000000005</v>
      </c>
      <c r="D53" s="616">
        <v>1.8295199999989999</v>
      </c>
      <c r="E53" s="616"/>
      <c r="F53" s="616">
        <v>1.5246000000000002</v>
      </c>
      <c r="G53" s="616">
        <v>2.2233726451079168</v>
      </c>
      <c r="H53" s="616">
        <v>-0.69877264510791659</v>
      </c>
      <c r="I53" s="617">
        <v>0.68571501199071383</v>
      </c>
      <c r="J53" s="618" t="s">
        <v>1</v>
      </c>
    </row>
    <row r="54" spans="1:10" ht="14.4" customHeight="1" x14ac:dyDescent="0.3">
      <c r="A54" s="614" t="s">
        <v>561</v>
      </c>
      <c r="B54" s="615" t="s">
        <v>345</v>
      </c>
      <c r="C54" s="616">
        <v>83.388640000000009</v>
      </c>
      <c r="D54" s="616">
        <v>75.662440000000004</v>
      </c>
      <c r="E54" s="616"/>
      <c r="F54" s="616">
        <v>58.213659999999997</v>
      </c>
      <c r="G54" s="616">
        <v>72.343309982391673</v>
      </c>
      <c r="H54" s="616">
        <v>-14.129649982391676</v>
      </c>
      <c r="I54" s="617">
        <v>0.80468615569524227</v>
      </c>
      <c r="J54" s="618" t="s">
        <v>1</v>
      </c>
    </row>
    <row r="55" spans="1:10" ht="14.4" customHeight="1" x14ac:dyDescent="0.3">
      <c r="A55" s="614" t="s">
        <v>561</v>
      </c>
      <c r="B55" s="615" t="s">
        <v>346</v>
      </c>
      <c r="C55" s="616">
        <v>707.54617000000007</v>
      </c>
      <c r="D55" s="616">
        <v>732.15872999999999</v>
      </c>
      <c r="E55" s="616"/>
      <c r="F55" s="616">
        <v>680.60933000000102</v>
      </c>
      <c r="G55" s="616">
        <v>702.96717793966661</v>
      </c>
      <c r="H55" s="616">
        <v>-22.357847939665589</v>
      </c>
      <c r="I55" s="617">
        <v>0.96819503293853004</v>
      </c>
      <c r="J55" s="618" t="s">
        <v>1</v>
      </c>
    </row>
    <row r="56" spans="1:10" ht="14.4" customHeight="1" x14ac:dyDescent="0.3">
      <c r="A56" s="614" t="s">
        <v>561</v>
      </c>
      <c r="B56" s="615" t="s">
        <v>348</v>
      </c>
      <c r="C56" s="616">
        <v>25.256799999999998</v>
      </c>
      <c r="D56" s="616">
        <v>43.683999999999003</v>
      </c>
      <c r="E56" s="616"/>
      <c r="F56" s="616">
        <v>41.349179999999997</v>
      </c>
      <c r="G56" s="616">
        <v>45.332995477524996</v>
      </c>
      <c r="H56" s="616">
        <v>-3.983815477524999</v>
      </c>
      <c r="I56" s="617">
        <v>0.91212106247203373</v>
      </c>
      <c r="J56" s="618" t="s">
        <v>1</v>
      </c>
    </row>
    <row r="57" spans="1:10" ht="14.4" customHeight="1" x14ac:dyDescent="0.3">
      <c r="A57" s="614" t="s">
        <v>561</v>
      </c>
      <c r="B57" s="615" t="s">
        <v>349</v>
      </c>
      <c r="C57" s="616">
        <v>12.44744</v>
      </c>
      <c r="D57" s="616">
        <v>12.55664</v>
      </c>
      <c r="E57" s="616"/>
      <c r="F57" s="616">
        <v>13.812339999999999</v>
      </c>
      <c r="G57" s="616">
        <v>13.047810292340834</v>
      </c>
      <c r="H57" s="616">
        <v>0.76452970765916461</v>
      </c>
      <c r="I57" s="617">
        <v>1.058594483712562</v>
      </c>
      <c r="J57" s="618" t="s">
        <v>1</v>
      </c>
    </row>
    <row r="58" spans="1:10" ht="14.4" customHeight="1" x14ac:dyDescent="0.3">
      <c r="A58" s="614" t="s">
        <v>561</v>
      </c>
      <c r="B58" s="615" t="s">
        <v>350</v>
      </c>
      <c r="C58" s="616">
        <v>69.85127</v>
      </c>
      <c r="D58" s="616">
        <v>46.876410000000007</v>
      </c>
      <c r="E58" s="616"/>
      <c r="F58" s="616">
        <v>20.98386</v>
      </c>
      <c r="G58" s="616">
        <v>51.741977537787079</v>
      </c>
      <c r="H58" s="616">
        <v>-30.758117537787079</v>
      </c>
      <c r="I58" s="617">
        <v>0.40554808684448757</v>
      </c>
      <c r="J58" s="618" t="s">
        <v>1</v>
      </c>
    </row>
    <row r="59" spans="1:10" ht="14.4" customHeight="1" x14ac:dyDescent="0.3">
      <c r="A59" s="614" t="s">
        <v>561</v>
      </c>
      <c r="B59" s="615" t="s">
        <v>351</v>
      </c>
      <c r="C59" s="616">
        <v>26.07131</v>
      </c>
      <c r="D59" s="616">
        <v>18.225599999999002</v>
      </c>
      <c r="E59" s="616"/>
      <c r="F59" s="616">
        <v>20.3367</v>
      </c>
      <c r="G59" s="616">
        <v>20.295576642516664</v>
      </c>
      <c r="H59" s="616">
        <v>4.1123357483336065E-2</v>
      </c>
      <c r="I59" s="617">
        <v>1.0020262226694849</v>
      </c>
      <c r="J59" s="618" t="s">
        <v>1</v>
      </c>
    </row>
    <row r="60" spans="1:10" ht="14.4" customHeight="1" x14ac:dyDescent="0.3">
      <c r="A60" s="614" t="s">
        <v>561</v>
      </c>
      <c r="B60" s="615" t="s">
        <v>352</v>
      </c>
      <c r="C60" s="616">
        <v>43.988799999999998</v>
      </c>
      <c r="D60" s="616">
        <v>37.241860000000003</v>
      </c>
      <c r="E60" s="616"/>
      <c r="F60" s="616">
        <v>34.6691</v>
      </c>
      <c r="G60" s="616">
        <v>35.975997616992082</v>
      </c>
      <c r="H60" s="616">
        <v>-1.3068976169920816</v>
      </c>
      <c r="I60" s="617">
        <v>0.96367306805760933</v>
      </c>
      <c r="J60" s="618" t="s">
        <v>1</v>
      </c>
    </row>
    <row r="61" spans="1:10" ht="14.4" customHeight="1" x14ac:dyDescent="0.3">
      <c r="A61" s="614" t="s">
        <v>561</v>
      </c>
      <c r="B61" s="615" t="s">
        <v>563</v>
      </c>
      <c r="C61" s="616">
        <v>969.41227000000015</v>
      </c>
      <c r="D61" s="616">
        <v>968.23519999999701</v>
      </c>
      <c r="E61" s="616"/>
      <c r="F61" s="616">
        <v>871.49877000000095</v>
      </c>
      <c r="G61" s="616">
        <v>943.92821813432784</v>
      </c>
      <c r="H61" s="616">
        <v>-72.42944813432689</v>
      </c>
      <c r="I61" s="617">
        <v>0.92326805498252451</v>
      </c>
      <c r="J61" s="618" t="s">
        <v>553</v>
      </c>
    </row>
    <row r="62" spans="1:10" ht="14.4" customHeight="1" x14ac:dyDescent="0.3">
      <c r="A62" s="614" t="s">
        <v>547</v>
      </c>
      <c r="B62" s="615" t="s">
        <v>547</v>
      </c>
      <c r="C62" s="616" t="s">
        <v>547</v>
      </c>
      <c r="D62" s="616" t="s">
        <v>547</v>
      </c>
      <c r="E62" s="616"/>
      <c r="F62" s="616" t="s">
        <v>547</v>
      </c>
      <c r="G62" s="616" t="s">
        <v>547</v>
      </c>
      <c r="H62" s="616" t="s">
        <v>547</v>
      </c>
      <c r="I62" s="617" t="s">
        <v>547</v>
      </c>
      <c r="J62" s="618" t="s">
        <v>554</v>
      </c>
    </row>
    <row r="63" spans="1:10" ht="14.4" customHeight="1" x14ac:dyDescent="0.3">
      <c r="A63" s="614" t="s">
        <v>564</v>
      </c>
      <c r="B63" s="615" t="s">
        <v>565</v>
      </c>
      <c r="C63" s="616" t="s">
        <v>547</v>
      </c>
      <c r="D63" s="616" t="s">
        <v>547</v>
      </c>
      <c r="E63" s="616"/>
      <c r="F63" s="616" t="s">
        <v>547</v>
      </c>
      <c r="G63" s="616" t="s">
        <v>547</v>
      </c>
      <c r="H63" s="616" t="s">
        <v>547</v>
      </c>
      <c r="I63" s="617" t="s">
        <v>547</v>
      </c>
      <c r="J63" s="618" t="s">
        <v>0</v>
      </c>
    </row>
    <row r="64" spans="1:10" ht="14.4" customHeight="1" x14ac:dyDescent="0.3">
      <c r="A64" s="614" t="s">
        <v>564</v>
      </c>
      <c r="B64" s="615" t="s">
        <v>343</v>
      </c>
      <c r="C64" s="616">
        <v>0</v>
      </c>
      <c r="D64" s="616" t="s">
        <v>547</v>
      </c>
      <c r="E64" s="616"/>
      <c r="F64" s="616" t="s">
        <v>547</v>
      </c>
      <c r="G64" s="616" t="s">
        <v>547</v>
      </c>
      <c r="H64" s="616" t="s">
        <v>547</v>
      </c>
      <c r="I64" s="617" t="s">
        <v>547</v>
      </c>
      <c r="J64" s="618" t="s">
        <v>1</v>
      </c>
    </row>
    <row r="65" spans="1:10" ht="14.4" customHeight="1" x14ac:dyDescent="0.3">
      <c r="A65" s="614" t="s">
        <v>564</v>
      </c>
      <c r="B65" s="615" t="s">
        <v>345</v>
      </c>
      <c r="C65" s="616">
        <v>1.1749699999999998</v>
      </c>
      <c r="D65" s="616">
        <v>0.52851999999999999</v>
      </c>
      <c r="E65" s="616"/>
      <c r="F65" s="616">
        <v>0.44379999999999997</v>
      </c>
      <c r="G65" s="616">
        <v>0.59409794400458327</v>
      </c>
      <c r="H65" s="616">
        <v>-0.15029794400458329</v>
      </c>
      <c r="I65" s="617">
        <v>0.74701487267994349</v>
      </c>
      <c r="J65" s="618" t="s">
        <v>1</v>
      </c>
    </row>
    <row r="66" spans="1:10" ht="14.4" customHeight="1" x14ac:dyDescent="0.3">
      <c r="A66" s="614" t="s">
        <v>564</v>
      </c>
      <c r="B66" s="615" t="s">
        <v>346</v>
      </c>
      <c r="C66" s="616">
        <v>28.079020000000003</v>
      </c>
      <c r="D66" s="616">
        <v>22.184820000000002</v>
      </c>
      <c r="E66" s="616"/>
      <c r="F66" s="616">
        <v>18.851939999999999</v>
      </c>
      <c r="G66" s="616">
        <v>22.050358885893331</v>
      </c>
      <c r="H66" s="616">
        <v>-3.1984188858933322</v>
      </c>
      <c r="I66" s="617">
        <v>0.85494935014688067</v>
      </c>
      <c r="J66" s="618" t="s">
        <v>1</v>
      </c>
    </row>
    <row r="67" spans="1:10" ht="14.4" customHeight="1" x14ac:dyDescent="0.3">
      <c r="A67" s="614" t="s">
        <v>564</v>
      </c>
      <c r="B67" s="615" t="s">
        <v>348</v>
      </c>
      <c r="C67" s="616">
        <v>0</v>
      </c>
      <c r="D67" s="616">
        <v>0.32620000000000005</v>
      </c>
      <c r="E67" s="616"/>
      <c r="F67" s="616">
        <v>0</v>
      </c>
      <c r="G67" s="616">
        <v>0.53332383616666668</v>
      </c>
      <c r="H67" s="616">
        <v>-0.53332383616666668</v>
      </c>
      <c r="I67" s="617">
        <v>0</v>
      </c>
      <c r="J67" s="618" t="s">
        <v>1</v>
      </c>
    </row>
    <row r="68" spans="1:10" ht="14.4" customHeight="1" x14ac:dyDescent="0.3">
      <c r="A68" s="614" t="s">
        <v>564</v>
      </c>
      <c r="B68" s="615" t="s">
        <v>350</v>
      </c>
      <c r="C68" s="616">
        <v>0.34299999999999997</v>
      </c>
      <c r="D68" s="616">
        <v>0.35699999999900001</v>
      </c>
      <c r="E68" s="616"/>
      <c r="F68" s="616">
        <v>0.215</v>
      </c>
      <c r="G68" s="616">
        <v>0.47425172527124998</v>
      </c>
      <c r="H68" s="616">
        <v>-0.25925172527124996</v>
      </c>
      <c r="I68" s="617">
        <v>0.45334574139299116</v>
      </c>
      <c r="J68" s="618" t="s">
        <v>1</v>
      </c>
    </row>
    <row r="69" spans="1:10" ht="14.4" customHeight="1" x14ac:dyDescent="0.3">
      <c r="A69" s="614" t="s">
        <v>564</v>
      </c>
      <c r="B69" s="615" t="s">
        <v>351</v>
      </c>
      <c r="C69" s="616">
        <v>5.9739999999999993</v>
      </c>
      <c r="D69" s="616">
        <v>4.9529999999999994</v>
      </c>
      <c r="E69" s="616"/>
      <c r="F69" s="616">
        <v>5.3930000000000007</v>
      </c>
      <c r="G69" s="616">
        <v>5.2740050659287494</v>
      </c>
      <c r="H69" s="616">
        <v>0.11899493407125128</v>
      </c>
      <c r="I69" s="617">
        <v>1.0225625369304223</v>
      </c>
      <c r="J69" s="618" t="s">
        <v>1</v>
      </c>
    </row>
    <row r="70" spans="1:10" ht="14.4" customHeight="1" x14ac:dyDescent="0.3">
      <c r="A70" s="614" t="s">
        <v>564</v>
      </c>
      <c r="B70" s="615" t="s">
        <v>566</v>
      </c>
      <c r="C70" s="616">
        <v>35.570990000000002</v>
      </c>
      <c r="D70" s="616">
        <v>28.349539999999003</v>
      </c>
      <c r="E70" s="616"/>
      <c r="F70" s="616">
        <v>24.903739999999999</v>
      </c>
      <c r="G70" s="616">
        <v>28.926037457264584</v>
      </c>
      <c r="H70" s="616">
        <v>-4.0222974572645853</v>
      </c>
      <c r="I70" s="617">
        <v>0.86094543840624072</v>
      </c>
      <c r="J70" s="618" t="s">
        <v>553</v>
      </c>
    </row>
    <row r="71" spans="1:10" ht="14.4" customHeight="1" x14ac:dyDescent="0.3">
      <c r="A71" s="614" t="s">
        <v>547</v>
      </c>
      <c r="B71" s="615" t="s">
        <v>547</v>
      </c>
      <c r="C71" s="616" t="s">
        <v>547</v>
      </c>
      <c r="D71" s="616" t="s">
        <v>547</v>
      </c>
      <c r="E71" s="616"/>
      <c r="F71" s="616" t="s">
        <v>547</v>
      </c>
      <c r="G71" s="616" t="s">
        <v>547</v>
      </c>
      <c r="H71" s="616" t="s">
        <v>547</v>
      </c>
      <c r="I71" s="617" t="s">
        <v>547</v>
      </c>
      <c r="J71" s="618" t="s">
        <v>554</v>
      </c>
    </row>
    <row r="72" spans="1:10" ht="14.4" customHeight="1" x14ac:dyDescent="0.3">
      <c r="A72" s="614" t="s">
        <v>567</v>
      </c>
      <c r="B72" s="615" t="s">
        <v>568</v>
      </c>
      <c r="C72" s="616" t="s">
        <v>547</v>
      </c>
      <c r="D72" s="616" t="s">
        <v>547</v>
      </c>
      <c r="E72" s="616"/>
      <c r="F72" s="616" t="s">
        <v>547</v>
      </c>
      <c r="G72" s="616" t="s">
        <v>547</v>
      </c>
      <c r="H72" s="616" t="s">
        <v>547</v>
      </c>
      <c r="I72" s="617" t="s">
        <v>547</v>
      </c>
      <c r="J72" s="618" t="s">
        <v>0</v>
      </c>
    </row>
    <row r="73" spans="1:10" ht="14.4" customHeight="1" x14ac:dyDescent="0.3">
      <c r="A73" s="614" t="s">
        <v>567</v>
      </c>
      <c r="B73" s="615" t="s">
        <v>345</v>
      </c>
      <c r="C73" s="616">
        <v>12.663900000000002</v>
      </c>
      <c r="D73" s="616">
        <v>0.59540000000000004</v>
      </c>
      <c r="E73" s="616"/>
      <c r="F73" s="616">
        <v>3.9370400000000001</v>
      </c>
      <c r="G73" s="616">
        <v>2.6798309603420831</v>
      </c>
      <c r="H73" s="616">
        <v>1.257209039657917</v>
      </c>
      <c r="I73" s="617">
        <v>1.4691374412277978</v>
      </c>
      <c r="J73" s="618" t="s">
        <v>1</v>
      </c>
    </row>
    <row r="74" spans="1:10" ht="14.4" customHeight="1" x14ac:dyDescent="0.3">
      <c r="A74" s="614" t="s">
        <v>567</v>
      </c>
      <c r="B74" s="615" t="s">
        <v>346</v>
      </c>
      <c r="C74" s="616">
        <v>64.106899999999996</v>
      </c>
      <c r="D74" s="616">
        <v>39.201949999999002</v>
      </c>
      <c r="E74" s="616"/>
      <c r="F74" s="616">
        <v>54.360229999999994</v>
      </c>
      <c r="G74" s="616">
        <v>41.59563940334084</v>
      </c>
      <c r="H74" s="616">
        <v>12.764590596659154</v>
      </c>
      <c r="I74" s="617">
        <v>1.306873287194473</v>
      </c>
      <c r="J74" s="618" t="s">
        <v>1</v>
      </c>
    </row>
    <row r="75" spans="1:10" ht="14.4" customHeight="1" x14ac:dyDescent="0.3">
      <c r="A75" s="614" t="s">
        <v>567</v>
      </c>
      <c r="B75" s="615" t="s">
        <v>348</v>
      </c>
      <c r="C75" s="616">
        <v>0.77</v>
      </c>
      <c r="D75" s="616">
        <v>0</v>
      </c>
      <c r="E75" s="616"/>
      <c r="F75" s="616">
        <v>0.81599999999999995</v>
      </c>
      <c r="G75" s="616">
        <v>0.74973872940666664</v>
      </c>
      <c r="H75" s="616">
        <v>6.626127059333331E-2</v>
      </c>
      <c r="I75" s="617">
        <v>1.0883791486212424</v>
      </c>
      <c r="J75" s="618" t="s">
        <v>1</v>
      </c>
    </row>
    <row r="76" spans="1:10" ht="14.4" customHeight="1" x14ac:dyDescent="0.3">
      <c r="A76" s="614" t="s">
        <v>567</v>
      </c>
      <c r="B76" s="615" t="s">
        <v>350</v>
      </c>
      <c r="C76" s="616">
        <v>4.0759999999999996</v>
      </c>
      <c r="D76" s="616">
        <v>2.5004499999990002</v>
      </c>
      <c r="E76" s="616"/>
      <c r="F76" s="616">
        <v>2.8383799999999999</v>
      </c>
      <c r="G76" s="616">
        <v>3.4787920650795834</v>
      </c>
      <c r="H76" s="616">
        <v>-0.64041206507958348</v>
      </c>
      <c r="I76" s="617">
        <v>0.81590964533117816</v>
      </c>
      <c r="J76" s="618" t="s">
        <v>1</v>
      </c>
    </row>
    <row r="77" spans="1:10" ht="14.4" customHeight="1" x14ac:dyDescent="0.3">
      <c r="A77" s="614" t="s">
        <v>567</v>
      </c>
      <c r="B77" s="615" t="s">
        <v>351</v>
      </c>
      <c r="C77" s="616">
        <v>1.4910000000000001</v>
      </c>
      <c r="D77" s="616">
        <v>0.60675000000000001</v>
      </c>
      <c r="E77" s="616"/>
      <c r="F77" s="616">
        <v>1.5349999999999999</v>
      </c>
      <c r="G77" s="616">
        <v>1.1505522125475001</v>
      </c>
      <c r="H77" s="616">
        <v>0.38444778745249986</v>
      </c>
      <c r="I77" s="617">
        <v>1.3341419739668077</v>
      </c>
      <c r="J77" s="618" t="s">
        <v>1</v>
      </c>
    </row>
    <row r="78" spans="1:10" ht="14.4" customHeight="1" x14ac:dyDescent="0.3">
      <c r="A78" s="614" t="s">
        <v>567</v>
      </c>
      <c r="B78" s="615" t="s">
        <v>569</v>
      </c>
      <c r="C78" s="616">
        <v>83.107799999999983</v>
      </c>
      <c r="D78" s="616">
        <v>42.904549999997997</v>
      </c>
      <c r="E78" s="616"/>
      <c r="F78" s="616">
        <v>63.486649999999997</v>
      </c>
      <c r="G78" s="616">
        <v>49.65455337071667</v>
      </c>
      <c r="H78" s="616">
        <v>13.832096629283328</v>
      </c>
      <c r="I78" s="617">
        <v>1.2785665299617957</v>
      </c>
      <c r="J78" s="618" t="s">
        <v>553</v>
      </c>
    </row>
    <row r="79" spans="1:10" ht="14.4" customHeight="1" x14ac:dyDescent="0.3">
      <c r="A79" s="614" t="s">
        <v>547</v>
      </c>
      <c r="B79" s="615" t="s">
        <v>547</v>
      </c>
      <c r="C79" s="616" t="s">
        <v>547</v>
      </c>
      <c r="D79" s="616" t="s">
        <v>547</v>
      </c>
      <c r="E79" s="616"/>
      <c r="F79" s="616" t="s">
        <v>547</v>
      </c>
      <c r="G79" s="616" t="s">
        <v>547</v>
      </c>
      <c r="H79" s="616" t="s">
        <v>547</v>
      </c>
      <c r="I79" s="617" t="s">
        <v>547</v>
      </c>
      <c r="J79" s="618" t="s">
        <v>554</v>
      </c>
    </row>
    <row r="80" spans="1:10" ht="14.4" customHeight="1" x14ac:dyDescent="0.3">
      <c r="A80" s="614" t="s">
        <v>545</v>
      </c>
      <c r="B80" s="615" t="s">
        <v>548</v>
      </c>
      <c r="C80" s="616">
        <v>4504.2226600000004</v>
      </c>
      <c r="D80" s="616">
        <v>4291.8244199999872</v>
      </c>
      <c r="E80" s="616"/>
      <c r="F80" s="616">
        <v>4359.858240000005</v>
      </c>
      <c r="G80" s="616">
        <v>4644.3276769560362</v>
      </c>
      <c r="H80" s="616">
        <v>-284.46943695603113</v>
      </c>
      <c r="I80" s="617">
        <v>0.93874905976865164</v>
      </c>
      <c r="J80" s="618" t="s">
        <v>549</v>
      </c>
    </row>
  </sheetData>
  <mergeCells count="3">
    <mergeCell ref="A1:I1"/>
    <mergeCell ref="F3:I3"/>
    <mergeCell ref="C4:D4"/>
  </mergeCells>
  <conditionalFormatting sqref="F17 F81:F65537">
    <cfRule type="cellIs" dxfId="36" priority="18" stopIfTrue="1" operator="greaterThan">
      <formula>1</formula>
    </cfRule>
  </conditionalFormatting>
  <conditionalFormatting sqref="H5:H16">
    <cfRule type="expression" dxfId="35" priority="14">
      <formula>$H5&gt;0</formula>
    </cfRule>
  </conditionalFormatting>
  <conditionalFormatting sqref="I5:I16">
    <cfRule type="expression" dxfId="34" priority="15">
      <formula>$I5&gt;1</formula>
    </cfRule>
  </conditionalFormatting>
  <conditionalFormatting sqref="B5:B16">
    <cfRule type="expression" dxfId="33" priority="11">
      <formula>OR($J5="NS",$J5="SumaNS",$J5="Účet")</formula>
    </cfRule>
  </conditionalFormatting>
  <conditionalFormatting sqref="F5:I16 B5:D16">
    <cfRule type="expression" dxfId="32" priority="17">
      <formula>AND($J5&lt;&gt;"",$J5&lt;&gt;"mezeraKL")</formula>
    </cfRule>
  </conditionalFormatting>
  <conditionalFormatting sqref="B5:D16 F5:I16">
    <cfRule type="expression" dxfId="31" priority="12">
      <formula>OR($J5="KL",$J5="SumaKL")</formula>
    </cfRule>
    <cfRule type="expression" priority="16" stopIfTrue="1">
      <formula>OR($J5="mezeraNS",$J5="mezeraKL")</formula>
    </cfRule>
  </conditionalFormatting>
  <conditionalFormatting sqref="B5:D16 F5:I16">
    <cfRule type="expression" dxfId="30" priority="13">
      <formula>OR($J5="SumaNS",$J5="NS")</formula>
    </cfRule>
  </conditionalFormatting>
  <conditionalFormatting sqref="A5:A16">
    <cfRule type="expression" dxfId="29" priority="9">
      <formula>AND($J5&lt;&gt;"mezeraKL",$J5&lt;&gt;"")</formula>
    </cfRule>
  </conditionalFormatting>
  <conditionalFormatting sqref="A5:A16">
    <cfRule type="expression" dxfId="28" priority="10">
      <formula>AND($J5&lt;&gt;"",$J5&lt;&gt;"mezeraKL")</formula>
    </cfRule>
  </conditionalFormatting>
  <conditionalFormatting sqref="H18:H80">
    <cfRule type="expression" dxfId="27" priority="5">
      <formula>$H18&gt;0</formula>
    </cfRule>
  </conditionalFormatting>
  <conditionalFormatting sqref="A18:A80">
    <cfRule type="expression" dxfId="26" priority="2">
      <formula>AND($J18&lt;&gt;"mezeraKL",$J18&lt;&gt;"")</formula>
    </cfRule>
  </conditionalFormatting>
  <conditionalFormatting sqref="I18:I80">
    <cfRule type="expression" dxfId="25" priority="6">
      <formula>$I18&gt;1</formula>
    </cfRule>
  </conditionalFormatting>
  <conditionalFormatting sqref="B18:B80">
    <cfRule type="expression" dxfId="24" priority="1">
      <formula>OR($J18="NS",$J18="SumaNS",$J18="Účet")</formula>
    </cfRule>
  </conditionalFormatting>
  <conditionalFormatting sqref="A18:D80 F18:I80">
    <cfRule type="expression" dxfId="23" priority="8">
      <formula>AND($J18&lt;&gt;"",$J18&lt;&gt;"mezeraKL")</formula>
    </cfRule>
  </conditionalFormatting>
  <conditionalFormatting sqref="B18:D80 F18:I80">
    <cfRule type="expression" dxfId="22" priority="3">
      <formula>OR($J18="KL",$J18="SumaKL")</formula>
    </cfRule>
    <cfRule type="expression" priority="7" stopIfTrue="1">
      <formula>OR($J18="mezeraNS",$J18="mezeraKL")</formula>
    </cfRule>
  </conditionalFormatting>
  <conditionalFormatting sqref="B18:D80 F18:I80">
    <cfRule type="expression" dxfId="21" priority="4">
      <formula>OR($J18="SumaNS",$J18="NS")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41">
    <tabColor theme="0" tint="-0.249977111117893"/>
    <pageSetUpPr fitToPage="1"/>
  </sheetPr>
  <dimension ref="A1:K607"/>
  <sheetViews>
    <sheetView showGridLines="0" showRowColHeaders="0" workbookViewId="0">
      <pane ySplit="4" topLeftCell="A5" activePane="bottomLeft" state="frozen"/>
      <selection activeCell="A2" sqref="A2:I2"/>
      <selection pane="bottomLeft" sqref="A1:K1"/>
    </sheetView>
  </sheetViews>
  <sheetFormatPr defaultRowHeight="14.4" customHeight="1" outlineLevelCol="1" x14ac:dyDescent="0.3"/>
  <cols>
    <col min="1" max="1" width="6.6640625" style="257" hidden="1" customWidth="1" outlineLevel="1"/>
    <col min="2" max="2" width="28.33203125" style="257" hidden="1" customWidth="1" outlineLevel="1"/>
    <col min="3" max="3" width="5.33203125" style="342" bestFit="1" customWidth="1" collapsed="1"/>
    <col min="4" max="4" width="18.77734375" style="346" customWidth="1"/>
    <col min="5" max="5" width="9" style="342" bestFit="1" customWidth="1"/>
    <col min="6" max="6" width="18.77734375" style="346" customWidth="1"/>
    <col min="7" max="7" width="12.44140625" style="342" hidden="1" customWidth="1" outlineLevel="1"/>
    <col min="8" max="8" width="25.77734375" style="342" customWidth="1" collapsed="1"/>
    <col min="9" max="9" width="7.77734375" style="340" customWidth="1"/>
    <col min="10" max="10" width="10" style="340" customWidth="1"/>
    <col min="11" max="11" width="11.109375" style="340" customWidth="1"/>
    <col min="12" max="16384" width="8.88671875" style="257"/>
  </cols>
  <sheetData>
    <row r="1" spans="1:11" ht="18.600000000000001" customHeight="1" thickBot="1" x14ac:dyDescent="0.4">
      <c r="A1" s="494" t="s">
        <v>4075</v>
      </c>
      <c r="B1" s="459"/>
      <c r="C1" s="459"/>
      <c r="D1" s="459"/>
      <c r="E1" s="459"/>
      <c r="F1" s="459"/>
      <c r="G1" s="459"/>
      <c r="H1" s="459"/>
      <c r="I1" s="459"/>
      <c r="J1" s="459"/>
      <c r="K1" s="459"/>
    </row>
    <row r="2" spans="1:11" ht="14.4" customHeight="1" thickBot="1" x14ac:dyDescent="0.35">
      <c r="A2" s="386" t="s">
        <v>321</v>
      </c>
      <c r="B2" s="66"/>
      <c r="C2" s="344"/>
      <c r="D2" s="344"/>
      <c r="E2" s="344"/>
      <c r="F2" s="344"/>
      <c r="G2" s="344"/>
      <c r="H2" s="344"/>
      <c r="I2" s="345"/>
      <c r="J2" s="345"/>
      <c r="K2" s="345"/>
    </row>
    <row r="3" spans="1:11" ht="14.4" customHeight="1" thickBot="1" x14ac:dyDescent="0.35">
      <c r="A3" s="66"/>
      <c r="B3" s="66"/>
      <c r="C3" s="490"/>
      <c r="D3" s="491"/>
      <c r="E3" s="491"/>
      <c r="F3" s="491"/>
      <c r="G3" s="491"/>
      <c r="H3" s="270" t="s">
        <v>160</v>
      </c>
      <c r="I3" s="210">
        <f>IF(J3&lt;&gt;0,K3/J3,0)</f>
        <v>7.1621026119173123</v>
      </c>
      <c r="J3" s="210">
        <f>SUBTOTAL(9,J5:J1048576)</f>
        <v>608652.5</v>
      </c>
      <c r="K3" s="211">
        <f>SUBTOTAL(9,K5:K1048576)</f>
        <v>4359231.660000002</v>
      </c>
    </row>
    <row r="4" spans="1:11" s="341" customFormat="1" ht="14.4" customHeight="1" thickBot="1" x14ac:dyDescent="0.35">
      <c r="A4" s="619" t="s">
        <v>4</v>
      </c>
      <c r="B4" s="620" t="s">
        <v>5</v>
      </c>
      <c r="C4" s="620" t="s">
        <v>0</v>
      </c>
      <c r="D4" s="620" t="s">
        <v>6</v>
      </c>
      <c r="E4" s="620" t="s">
        <v>7</v>
      </c>
      <c r="F4" s="620" t="s">
        <v>1</v>
      </c>
      <c r="G4" s="620" t="s">
        <v>90</v>
      </c>
      <c r="H4" s="621" t="s">
        <v>11</v>
      </c>
      <c r="I4" s="622" t="s">
        <v>185</v>
      </c>
      <c r="J4" s="622" t="s">
        <v>13</v>
      </c>
      <c r="K4" s="623" t="s">
        <v>202</v>
      </c>
    </row>
    <row r="5" spans="1:11" ht="14.4" customHeight="1" x14ac:dyDescent="0.3">
      <c r="A5" s="624" t="s">
        <v>545</v>
      </c>
      <c r="B5" s="625" t="s">
        <v>1978</v>
      </c>
      <c r="C5" s="626" t="s">
        <v>550</v>
      </c>
      <c r="D5" s="627" t="s">
        <v>1979</v>
      </c>
      <c r="E5" s="626" t="s">
        <v>4055</v>
      </c>
      <c r="F5" s="627" t="s">
        <v>4056</v>
      </c>
      <c r="G5" s="626" t="s">
        <v>3290</v>
      </c>
      <c r="H5" s="626" t="s">
        <v>3291</v>
      </c>
      <c r="I5" s="628">
        <v>34.69</v>
      </c>
      <c r="J5" s="628">
        <v>12</v>
      </c>
      <c r="K5" s="629">
        <v>416.28</v>
      </c>
    </row>
    <row r="6" spans="1:11" ht="14.4" customHeight="1" x14ac:dyDescent="0.3">
      <c r="A6" s="695" t="s">
        <v>545</v>
      </c>
      <c r="B6" s="696" t="s">
        <v>1978</v>
      </c>
      <c r="C6" s="699" t="s">
        <v>550</v>
      </c>
      <c r="D6" s="720" t="s">
        <v>1979</v>
      </c>
      <c r="E6" s="699" t="s">
        <v>4055</v>
      </c>
      <c r="F6" s="720" t="s">
        <v>4056</v>
      </c>
      <c r="G6" s="699" t="s">
        <v>3292</v>
      </c>
      <c r="H6" s="699" t="s">
        <v>3293</v>
      </c>
      <c r="I6" s="711">
        <v>25.55</v>
      </c>
      <c r="J6" s="711">
        <v>24</v>
      </c>
      <c r="K6" s="712">
        <v>613.27</v>
      </c>
    </row>
    <row r="7" spans="1:11" ht="14.4" customHeight="1" x14ac:dyDescent="0.3">
      <c r="A7" s="695" t="s">
        <v>545</v>
      </c>
      <c r="B7" s="696" t="s">
        <v>1978</v>
      </c>
      <c r="C7" s="699" t="s">
        <v>550</v>
      </c>
      <c r="D7" s="720" t="s">
        <v>1979</v>
      </c>
      <c r="E7" s="699" t="s">
        <v>4055</v>
      </c>
      <c r="F7" s="720" t="s">
        <v>4056</v>
      </c>
      <c r="G7" s="699" t="s">
        <v>3294</v>
      </c>
      <c r="H7" s="699" t="s">
        <v>3295</v>
      </c>
      <c r="I7" s="711">
        <v>41.54</v>
      </c>
      <c r="J7" s="711">
        <v>30</v>
      </c>
      <c r="K7" s="712">
        <v>1246.17</v>
      </c>
    </row>
    <row r="8" spans="1:11" ht="14.4" customHeight="1" x14ac:dyDescent="0.3">
      <c r="A8" s="695" t="s">
        <v>545</v>
      </c>
      <c r="B8" s="696" t="s">
        <v>1978</v>
      </c>
      <c r="C8" s="699" t="s">
        <v>550</v>
      </c>
      <c r="D8" s="720" t="s">
        <v>1979</v>
      </c>
      <c r="E8" s="699" t="s">
        <v>4055</v>
      </c>
      <c r="F8" s="720" t="s">
        <v>4056</v>
      </c>
      <c r="G8" s="699" t="s">
        <v>3296</v>
      </c>
      <c r="H8" s="699" t="s">
        <v>3297</v>
      </c>
      <c r="I8" s="711">
        <v>0.59</v>
      </c>
      <c r="J8" s="711">
        <v>200</v>
      </c>
      <c r="K8" s="712">
        <v>118</v>
      </c>
    </row>
    <row r="9" spans="1:11" ht="14.4" customHeight="1" x14ac:dyDescent="0.3">
      <c r="A9" s="695" t="s">
        <v>545</v>
      </c>
      <c r="B9" s="696" t="s">
        <v>1978</v>
      </c>
      <c r="C9" s="699" t="s">
        <v>550</v>
      </c>
      <c r="D9" s="720" t="s">
        <v>1979</v>
      </c>
      <c r="E9" s="699" t="s">
        <v>4055</v>
      </c>
      <c r="F9" s="720" t="s">
        <v>4056</v>
      </c>
      <c r="G9" s="699" t="s">
        <v>3298</v>
      </c>
      <c r="H9" s="699" t="s">
        <v>3299</v>
      </c>
      <c r="I9" s="711">
        <v>26.15</v>
      </c>
      <c r="J9" s="711">
        <v>1</v>
      </c>
      <c r="K9" s="712">
        <v>26.15</v>
      </c>
    </row>
    <row r="10" spans="1:11" ht="14.4" customHeight="1" x14ac:dyDescent="0.3">
      <c r="A10" s="695" t="s">
        <v>545</v>
      </c>
      <c r="B10" s="696" t="s">
        <v>1978</v>
      </c>
      <c r="C10" s="699" t="s">
        <v>550</v>
      </c>
      <c r="D10" s="720" t="s">
        <v>1979</v>
      </c>
      <c r="E10" s="699" t="s">
        <v>4055</v>
      </c>
      <c r="F10" s="720" t="s">
        <v>4056</v>
      </c>
      <c r="G10" s="699" t="s">
        <v>3300</v>
      </c>
      <c r="H10" s="699" t="s">
        <v>3301</v>
      </c>
      <c r="I10" s="711">
        <v>0.91</v>
      </c>
      <c r="J10" s="711">
        <v>250</v>
      </c>
      <c r="K10" s="712">
        <v>227.5</v>
      </c>
    </row>
    <row r="11" spans="1:11" ht="14.4" customHeight="1" x14ac:dyDescent="0.3">
      <c r="A11" s="695" t="s">
        <v>545</v>
      </c>
      <c r="B11" s="696" t="s">
        <v>1978</v>
      </c>
      <c r="C11" s="699" t="s">
        <v>550</v>
      </c>
      <c r="D11" s="720" t="s">
        <v>1979</v>
      </c>
      <c r="E11" s="699" t="s">
        <v>4057</v>
      </c>
      <c r="F11" s="720" t="s">
        <v>4058</v>
      </c>
      <c r="G11" s="699" t="s">
        <v>3302</v>
      </c>
      <c r="H11" s="699" t="s">
        <v>3303</v>
      </c>
      <c r="I11" s="711">
        <v>0.94</v>
      </c>
      <c r="J11" s="711">
        <v>100</v>
      </c>
      <c r="K11" s="712">
        <v>94</v>
      </c>
    </row>
    <row r="12" spans="1:11" ht="14.4" customHeight="1" x14ac:dyDescent="0.3">
      <c r="A12" s="695" t="s">
        <v>545</v>
      </c>
      <c r="B12" s="696" t="s">
        <v>1978</v>
      </c>
      <c r="C12" s="699" t="s">
        <v>550</v>
      </c>
      <c r="D12" s="720" t="s">
        <v>1979</v>
      </c>
      <c r="E12" s="699" t="s">
        <v>4057</v>
      </c>
      <c r="F12" s="720" t="s">
        <v>4058</v>
      </c>
      <c r="G12" s="699" t="s">
        <v>3304</v>
      </c>
      <c r="H12" s="699" t="s">
        <v>3305</v>
      </c>
      <c r="I12" s="711">
        <v>1.44</v>
      </c>
      <c r="J12" s="711">
        <v>200</v>
      </c>
      <c r="K12" s="712">
        <v>288</v>
      </c>
    </row>
    <row r="13" spans="1:11" ht="14.4" customHeight="1" x14ac:dyDescent="0.3">
      <c r="A13" s="695" t="s">
        <v>545</v>
      </c>
      <c r="B13" s="696" t="s">
        <v>1978</v>
      </c>
      <c r="C13" s="699" t="s">
        <v>550</v>
      </c>
      <c r="D13" s="720" t="s">
        <v>1979</v>
      </c>
      <c r="E13" s="699" t="s">
        <v>4057</v>
      </c>
      <c r="F13" s="720" t="s">
        <v>4058</v>
      </c>
      <c r="G13" s="699" t="s">
        <v>3306</v>
      </c>
      <c r="H13" s="699" t="s">
        <v>3307</v>
      </c>
      <c r="I13" s="711">
        <v>0.41</v>
      </c>
      <c r="J13" s="711">
        <v>100</v>
      </c>
      <c r="K13" s="712">
        <v>41</v>
      </c>
    </row>
    <row r="14" spans="1:11" ht="14.4" customHeight="1" x14ac:dyDescent="0.3">
      <c r="A14" s="695" t="s">
        <v>545</v>
      </c>
      <c r="B14" s="696" t="s">
        <v>1978</v>
      </c>
      <c r="C14" s="699" t="s">
        <v>550</v>
      </c>
      <c r="D14" s="720" t="s">
        <v>1979</v>
      </c>
      <c r="E14" s="699" t="s">
        <v>4057</v>
      </c>
      <c r="F14" s="720" t="s">
        <v>4058</v>
      </c>
      <c r="G14" s="699" t="s">
        <v>3308</v>
      </c>
      <c r="H14" s="699" t="s">
        <v>3309</v>
      </c>
      <c r="I14" s="711">
        <v>0.56999999999999995</v>
      </c>
      <c r="J14" s="711">
        <v>100</v>
      </c>
      <c r="K14" s="712">
        <v>57</v>
      </c>
    </row>
    <row r="15" spans="1:11" ht="14.4" customHeight="1" x14ac:dyDescent="0.3">
      <c r="A15" s="695" t="s">
        <v>545</v>
      </c>
      <c r="B15" s="696" t="s">
        <v>1978</v>
      </c>
      <c r="C15" s="699" t="s">
        <v>550</v>
      </c>
      <c r="D15" s="720" t="s">
        <v>1979</v>
      </c>
      <c r="E15" s="699" t="s">
        <v>4057</v>
      </c>
      <c r="F15" s="720" t="s">
        <v>4058</v>
      </c>
      <c r="G15" s="699" t="s">
        <v>3310</v>
      </c>
      <c r="H15" s="699" t="s">
        <v>3311</v>
      </c>
      <c r="I15" s="711">
        <v>1.58</v>
      </c>
      <c r="J15" s="711">
        <v>100</v>
      </c>
      <c r="K15" s="712">
        <v>158</v>
      </c>
    </row>
    <row r="16" spans="1:11" ht="14.4" customHeight="1" x14ac:dyDescent="0.3">
      <c r="A16" s="695" t="s">
        <v>545</v>
      </c>
      <c r="B16" s="696" t="s">
        <v>1978</v>
      </c>
      <c r="C16" s="699" t="s">
        <v>550</v>
      </c>
      <c r="D16" s="720" t="s">
        <v>1979</v>
      </c>
      <c r="E16" s="699" t="s">
        <v>4057</v>
      </c>
      <c r="F16" s="720" t="s">
        <v>4058</v>
      </c>
      <c r="G16" s="699" t="s">
        <v>3312</v>
      </c>
      <c r="H16" s="699" t="s">
        <v>3313</v>
      </c>
      <c r="I16" s="711">
        <v>5.13</v>
      </c>
      <c r="J16" s="711">
        <v>240</v>
      </c>
      <c r="K16" s="712">
        <v>1231.1999999999998</v>
      </c>
    </row>
    <row r="17" spans="1:11" ht="14.4" customHeight="1" x14ac:dyDescent="0.3">
      <c r="A17" s="695" t="s">
        <v>545</v>
      </c>
      <c r="B17" s="696" t="s">
        <v>1978</v>
      </c>
      <c r="C17" s="699" t="s">
        <v>550</v>
      </c>
      <c r="D17" s="720" t="s">
        <v>1979</v>
      </c>
      <c r="E17" s="699" t="s">
        <v>4057</v>
      </c>
      <c r="F17" s="720" t="s">
        <v>4058</v>
      </c>
      <c r="G17" s="699" t="s">
        <v>3314</v>
      </c>
      <c r="H17" s="699" t="s">
        <v>3315</v>
      </c>
      <c r="I17" s="711">
        <v>17.98</v>
      </c>
      <c r="J17" s="711">
        <v>25</v>
      </c>
      <c r="K17" s="712">
        <v>449.5</v>
      </c>
    </row>
    <row r="18" spans="1:11" ht="14.4" customHeight="1" x14ac:dyDescent="0.3">
      <c r="A18" s="695" t="s">
        <v>545</v>
      </c>
      <c r="B18" s="696" t="s">
        <v>1978</v>
      </c>
      <c r="C18" s="699" t="s">
        <v>550</v>
      </c>
      <c r="D18" s="720" t="s">
        <v>1979</v>
      </c>
      <c r="E18" s="699" t="s">
        <v>4057</v>
      </c>
      <c r="F18" s="720" t="s">
        <v>4058</v>
      </c>
      <c r="G18" s="699" t="s">
        <v>3316</v>
      </c>
      <c r="H18" s="699" t="s">
        <v>3317</v>
      </c>
      <c r="I18" s="711">
        <v>12.1</v>
      </c>
      <c r="J18" s="711">
        <v>10</v>
      </c>
      <c r="K18" s="712">
        <v>121</v>
      </c>
    </row>
    <row r="19" spans="1:11" ht="14.4" customHeight="1" x14ac:dyDescent="0.3">
      <c r="A19" s="695" t="s">
        <v>545</v>
      </c>
      <c r="B19" s="696" t="s">
        <v>1978</v>
      </c>
      <c r="C19" s="699" t="s">
        <v>550</v>
      </c>
      <c r="D19" s="720" t="s">
        <v>1979</v>
      </c>
      <c r="E19" s="699" t="s">
        <v>4057</v>
      </c>
      <c r="F19" s="720" t="s">
        <v>4058</v>
      </c>
      <c r="G19" s="699" t="s">
        <v>3318</v>
      </c>
      <c r="H19" s="699" t="s">
        <v>3319</v>
      </c>
      <c r="I19" s="711">
        <v>0.47</v>
      </c>
      <c r="J19" s="711">
        <v>100</v>
      </c>
      <c r="K19" s="712">
        <v>47</v>
      </c>
    </row>
    <row r="20" spans="1:11" ht="14.4" customHeight="1" x14ac:dyDescent="0.3">
      <c r="A20" s="695" t="s">
        <v>545</v>
      </c>
      <c r="B20" s="696" t="s">
        <v>1978</v>
      </c>
      <c r="C20" s="699" t="s">
        <v>550</v>
      </c>
      <c r="D20" s="720" t="s">
        <v>1979</v>
      </c>
      <c r="E20" s="699" t="s">
        <v>4059</v>
      </c>
      <c r="F20" s="720" t="s">
        <v>4060</v>
      </c>
      <c r="G20" s="699" t="s">
        <v>3320</v>
      </c>
      <c r="H20" s="699" t="s">
        <v>3321</v>
      </c>
      <c r="I20" s="711">
        <v>180.44</v>
      </c>
      <c r="J20" s="711">
        <v>50</v>
      </c>
      <c r="K20" s="712">
        <v>9021.76</v>
      </c>
    </row>
    <row r="21" spans="1:11" ht="14.4" customHeight="1" x14ac:dyDescent="0.3">
      <c r="A21" s="695" t="s">
        <v>545</v>
      </c>
      <c r="B21" s="696" t="s">
        <v>1978</v>
      </c>
      <c r="C21" s="699" t="s">
        <v>550</v>
      </c>
      <c r="D21" s="720" t="s">
        <v>1979</v>
      </c>
      <c r="E21" s="699" t="s">
        <v>4059</v>
      </c>
      <c r="F21" s="720" t="s">
        <v>4060</v>
      </c>
      <c r="G21" s="699" t="s">
        <v>3322</v>
      </c>
      <c r="H21" s="699" t="s">
        <v>3323</v>
      </c>
      <c r="I21" s="711">
        <v>0.3</v>
      </c>
      <c r="J21" s="711">
        <v>100</v>
      </c>
      <c r="K21" s="712">
        <v>30</v>
      </c>
    </row>
    <row r="22" spans="1:11" ht="14.4" customHeight="1" x14ac:dyDescent="0.3">
      <c r="A22" s="695" t="s">
        <v>545</v>
      </c>
      <c r="B22" s="696" t="s">
        <v>1978</v>
      </c>
      <c r="C22" s="699" t="s">
        <v>550</v>
      </c>
      <c r="D22" s="720" t="s">
        <v>1979</v>
      </c>
      <c r="E22" s="699" t="s">
        <v>4059</v>
      </c>
      <c r="F22" s="720" t="s">
        <v>4060</v>
      </c>
      <c r="G22" s="699" t="s">
        <v>3324</v>
      </c>
      <c r="H22" s="699" t="s">
        <v>3325</v>
      </c>
      <c r="I22" s="711">
        <v>0.30499999999999999</v>
      </c>
      <c r="J22" s="711">
        <v>200</v>
      </c>
      <c r="K22" s="712">
        <v>61</v>
      </c>
    </row>
    <row r="23" spans="1:11" ht="14.4" customHeight="1" x14ac:dyDescent="0.3">
      <c r="A23" s="695" t="s">
        <v>545</v>
      </c>
      <c r="B23" s="696" t="s">
        <v>1978</v>
      </c>
      <c r="C23" s="699" t="s">
        <v>550</v>
      </c>
      <c r="D23" s="720" t="s">
        <v>1979</v>
      </c>
      <c r="E23" s="699" t="s">
        <v>4059</v>
      </c>
      <c r="F23" s="720" t="s">
        <v>4060</v>
      </c>
      <c r="G23" s="699" t="s">
        <v>3326</v>
      </c>
      <c r="H23" s="699" t="s">
        <v>3327</v>
      </c>
      <c r="I23" s="711">
        <v>3.03</v>
      </c>
      <c r="J23" s="711">
        <v>100</v>
      </c>
      <c r="K23" s="712">
        <v>302.51</v>
      </c>
    </row>
    <row r="24" spans="1:11" ht="14.4" customHeight="1" x14ac:dyDescent="0.3">
      <c r="A24" s="695" t="s">
        <v>545</v>
      </c>
      <c r="B24" s="696" t="s">
        <v>1978</v>
      </c>
      <c r="C24" s="699" t="s">
        <v>550</v>
      </c>
      <c r="D24" s="720" t="s">
        <v>1979</v>
      </c>
      <c r="E24" s="699" t="s">
        <v>4061</v>
      </c>
      <c r="F24" s="720" t="s">
        <v>4062</v>
      </c>
      <c r="G24" s="699" t="s">
        <v>3328</v>
      </c>
      <c r="H24" s="699" t="s">
        <v>3329</v>
      </c>
      <c r="I24" s="711">
        <v>0.77666666666666673</v>
      </c>
      <c r="J24" s="711">
        <v>400</v>
      </c>
      <c r="K24" s="712">
        <v>310</v>
      </c>
    </row>
    <row r="25" spans="1:11" ht="14.4" customHeight="1" x14ac:dyDescent="0.3">
      <c r="A25" s="695" t="s">
        <v>545</v>
      </c>
      <c r="B25" s="696" t="s">
        <v>1978</v>
      </c>
      <c r="C25" s="699" t="s">
        <v>550</v>
      </c>
      <c r="D25" s="720" t="s">
        <v>1979</v>
      </c>
      <c r="E25" s="699" t="s">
        <v>4061</v>
      </c>
      <c r="F25" s="720" t="s">
        <v>4062</v>
      </c>
      <c r="G25" s="699" t="s">
        <v>3330</v>
      </c>
      <c r="H25" s="699" t="s">
        <v>3331</v>
      </c>
      <c r="I25" s="711">
        <v>0.77250000000000008</v>
      </c>
      <c r="J25" s="711">
        <v>500</v>
      </c>
      <c r="K25" s="712">
        <v>386</v>
      </c>
    </row>
    <row r="26" spans="1:11" ht="14.4" customHeight="1" x14ac:dyDescent="0.3">
      <c r="A26" s="695" t="s">
        <v>545</v>
      </c>
      <c r="B26" s="696" t="s">
        <v>1978</v>
      </c>
      <c r="C26" s="699" t="s">
        <v>550</v>
      </c>
      <c r="D26" s="720" t="s">
        <v>1979</v>
      </c>
      <c r="E26" s="699" t="s">
        <v>4061</v>
      </c>
      <c r="F26" s="720" t="s">
        <v>4062</v>
      </c>
      <c r="G26" s="699" t="s">
        <v>3332</v>
      </c>
      <c r="H26" s="699" t="s">
        <v>3333</v>
      </c>
      <c r="I26" s="711">
        <v>0.71</v>
      </c>
      <c r="J26" s="711">
        <v>200</v>
      </c>
      <c r="K26" s="712">
        <v>142</v>
      </c>
    </row>
    <row r="27" spans="1:11" ht="14.4" customHeight="1" x14ac:dyDescent="0.3">
      <c r="A27" s="695" t="s">
        <v>545</v>
      </c>
      <c r="B27" s="696" t="s">
        <v>1978</v>
      </c>
      <c r="C27" s="699" t="s">
        <v>550</v>
      </c>
      <c r="D27" s="720" t="s">
        <v>1979</v>
      </c>
      <c r="E27" s="699" t="s">
        <v>4061</v>
      </c>
      <c r="F27" s="720" t="s">
        <v>4062</v>
      </c>
      <c r="G27" s="699" t="s">
        <v>3334</v>
      </c>
      <c r="H27" s="699" t="s">
        <v>3335</v>
      </c>
      <c r="I27" s="711">
        <v>0.71</v>
      </c>
      <c r="J27" s="711">
        <v>200</v>
      </c>
      <c r="K27" s="712">
        <v>142</v>
      </c>
    </row>
    <row r="28" spans="1:11" ht="14.4" customHeight="1" x14ac:dyDescent="0.3">
      <c r="A28" s="695" t="s">
        <v>545</v>
      </c>
      <c r="B28" s="696" t="s">
        <v>1978</v>
      </c>
      <c r="C28" s="699" t="s">
        <v>555</v>
      </c>
      <c r="D28" s="720" t="s">
        <v>1980</v>
      </c>
      <c r="E28" s="699" t="s">
        <v>4055</v>
      </c>
      <c r="F28" s="720" t="s">
        <v>4056</v>
      </c>
      <c r="G28" s="699" t="s">
        <v>3336</v>
      </c>
      <c r="H28" s="699" t="s">
        <v>3337</v>
      </c>
      <c r="I28" s="711">
        <v>183.1</v>
      </c>
      <c r="J28" s="711">
        <v>1</v>
      </c>
      <c r="K28" s="712">
        <v>183.1</v>
      </c>
    </row>
    <row r="29" spans="1:11" ht="14.4" customHeight="1" x14ac:dyDescent="0.3">
      <c r="A29" s="695" t="s">
        <v>545</v>
      </c>
      <c r="B29" s="696" t="s">
        <v>1978</v>
      </c>
      <c r="C29" s="699" t="s">
        <v>555</v>
      </c>
      <c r="D29" s="720" t="s">
        <v>1980</v>
      </c>
      <c r="E29" s="699" t="s">
        <v>4055</v>
      </c>
      <c r="F29" s="720" t="s">
        <v>4056</v>
      </c>
      <c r="G29" s="699" t="s">
        <v>3338</v>
      </c>
      <c r="H29" s="699" t="s">
        <v>3339</v>
      </c>
      <c r="I29" s="711">
        <v>139.52000000000001</v>
      </c>
      <c r="J29" s="711">
        <v>20</v>
      </c>
      <c r="K29" s="712">
        <v>2790.33</v>
      </c>
    </row>
    <row r="30" spans="1:11" ht="14.4" customHeight="1" x14ac:dyDescent="0.3">
      <c r="A30" s="695" t="s">
        <v>545</v>
      </c>
      <c r="B30" s="696" t="s">
        <v>1978</v>
      </c>
      <c r="C30" s="699" t="s">
        <v>555</v>
      </c>
      <c r="D30" s="720" t="s">
        <v>1980</v>
      </c>
      <c r="E30" s="699" t="s">
        <v>4055</v>
      </c>
      <c r="F30" s="720" t="s">
        <v>4056</v>
      </c>
      <c r="G30" s="699" t="s">
        <v>3340</v>
      </c>
      <c r="H30" s="699" t="s">
        <v>3341</v>
      </c>
      <c r="I30" s="711">
        <v>1.8433333333333335</v>
      </c>
      <c r="J30" s="711">
        <v>90</v>
      </c>
      <c r="K30" s="712">
        <v>165.9</v>
      </c>
    </row>
    <row r="31" spans="1:11" ht="14.4" customHeight="1" x14ac:dyDescent="0.3">
      <c r="A31" s="695" t="s">
        <v>545</v>
      </c>
      <c r="B31" s="696" t="s">
        <v>1978</v>
      </c>
      <c r="C31" s="699" t="s">
        <v>555</v>
      </c>
      <c r="D31" s="720" t="s">
        <v>1980</v>
      </c>
      <c r="E31" s="699" t="s">
        <v>4055</v>
      </c>
      <c r="F31" s="720" t="s">
        <v>4056</v>
      </c>
      <c r="G31" s="699" t="s">
        <v>3342</v>
      </c>
      <c r="H31" s="699" t="s">
        <v>3343</v>
      </c>
      <c r="I31" s="711">
        <v>9.2899999999999991</v>
      </c>
      <c r="J31" s="711">
        <v>250</v>
      </c>
      <c r="K31" s="712">
        <v>2322.5</v>
      </c>
    </row>
    <row r="32" spans="1:11" ht="14.4" customHeight="1" x14ac:dyDescent="0.3">
      <c r="A32" s="695" t="s">
        <v>545</v>
      </c>
      <c r="B32" s="696" t="s">
        <v>1978</v>
      </c>
      <c r="C32" s="699" t="s">
        <v>555</v>
      </c>
      <c r="D32" s="720" t="s">
        <v>1980</v>
      </c>
      <c r="E32" s="699" t="s">
        <v>4055</v>
      </c>
      <c r="F32" s="720" t="s">
        <v>4056</v>
      </c>
      <c r="G32" s="699" t="s">
        <v>3344</v>
      </c>
      <c r="H32" s="699" t="s">
        <v>3345</v>
      </c>
      <c r="I32" s="711">
        <v>13.935000000000002</v>
      </c>
      <c r="J32" s="711">
        <v>100</v>
      </c>
      <c r="K32" s="712">
        <v>1391.2</v>
      </c>
    </row>
    <row r="33" spans="1:11" ht="14.4" customHeight="1" x14ac:dyDescent="0.3">
      <c r="A33" s="695" t="s">
        <v>545</v>
      </c>
      <c r="B33" s="696" t="s">
        <v>1978</v>
      </c>
      <c r="C33" s="699" t="s">
        <v>555</v>
      </c>
      <c r="D33" s="720" t="s">
        <v>1980</v>
      </c>
      <c r="E33" s="699" t="s">
        <v>4055</v>
      </c>
      <c r="F33" s="720" t="s">
        <v>4056</v>
      </c>
      <c r="G33" s="699" t="s">
        <v>3346</v>
      </c>
      <c r="H33" s="699" t="s">
        <v>3347</v>
      </c>
      <c r="I33" s="711">
        <v>14.215</v>
      </c>
      <c r="J33" s="711">
        <v>60</v>
      </c>
      <c r="K33" s="712">
        <v>852.90000000000009</v>
      </c>
    </row>
    <row r="34" spans="1:11" ht="14.4" customHeight="1" x14ac:dyDescent="0.3">
      <c r="A34" s="695" t="s">
        <v>545</v>
      </c>
      <c r="B34" s="696" t="s">
        <v>1978</v>
      </c>
      <c r="C34" s="699" t="s">
        <v>555</v>
      </c>
      <c r="D34" s="720" t="s">
        <v>1980</v>
      </c>
      <c r="E34" s="699" t="s">
        <v>4055</v>
      </c>
      <c r="F34" s="720" t="s">
        <v>4056</v>
      </c>
      <c r="G34" s="699" t="s">
        <v>3348</v>
      </c>
      <c r="H34" s="699" t="s">
        <v>3349</v>
      </c>
      <c r="I34" s="711">
        <v>2.956666666666667</v>
      </c>
      <c r="J34" s="711">
        <v>90</v>
      </c>
      <c r="K34" s="712">
        <v>266.10000000000002</v>
      </c>
    </row>
    <row r="35" spans="1:11" ht="14.4" customHeight="1" x14ac:dyDescent="0.3">
      <c r="A35" s="695" t="s">
        <v>545</v>
      </c>
      <c r="B35" s="696" t="s">
        <v>1978</v>
      </c>
      <c r="C35" s="699" t="s">
        <v>555</v>
      </c>
      <c r="D35" s="720" t="s">
        <v>1980</v>
      </c>
      <c r="E35" s="699" t="s">
        <v>4055</v>
      </c>
      <c r="F35" s="720" t="s">
        <v>4056</v>
      </c>
      <c r="G35" s="699" t="s">
        <v>3350</v>
      </c>
      <c r="H35" s="699" t="s">
        <v>3351</v>
      </c>
      <c r="I35" s="711">
        <v>27.645999999999997</v>
      </c>
      <c r="J35" s="711">
        <v>576</v>
      </c>
      <c r="K35" s="712">
        <v>15963.84</v>
      </c>
    </row>
    <row r="36" spans="1:11" ht="14.4" customHeight="1" x14ac:dyDescent="0.3">
      <c r="A36" s="695" t="s">
        <v>545</v>
      </c>
      <c r="B36" s="696" t="s">
        <v>1978</v>
      </c>
      <c r="C36" s="699" t="s">
        <v>555</v>
      </c>
      <c r="D36" s="720" t="s">
        <v>1980</v>
      </c>
      <c r="E36" s="699" t="s">
        <v>4055</v>
      </c>
      <c r="F36" s="720" t="s">
        <v>4056</v>
      </c>
      <c r="G36" s="699" t="s">
        <v>3352</v>
      </c>
      <c r="H36" s="699" t="s">
        <v>3353</v>
      </c>
      <c r="I36" s="711">
        <v>129.26</v>
      </c>
      <c r="J36" s="711">
        <v>10</v>
      </c>
      <c r="K36" s="712">
        <v>1292.5999999999999</v>
      </c>
    </row>
    <row r="37" spans="1:11" ht="14.4" customHeight="1" x14ac:dyDescent="0.3">
      <c r="A37" s="695" t="s">
        <v>545</v>
      </c>
      <c r="B37" s="696" t="s">
        <v>1978</v>
      </c>
      <c r="C37" s="699" t="s">
        <v>555</v>
      </c>
      <c r="D37" s="720" t="s">
        <v>1980</v>
      </c>
      <c r="E37" s="699" t="s">
        <v>4055</v>
      </c>
      <c r="F37" s="720" t="s">
        <v>4056</v>
      </c>
      <c r="G37" s="699" t="s">
        <v>3354</v>
      </c>
      <c r="H37" s="699" t="s">
        <v>3355</v>
      </c>
      <c r="I37" s="711">
        <v>86.38</v>
      </c>
      <c r="J37" s="711">
        <v>40</v>
      </c>
      <c r="K37" s="712">
        <v>3455.07</v>
      </c>
    </row>
    <row r="38" spans="1:11" ht="14.4" customHeight="1" x14ac:dyDescent="0.3">
      <c r="A38" s="695" t="s">
        <v>545</v>
      </c>
      <c r="B38" s="696" t="s">
        <v>1978</v>
      </c>
      <c r="C38" s="699" t="s">
        <v>555</v>
      </c>
      <c r="D38" s="720" t="s">
        <v>1980</v>
      </c>
      <c r="E38" s="699" t="s">
        <v>4055</v>
      </c>
      <c r="F38" s="720" t="s">
        <v>4056</v>
      </c>
      <c r="G38" s="699" t="s">
        <v>3356</v>
      </c>
      <c r="H38" s="699" t="s">
        <v>3357</v>
      </c>
      <c r="I38" s="711">
        <v>13.66</v>
      </c>
      <c r="J38" s="711">
        <v>20</v>
      </c>
      <c r="K38" s="712">
        <v>273.24</v>
      </c>
    </row>
    <row r="39" spans="1:11" ht="14.4" customHeight="1" x14ac:dyDescent="0.3">
      <c r="A39" s="695" t="s">
        <v>545</v>
      </c>
      <c r="B39" s="696" t="s">
        <v>1978</v>
      </c>
      <c r="C39" s="699" t="s">
        <v>555</v>
      </c>
      <c r="D39" s="720" t="s">
        <v>1980</v>
      </c>
      <c r="E39" s="699" t="s">
        <v>4055</v>
      </c>
      <c r="F39" s="720" t="s">
        <v>4056</v>
      </c>
      <c r="G39" s="699" t="s">
        <v>3358</v>
      </c>
      <c r="H39" s="699" t="s">
        <v>3359</v>
      </c>
      <c r="I39" s="711">
        <v>42.63</v>
      </c>
      <c r="J39" s="711">
        <v>81</v>
      </c>
      <c r="K39" s="712">
        <v>3453.02</v>
      </c>
    </row>
    <row r="40" spans="1:11" ht="14.4" customHeight="1" x14ac:dyDescent="0.3">
      <c r="A40" s="695" t="s">
        <v>545</v>
      </c>
      <c r="B40" s="696" t="s">
        <v>1978</v>
      </c>
      <c r="C40" s="699" t="s">
        <v>555</v>
      </c>
      <c r="D40" s="720" t="s">
        <v>1980</v>
      </c>
      <c r="E40" s="699" t="s">
        <v>4055</v>
      </c>
      <c r="F40" s="720" t="s">
        <v>4056</v>
      </c>
      <c r="G40" s="699" t="s">
        <v>3360</v>
      </c>
      <c r="H40" s="699" t="s">
        <v>3361</v>
      </c>
      <c r="I40" s="711">
        <v>233.79750000000001</v>
      </c>
      <c r="J40" s="711">
        <v>50</v>
      </c>
      <c r="K40" s="712">
        <v>11689.789999999999</v>
      </c>
    </row>
    <row r="41" spans="1:11" ht="14.4" customHeight="1" x14ac:dyDescent="0.3">
      <c r="A41" s="695" t="s">
        <v>545</v>
      </c>
      <c r="B41" s="696" t="s">
        <v>1978</v>
      </c>
      <c r="C41" s="699" t="s">
        <v>555</v>
      </c>
      <c r="D41" s="720" t="s">
        <v>1980</v>
      </c>
      <c r="E41" s="699" t="s">
        <v>4055</v>
      </c>
      <c r="F41" s="720" t="s">
        <v>4056</v>
      </c>
      <c r="G41" s="699" t="s">
        <v>3292</v>
      </c>
      <c r="H41" s="699" t="s">
        <v>3293</v>
      </c>
      <c r="I41" s="711">
        <v>25.56</v>
      </c>
      <c r="J41" s="711">
        <v>384</v>
      </c>
      <c r="K41" s="712">
        <v>9813.6000000000022</v>
      </c>
    </row>
    <row r="42" spans="1:11" ht="14.4" customHeight="1" x14ac:dyDescent="0.3">
      <c r="A42" s="695" t="s">
        <v>545</v>
      </c>
      <c r="B42" s="696" t="s">
        <v>1978</v>
      </c>
      <c r="C42" s="699" t="s">
        <v>555</v>
      </c>
      <c r="D42" s="720" t="s">
        <v>1980</v>
      </c>
      <c r="E42" s="699" t="s">
        <v>4055</v>
      </c>
      <c r="F42" s="720" t="s">
        <v>4056</v>
      </c>
      <c r="G42" s="699" t="s">
        <v>3362</v>
      </c>
      <c r="H42" s="699" t="s">
        <v>3363</v>
      </c>
      <c r="I42" s="711">
        <v>22.15</v>
      </c>
      <c r="J42" s="711">
        <v>500</v>
      </c>
      <c r="K42" s="712">
        <v>11075</v>
      </c>
    </row>
    <row r="43" spans="1:11" ht="14.4" customHeight="1" x14ac:dyDescent="0.3">
      <c r="A43" s="695" t="s">
        <v>545</v>
      </c>
      <c r="B43" s="696" t="s">
        <v>1978</v>
      </c>
      <c r="C43" s="699" t="s">
        <v>555</v>
      </c>
      <c r="D43" s="720" t="s">
        <v>1980</v>
      </c>
      <c r="E43" s="699" t="s">
        <v>4055</v>
      </c>
      <c r="F43" s="720" t="s">
        <v>4056</v>
      </c>
      <c r="G43" s="699" t="s">
        <v>3364</v>
      </c>
      <c r="H43" s="699" t="s">
        <v>3365</v>
      </c>
      <c r="I43" s="711">
        <v>30.178000000000004</v>
      </c>
      <c r="J43" s="711">
        <v>215</v>
      </c>
      <c r="K43" s="712">
        <v>6488.2</v>
      </c>
    </row>
    <row r="44" spans="1:11" ht="14.4" customHeight="1" x14ac:dyDescent="0.3">
      <c r="A44" s="695" t="s">
        <v>545</v>
      </c>
      <c r="B44" s="696" t="s">
        <v>1978</v>
      </c>
      <c r="C44" s="699" t="s">
        <v>555</v>
      </c>
      <c r="D44" s="720" t="s">
        <v>1980</v>
      </c>
      <c r="E44" s="699" t="s">
        <v>4055</v>
      </c>
      <c r="F44" s="720" t="s">
        <v>4056</v>
      </c>
      <c r="G44" s="699" t="s">
        <v>3366</v>
      </c>
      <c r="H44" s="699" t="s">
        <v>3367</v>
      </c>
      <c r="I44" s="711">
        <v>12.42</v>
      </c>
      <c r="J44" s="711">
        <v>870</v>
      </c>
      <c r="K44" s="712">
        <v>10805.400000000001</v>
      </c>
    </row>
    <row r="45" spans="1:11" ht="14.4" customHeight="1" x14ac:dyDescent="0.3">
      <c r="A45" s="695" t="s">
        <v>545</v>
      </c>
      <c r="B45" s="696" t="s">
        <v>1978</v>
      </c>
      <c r="C45" s="699" t="s">
        <v>555</v>
      </c>
      <c r="D45" s="720" t="s">
        <v>1980</v>
      </c>
      <c r="E45" s="699" t="s">
        <v>4055</v>
      </c>
      <c r="F45" s="720" t="s">
        <v>4056</v>
      </c>
      <c r="G45" s="699" t="s">
        <v>3368</v>
      </c>
      <c r="H45" s="699" t="s">
        <v>3369</v>
      </c>
      <c r="I45" s="711">
        <v>1.38</v>
      </c>
      <c r="J45" s="711">
        <v>100</v>
      </c>
      <c r="K45" s="712">
        <v>138</v>
      </c>
    </row>
    <row r="46" spans="1:11" ht="14.4" customHeight="1" x14ac:dyDescent="0.3">
      <c r="A46" s="695" t="s">
        <v>545</v>
      </c>
      <c r="B46" s="696" t="s">
        <v>1978</v>
      </c>
      <c r="C46" s="699" t="s">
        <v>555</v>
      </c>
      <c r="D46" s="720" t="s">
        <v>1980</v>
      </c>
      <c r="E46" s="699" t="s">
        <v>4055</v>
      </c>
      <c r="F46" s="720" t="s">
        <v>4056</v>
      </c>
      <c r="G46" s="699" t="s">
        <v>3370</v>
      </c>
      <c r="H46" s="699" t="s">
        <v>3371</v>
      </c>
      <c r="I46" s="711">
        <v>8.1783333333333328</v>
      </c>
      <c r="J46" s="711">
        <v>1400</v>
      </c>
      <c r="K46" s="712">
        <v>11449</v>
      </c>
    </row>
    <row r="47" spans="1:11" ht="14.4" customHeight="1" x14ac:dyDescent="0.3">
      <c r="A47" s="695" t="s">
        <v>545</v>
      </c>
      <c r="B47" s="696" t="s">
        <v>1978</v>
      </c>
      <c r="C47" s="699" t="s">
        <v>555</v>
      </c>
      <c r="D47" s="720" t="s">
        <v>1980</v>
      </c>
      <c r="E47" s="699" t="s">
        <v>4055</v>
      </c>
      <c r="F47" s="720" t="s">
        <v>4056</v>
      </c>
      <c r="G47" s="699" t="s">
        <v>3372</v>
      </c>
      <c r="H47" s="699" t="s">
        <v>3373</v>
      </c>
      <c r="I47" s="711">
        <v>12.020000000000001</v>
      </c>
      <c r="J47" s="711">
        <v>288</v>
      </c>
      <c r="K47" s="712">
        <v>3462.8999999999996</v>
      </c>
    </row>
    <row r="48" spans="1:11" ht="14.4" customHeight="1" x14ac:dyDescent="0.3">
      <c r="A48" s="695" t="s">
        <v>545</v>
      </c>
      <c r="B48" s="696" t="s">
        <v>1978</v>
      </c>
      <c r="C48" s="699" t="s">
        <v>555</v>
      </c>
      <c r="D48" s="720" t="s">
        <v>1980</v>
      </c>
      <c r="E48" s="699" t="s">
        <v>4055</v>
      </c>
      <c r="F48" s="720" t="s">
        <v>4056</v>
      </c>
      <c r="G48" s="699" t="s">
        <v>3374</v>
      </c>
      <c r="H48" s="699" t="s">
        <v>3375</v>
      </c>
      <c r="I48" s="711">
        <v>39.1</v>
      </c>
      <c r="J48" s="711">
        <v>40</v>
      </c>
      <c r="K48" s="712">
        <v>1564.13</v>
      </c>
    </row>
    <row r="49" spans="1:11" ht="14.4" customHeight="1" x14ac:dyDescent="0.3">
      <c r="A49" s="695" t="s">
        <v>545</v>
      </c>
      <c r="B49" s="696" t="s">
        <v>1978</v>
      </c>
      <c r="C49" s="699" t="s">
        <v>555</v>
      </c>
      <c r="D49" s="720" t="s">
        <v>1980</v>
      </c>
      <c r="E49" s="699" t="s">
        <v>4055</v>
      </c>
      <c r="F49" s="720" t="s">
        <v>4056</v>
      </c>
      <c r="G49" s="699" t="s">
        <v>3376</v>
      </c>
      <c r="H49" s="699" t="s">
        <v>3377</v>
      </c>
      <c r="I49" s="711">
        <v>0.45999999999999996</v>
      </c>
      <c r="J49" s="711">
        <v>12000</v>
      </c>
      <c r="K49" s="712">
        <v>5552</v>
      </c>
    </row>
    <row r="50" spans="1:11" ht="14.4" customHeight="1" x14ac:dyDescent="0.3">
      <c r="A50" s="695" t="s">
        <v>545</v>
      </c>
      <c r="B50" s="696" t="s">
        <v>1978</v>
      </c>
      <c r="C50" s="699" t="s">
        <v>555</v>
      </c>
      <c r="D50" s="720" t="s">
        <v>1980</v>
      </c>
      <c r="E50" s="699" t="s">
        <v>4055</v>
      </c>
      <c r="F50" s="720" t="s">
        <v>4056</v>
      </c>
      <c r="G50" s="699" t="s">
        <v>3296</v>
      </c>
      <c r="H50" s="699" t="s">
        <v>3297</v>
      </c>
      <c r="I50" s="711">
        <v>0.6</v>
      </c>
      <c r="J50" s="711">
        <v>20500</v>
      </c>
      <c r="K50" s="712">
        <v>12300</v>
      </c>
    </row>
    <row r="51" spans="1:11" ht="14.4" customHeight="1" x14ac:dyDescent="0.3">
      <c r="A51" s="695" t="s">
        <v>545</v>
      </c>
      <c r="B51" s="696" t="s">
        <v>1978</v>
      </c>
      <c r="C51" s="699" t="s">
        <v>555</v>
      </c>
      <c r="D51" s="720" t="s">
        <v>1980</v>
      </c>
      <c r="E51" s="699" t="s">
        <v>4055</v>
      </c>
      <c r="F51" s="720" t="s">
        <v>4056</v>
      </c>
      <c r="G51" s="699" t="s">
        <v>3378</v>
      </c>
      <c r="H51" s="699" t="s">
        <v>3379</v>
      </c>
      <c r="I51" s="711">
        <v>3.2649999999999997</v>
      </c>
      <c r="J51" s="711">
        <v>200</v>
      </c>
      <c r="K51" s="712">
        <v>653</v>
      </c>
    </row>
    <row r="52" spans="1:11" ht="14.4" customHeight="1" x14ac:dyDescent="0.3">
      <c r="A52" s="695" t="s">
        <v>545</v>
      </c>
      <c r="B52" s="696" t="s">
        <v>1978</v>
      </c>
      <c r="C52" s="699" t="s">
        <v>555</v>
      </c>
      <c r="D52" s="720" t="s">
        <v>1980</v>
      </c>
      <c r="E52" s="699" t="s">
        <v>4055</v>
      </c>
      <c r="F52" s="720" t="s">
        <v>4056</v>
      </c>
      <c r="G52" s="699" t="s">
        <v>3380</v>
      </c>
      <c r="H52" s="699" t="s">
        <v>3381</v>
      </c>
      <c r="I52" s="711">
        <v>3.94</v>
      </c>
      <c r="J52" s="711">
        <v>2000</v>
      </c>
      <c r="K52" s="712">
        <v>7884.6</v>
      </c>
    </row>
    <row r="53" spans="1:11" ht="14.4" customHeight="1" x14ac:dyDescent="0.3">
      <c r="A53" s="695" t="s">
        <v>545</v>
      </c>
      <c r="B53" s="696" t="s">
        <v>1978</v>
      </c>
      <c r="C53" s="699" t="s">
        <v>555</v>
      </c>
      <c r="D53" s="720" t="s">
        <v>1980</v>
      </c>
      <c r="E53" s="699" t="s">
        <v>4055</v>
      </c>
      <c r="F53" s="720" t="s">
        <v>4056</v>
      </c>
      <c r="G53" s="699" t="s">
        <v>3382</v>
      </c>
      <c r="H53" s="699" t="s">
        <v>3383</v>
      </c>
      <c r="I53" s="711">
        <v>66.234999999999999</v>
      </c>
      <c r="J53" s="711">
        <v>120</v>
      </c>
      <c r="K53" s="712">
        <v>7948.4</v>
      </c>
    </row>
    <row r="54" spans="1:11" ht="14.4" customHeight="1" x14ac:dyDescent="0.3">
      <c r="A54" s="695" t="s">
        <v>545</v>
      </c>
      <c r="B54" s="696" t="s">
        <v>1978</v>
      </c>
      <c r="C54" s="699" t="s">
        <v>555</v>
      </c>
      <c r="D54" s="720" t="s">
        <v>1980</v>
      </c>
      <c r="E54" s="699" t="s">
        <v>4055</v>
      </c>
      <c r="F54" s="720" t="s">
        <v>4056</v>
      </c>
      <c r="G54" s="699" t="s">
        <v>3384</v>
      </c>
      <c r="H54" s="699" t="s">
        <v>3385</v>
      </c>
      <c r="I54" s="711">
        <v>8.58</v>
      </c>
      <c r="J54" s="711">
        <v>310</v>
      </c>
      <c r="K54" s="712">
        <v>2659.8</v>
      </c>
    </row>
    <row r="55" spans="1:11" ht="14.4" customHeight="1" x14ac:dyDescent="0.3">
      <c r="A55" s="695" t="s">
        <v>545</v>
      </c>
      <c r="B55" s="696" t="s">
        <v>1978</v>
      </c>
      <c r="C55" s="699" t="s">
        <v>555</v>
      </c>
      <c r="D55" s="720" t="s">
        <v>1980</v>
      </c>
      <c r="E55" s="699" t="s">
        <v>4055</v>
      </c>
      <c r="F55" s="720" t="s">
        <v>4056</v>
      </c>
      <c r="G55" s="699" t="s">
        <v>3386</v>
      </c>
      <c r="H55" s="699" t="s">
        <v>3387</v>
      </c>
      <c r="I55" s="711">
        <v>29.01</v>
      </c>
      <c r="J55" s="711">
        <v>4</v>
      </c>
      <c r="K55" s="712">
        <v>116.04</v>
      </c>
    </row>
    <row r="56" spans="1:11" ht="14.4" customHeight="1" x14ac:dyDescent="0.3">
      <c r="A56" s="695" t="s">
        <v>545</v>
      </c>
      <c r="B56" s="696" t="s">
        <v>1978</v>
      </c>
      <c r="C56" s="699" t="s">
        <v>555</v>
      </c>
      <c r="D56" s="720" t="s">
        <v>1980</v>
      </c>
      <c r="E56" s="699" t="s">
        <v>4055</v>
      </c>
      <c r="F56" s="720" t="s">
        <v>4056</v>
      </c>
      <c r="G56" s="699" t="s">
        <v>3388</v>
      </c>
      <c r="H56" s="699" t="s">
        <v>3389</v>
      </c>
      <c r="I56" s="711">
        <v>159.55000000000001</v>
      </c>
      <c r="J56" s="711">
        <v>10</v>
      </c>
      <c r="K56" s="712">
        <v>1595.51</v>
      </c>
    </row>
    <row r="57" spans="1:11" ht="14.4" customHeight="1" x14ac:dyDescent="0.3">
      <c r="A57" s="695" t="s">
        <v>545</v>
      </c>
      <c r="B57" s="696" t="s">
        <v>1978</v>
      </c>
      <c r="C57" s="699" t="s">
        <v>555</v>
      </c>
      <c r="D57" s="720" t="s">
        <v>1980</v>
      </c>
      <c r="E57" s="699" t="s">
        <v>4055</v>
      </c>
      <c r="F57" s="720" t="s">
        <v>4056</v>
      </c>
      <c r="G57" s="699" t="s">
        <v>3390</v>
      </c>
      <c r="H57" s="699" t="s">
        <v>3391</v>
      </c>
      <c r="I57" s="711">
        <v>10.1225</v>
      </c>
      <c r="J57" s="711">
        <v>500</v>
      </c>
      <c r="K57" s="712">
        <v>5027</v>
      </c>
    </row>
    <row r="58" spans="1:11" ht="14.4" customHeight="1" x14ac:dyDescent="0.3">
      <c r="A58" s="695" t="s">
        <v>545</v>
      </c>
      <c r="B58" s="696" t="s">
        <v>1978</v>
      </c>
      <c r="C58" s="699" t="s">
        <v>555</v>
      </c>
      <c r="D58" s="720" t="s">
        <v>1980</v>
      </c>
      <c r="E58" s="699" t="s">
        <v>4055</v>
      </c>
      <c r="F58" s="720" t="s">
        <v>4056</v>
      </c>
      <c r="G58" s="699" t="s">
        <v>3392</v>
      </c>
      <c r="H58" s="699" t="s">
        <v>3393</v>
      </c>
      <c r="I58" s="711">
        <v>1.2649999999999999</v>
      </c>
      <c r="J58" s="711">
        <v>13000</v>
      </c>
      <c r="K58" s="712">
        <v>16438</v>
      </c>
    </row>
    <row r="59" spans="1:11" ht="14.4" customHeight="1" x14ac:dyDescent="0.3">
      <c r="A59" s="695" t="s">
        <v>545</v>
      </c>
      <c r="B59" s="696" t="s">
        <v>1978</v>
      </c>
      <c r="C59" s="699" t="s">
        <v>555</v>
      </c>
      <c r="D59" s="720" t="s">
        <v>1980</v>
      </c>
      <c r="E59" s="699" t="s">
        <v>4055</v>
      </c>
      <c r="F59" s="720" t="s">
        <v>4056</v>
      </c>
      <c r="G59" s="699" t="s">
        <v>3394</v>
      </c>
      <c r="H59" s="699" t="s">
        <v>3395</v>
      </c>
      <c r="I59" s="711">
        <v>46.02</v>
      </c>
      <c r="J59" s="711">
        <v>3</v>
      </c>
      <c r="K59" s="712">
        <v>138.06</v>
      </c>
    </row>
    <row r="60" spans="1:11" ht="14.4" customHeight="1" x14ac:dyDescent="0.3">
      <c r="A60" s="695" t="s">
        <v>545</v>
      </c>
      <c r="B60" s="696" t="s">
        <v>1978</v>
      </c>
      <c r="C60" s="699" t="s">
        <v>555</v>
      </c>
      <c r="D60" s="720" t="s">
        <v>1980</v>
      </c>
      <c r="E60" s="699" t="s">
        <v>4055</v>
      </c>
      <c r="F60" s="720" t="s">
        <v>4056</v>
      </c>
      <c r="G60" s="699" t="s">
        <v>3396</v>
      </c>
      <c r="H60" s="699" t="s">
        <v>3397</v>
      </c>
      <c r="I60" s="711">
        <v>283.02</v>
      </c>
      <c r="J60" s="711">
        <v>5</v>
      </c>
      <c r="K60" s="712">
        <v>1415.08</v>
      </c>
    </row>
    <row r="61" spans="1:11" ht="14.4" customHeight="1" x14ac:dyDescent="0.3">
      <c r="A61" s="695" t="s">
        <v>545</v>
      </c>
      <c r="B61" s="696" t="s">
        <v>1978</v>
      </c>
      <c r="C61" s="699" t="s">
        <v>555</v>
      </c>
      <c r="D61" s="720" t="s">
        <v>1980</v>
      </c>
      <c r="E61" s="699" t="s">
        <v>4055</v>
      </c>
      <c r="F61" s="720" t="s">
        <v>4056</v>
      </c>
      <c r="G61" s="699" t="s">
        <v>3398</v>
      </c>
      <c r="H61" s="699" t="s">
        <v>3399</v>
      </c>
      <c r="I61" s="711">
        <v>0.92500000000000016</v>
      </c>
      <c r="J61" s="711">
        <v>22000</v>
      </c>
      <c r="K61" s="712">
        <v>20370</v>
      </c>
    </row>
    <row r="62" spans="1:11" ht="14.4" customHeight="1" x14ac:dyDescent="0.3">
      <c r="A62" s="695" t="s">
        <v>545</v>
      </c>
      <c r="B62" s="696" t="s">
        <v>1978</v>
      </c>
      <c r="C62" s="699" t="s">
        <v>555</v>
      </c>
      <c r="D62" s="720" t="s">
        <v>1980</v>
      </c>
      <c r="E62" s="699" t="s">
        <v>4055</v>
      </c>
      <c r="F62" s="720" t="s">
        <v>4056</v>
      </c>
      <c r="G62" s="699" t="s">
        <v>3400</v>
      </c>
      <c r="H62" s="699" t="s">
        <v>3401</v>
      </c>
      <c r="I62" s="711">
        <v>259.89999999999998</v>
      </c>
      <c r="J62" s="711">
        <v>2</v>
      </c>
      <c r="K62" s="712">
        <v>519.79999999999995</v>
      </c>
    </row>
    <row r="63" spans="1:11" ht="14.4" customHeight="1" x14ac:dyDescent="0.3">
      <c r="A63" s="695" t="s">
        <v>545</v>
      </c>
      <c r="B63" s="696" t="s">
        <v>1978</v>
      </c>
      <c r="C63" s="699" t="s">
        <v>555</v>
      </c>
      <c r="D63" s="720" t="s">
        <v>1980</v>
      </c>
      <c r="E63" s="699" t="s">
        <v>4055</v>
      </c>
      <c r="F63" s="720" t="s">
        <v>4056</v>
      </c>
      <c r="G63" s="699" t="s">
        <v>3402</v>
      </c>
      <c r="H63" s="699" t="s">
        <v>3403</v>
      </c>
      <c r="I63" s="711">
        <v>122.07</v>
      </c>
      <c r="J63" s="711">
        <v>10</v>
      </c>
      <c r="K63" s="712">
        <v>1220.73</v>
      </c>
    </row>
    <row r="64" spans="1:11" ht="14.4" customHeight="1" x14ac:dyDescent="0.3">
      <c r="A64" s="695" t="s">
        <v>545</v>
      </c>
      <c r="B64" s="696" t="s">
        <v>1978</v>
      </c>
      <c r="C64" s="699" t="s">
        <v>555</v>
      </c>
      <c r="D64" s="720" t="s">
        <v>1980</v>
      </c>
      <c r="E64" s="699" t="s">
        <v>4055</v>
      </c>
      <c r="F64" s="720" t="s">
        <v>4056</v>
      </c>
      <c r="G64" s="699" t="s">
        <v>3404</v>
      </c>
      <c r="H64" s="699" t="s">
        <v>3405</v>
      </c>
      <c r="I64" s="711">
        <v>124.41</v>
      </c>
      <c r="J64" s="711">
        <v>5</v>
      </c>
      <c r="K64" s="712">
        <v>622.04</v>
      </c>
    </row>
    <row r="65" spans="1:11" ht="14.4" customHeight="1" x14ac:dyDescent="0.3">
      <c r="A65" s="695" t="s">
        <v>545</v>
      </c>
      <c r="B65" s="696" t="s">
        <v>1978</v>
      </c>
      <c r="C65" s="699" t="s">
        <v>555</v>
      </c>
      <c r="D65" s="720" t="s">
        <v>1980</v>
      </c>
      <c r="E65" s="699" t="s">
        <v>4055</v>
      </c>
      <c r="F65" s="720" t="s">
        <v>4056</v>
      </c>
      <c r="G65" s="699" t="s">
        <v>3406</v>
      </c>
      <c r="H65" s="699" t="s">
        <v>3407</v>
      </c>
      <c r="I65" s="711">
        <v>7.4980000000000002</v>
      </c>
      <c r="J65" s="711">
        <v>176</v>
      </c>
      <c r="K65" s="712">
        <v>1319.36</v>
      </c>
    </row>
    <row r="66" spans="1:11" ht="14.4" customHeight="1" x14ac:dyDescent="0.3">
      <c r="A66" s="695" t="s">
        <v>545</v>
      </c>
      <c r="B66" s="696" t="s">
        <v>1978</v>
      </c>
      <c r="C66" s="699" t="s">
        <v>555</v>
      </c>
      <c r="D66" s="720" t="s">
        <v>1980</v>
      </c>
      <c r="E66" s="699" t="s">
        <v>4055</v>
      </c>
      <c r="F66" s="720" t="s">
        <v>4056</v>
      </c>
      <c r="G66" s="699" t="s">
        <v>3408</v>
      </c>
      <c r="H66" s="699" t="s">
        <v>3409</v>
      </c>
      <c r="I66" s="711">
        <v>0.85750000000000004</v>
      </c>
      <c r="J66" s="711">
        <v>700</v>
      </c>
      <c r="K66" s="712">
        <v>600</v>
      </c>
    </row>
    <row r="67" spans="1:11" ht="14.4" customHeight="1" x14ac:dyDescent="0.3">
      <c r="A67" s="695" t="s">
        <v>545</v>
      </c>
      <c r="B67" s="696" t="s">
        <v>1978</v>
      </c>
      <c r="C67" s="699" t="s">
        <v>555</v>
      </c>
      <c r="D67" s="720" t="s">
        <v>1980</v>
      </c>
      <c r="E67" s="699" t="s">
        <v>4055</v>
      </c>
      <c r="F67" s="720" t="s">
        <v>4056</v>
      </c>
      <c r="G67" s="699" t="s">
        <v>3410</v>
      </c>
      <c r="H67" s="699" t="s">
        <v>3411</v>
      </c>
      <c r="I67" s="711">
        <v>1.5133333333333334</v>
      </c>
      <c r="J67" s="711">
        <v>600</v>
      </c>
      <c r="K67" s="712">
        <v>908</v>
      </c>
    </row>
    <row r="68" spans="1:11" ht="14.4" customHeight="1" x14ac:dyDescent="0.3">
      <c r="A68" s="695" t="s">
        <v>545</v>
      </c>
      <c r="B68" s="696" t="s">
        <v>1978</v>
      </c>
      <c r="C68" s="699" t="s">
        <v>555</v>
      </c>
      <c r="D68" s="720" t="s">
        <v>1980</v>
      </c>
      <c r="E68" s="699" t="s">
        <v>4055</v>
      </c>
      <c r="F68" s="720" t="s">
        <v>4056</v>
      </c>
      <c r="G68" s="699" t="s">
        <v>3412</v>
      </c>
      <c r="H68" s="699" t="s">
        <v>3413</v>
      </c>
      <c r="I68" s="711">
        <v>1253.31</v>
      </c>
      <c r="J68" s="711">
        <v>1</v>
      </c>
      <c r="K68" s="712">
        <v>1253.31</v>
      </c>
    </row>
    <row r="69" spans="1:11" ht="14.4" customHeight="1" x14ac:dyDescent="0.3">
      <c r="A69" s="695" t="s">
        <v>545</v>
      </c>
      <c r="B69" s="696" t="s">
        <v>1978</v>
      </c>
      <c r="C69" s="699" t="s">
        <v>555</v>
      </c>
      <c r="D69" s="720" t="s">
        <v>1980</v>
      </c>
      <c r="E69" s="699" t="s">
        <v>4055</v>
      </c>
      <c r="F69" s="720" t="s">
        <v>4056</v>
      </c>
      <c r="G69" s="699" t="s">
        <v>3414</v>
      </c>
      <c r="H69" s="699" t="s">
        <v>3415</v>
      </c>
      <c r="I69" s="711">
        <v>89.64</v>
      </c>
      <c r="J69" s="711">
        <v>15</v>
      </c>
      <c r="K69" s="712">
        <v>1344.54</v>
      </c>
    </row>
    <row r="70" spans="1:11" ht="14.4" customHeight="1" x14ac:dyDescent="0.3">
      <c r="A70" s="695" t="s">
        <v>545</v>
      </c>
      <c r="B70" s="696" t="s">
        <v>1978</v>
      </c>
      <c r="C70" s="699" t="s">
        <v>555</v>
      </c>
      <c r="D70" s="720" t="s">
        <v>1980</v>
      </c>
      <c r="E70" s="699" t="s">
        <v>4055</v>
      </c>
      <c r="F70" s="720" t="s">
        <v>4056</v>
      </c>
      <c r="G70" s="699" t="s">
        <v>3416</v>
      </c>
      <c r="H70" s="699" t="s">
        <v>3417</v>
      </c>
      <c r="I70" s="711">
        <v>58.62</v>
      </c>
      <c r="J70" s="711">
        <v>50</v>
      </c>
      <c r="K70" s="712">
        <v>2930.8</v>
      </c>
    </row>
    <row r="71" spans="1:11" ht="14.4" customHeight="1" x14ac:dyDescent="0.3">
      <c r="A71" s="695" t="s">
        <v>545</v>
      </c>
      <c r="B71" s="696" t="s">
        <v>1978</v>
      </c>
      <c r="C71" s="699" t="s">
        <v>555</v>
      </c>
      <c r="D71" s="720" t="s">
        <v>1980</v>
      </c>
      <c r="E71" s="699" t="s">
        <v>4055</v>
      </c>
      <c r="F71" s="720" t="s">
        <v>4056</v>
      </c>
      <c r="G71" s="699" t="s">
        <v>3418</v>
      </c>
      <c r="H71" s="699" t="s">
        <v>3419</v>
      </c>
      <c r="I71" s="711">
        <v>186.23</v>
      </c>
      <c r="J71" s="711">
        <v>25</v>
      </c>
      <c r="K71" s="712">
        <v>4655.8</v>
      </c>
    </row>
    <row r="72" spans="1:11" ht="14.4" customHeight="1" x14ac:dyDescent="0.3">
      <c r="A72" s="695" t="s">
        <v>545</v>
      </c>
      <c r="B72" s="696" t="s">
        <v>1978</v>
      </c>
      <c r="C72" s="699" t="s">
        <v>555</v>
      </c>
      <c r="D72" s="720" t="s">
        <v>1980</v>
      </c>
      <c r="E72" s="699" t="s">
        <v>4055</v>
      </c>
      <c r="F72" s="720" t="s">
        <v>4056</v>
      </c>
      <c r="G72" s="699" t="s">
        <v>3420</v>
      </c>
      <c r="H72" s="699" t="s">
        <v>3421</v>
      </c>
      <c r="I72" s="711">
        <v>12</v>
      </c>
      <c r="J72" s="711">
        <v>400</v>
      </c>
      <c r="K72" s="712">
        <v>4800</v>
      </c>
    </row>
    <row r="73" spans="1:11" ht="14.4" customHeight="1" x14ac:dyDescent="0.3">
      <c r="A73" s="695" t="s">
        <v>545</v>
      </c>
      <c r="B73" s="696" t="s">
        <v>1978</v>
      </c>
      <c r="C73" s="699" t="s">
        <v>555</v>
      </c>
      <c r="D73" s="720" t="s">
        <v>1980</v>
      </c>
      <c r="E73" s="699" t="s">
        <v>4055</v>
      </c>
      <c r="F73" s="720" t="s">
        <v>4056</v>
      </c>
      <c r="G73" s="699" t="s">
        <v>3422</v>
      </c>
      <c r="H73" s="699" t="s">
        <v>3423</v>
      </c>
      <c r="I73" s="711">
        <v>0.31</v>
      </c>
      <c r="J73" s="711">
        <v>200</v>
      </c>
      <c r="K73" s="712">
        <v>62</v>
      </c>
    </row>
    <row r="74" spans="1:11" ht="14.4" customHeight="1" x14ac:dyDescent="0.3">
      <c r="A74" s="695" t="s">
        <v>545</v>
      </c>
      <c r="B74" s="696" t="s">
        <v>1978</v>
      </c>
      <c r="C74" s="699" t="s">
        <v>555</v>
      </c>
      <c r="D74" s="720" t="s">
        <v>1980</v>
      </c>
      <c r="E74" s="699" t="s">
        <v>4055</v>
      </c>
      <c r="F74" s="720" t="s">
        <v>4056</v>
      </c>
      <c r="G74" s="699" t="s">
        <v>3424</v>
      </c>
      <c r="H74" s="699" t="s">
        <v>3425</v>
      </c>
      <c r="I74" s="711">
        <v>1009.9</v>
      </c>
      <c r="J74" s="711">
        <v>3</v>
      </c>
      <c r="K74" s="712">
        <v>3029.71</v>
      </c>
    </row>
    <row r="75" spans="1:11" ht="14.4" customHeight="1" x14ac:dyDescent="0.3">
      <c r="A75" s="695" t="s">
        <v>545</v>
      </c>
      <c r="B75" s="696" t="s">
        <v>1978</v>
      </c>
      <c r="C75" s="699" t="s">
        <v>555</v>
      </c>
      <c r="D75" s="720" t="s">
        <v>1980</v>
      </c>
      <c r="E75" s="699" t="s">
        <v>4055</v>
      </c>
      <c r="F75" s="720" t="s">
        <v>4056</v>
      </c>
      <c r="G75" s="699" t="s">
        <v>3426</v>
      </c>
      <c r="H75" s="699" t="s">
        <v>3427</v>
      </c>
      <c r="I75" s="711">
        <v>694.3</v>
      </c>
      <c r="J75" s="711">
        <v>1</v>
      </c>
      <c r="K75" s="712">
        <v>694.3</v>
      </c>
    </row>
    <row r="76" spans="1:11" ht="14.4" customHeight="1" x14ac:dyDescent="0.3">
      <c r="A76" s="695" t="s">
        <v>545</v>
      </c>
      <c r="B76" s="696" t="s">
        <v>1978</v>
      </c>
      <c r="C76" s="699" t="s">
        <v>555</v>
      </c>
      <c r="D76" s="720" t="s">
        <v>1980</v>
      </c>
      <c r="E76" s="699" t="s">
        <v>4055</v>
      </c>
      <c r="F76" s="720" t="s">
        <v>4056</v>
      </c>
      <c r="G76" s="699" t="s">
        <v>3428</v>
      </c>
      <c r="H76" s="699" t="s">
        <v>3429</v>
      </c>
      <c r="I76" s="711">
        <v>1141.6300000000001</v>
      </c>
      <c r="J76" s="711">
        <v>2</v>
      </c>
      <c r="K76" s="712">
        <v>2283.27</v>
      </c>
    </row>
    <row r="77" spans="1:11" ht="14.4" customHeight="1" x14ac:dyDescent="0.3">
      <c r="A77" s="695" t="s">
        <v>545</v>
      </c>
      <c r="B77" s="696" t="s">
        <v>1978</v>
      </c>
      <c r="C77" s="699" t="s">
        <v>555</v>
      </c>
      <c r="D77" s="720" t="s">
        <v>1980</v>
      </c>
      <c r="E77" s="699" t="s">
        <v>4055</v>
      </c>
      <c r="F77" s="720" t="s">
        <v>4056</v>
      </c>
      <c r="G77" s="699" t="s">
        <v>3430</v>
      </c>
      <c r="H77" s="699" t="s">
        <v>3431</v>
      </c>
      <c r="I77" s="711">
        <v>5.27</v>
      </c>
      <c r="J77" s="711">
        <v>260</v>
      </c>
      <c r="K77" s="712">
        <v>1370.2</v>
      </c>
    </row>
    <row r="78" spans="1:11" ht="14.4" customHeight="1" x14ac:dyDescent="0.3">
      <c r="A78" s="695" t="s">
        <v>545</v>
      </c>
      <c r="B78" s="696" t="s">
        <v>1978</v>
      </c>
      <c r="C78" s="699" t="s">
        <v>555</v>
      </c>
      <c r="D78" s="720" t="s">
        <v>1980</v>
      </c>
      <c r="E78" s="699" t="s">
        <v>4055</v>
      </c>
      <c r="F78" s="720" t="s">
        <v>4056</v>
      </c>
      <c r="G78" s="699" t="s">
        <v>3432</v>
      </c>
      <c r="H78" s="699" t="s">
        <v>3433</v>
      </c>
      <c r="I78" s="711">
        <v>380.88</v>
      </c>
      <c r="J78" s="711">
        <v>10</v>
      </c>
      <c r="K78" s="712">
        <v>3808.8</v>
      </c>
    </row>
    <row r="79" spans="1:11" ht="14.4" customHeight="1" x14ac:dyDescent="0.3">
      <c r="A79" s="695" t="s">
        <v>545</v>
      </c>
      <c r="B79" s="696" t="s">
        <v>1978</v>
      </c>
      <c r="C79" s="699" t="s">
        <v>555</v>
      </c>
      <c r="D79" s="720" t="s">
        <v>1980</v>
      </c>
      <c r="E79" s="699" t="s">
        <v>4055</v>
      </c>
      <c r="F79" s="720" t="s">
        <v>4056</v>
      </c>
      <c r="G79" s="699" t="s">
        <v>3434</v>
      </c>
      <c r="H79" s="699" t="s">
        <v>3435</v>
      </c>
      <c r="I79" s="711">
        <v>129.94999999999999</v>
      </c>
      <c r="J79" s="711">
        <v>10</v>
      </c>
      <c r="K79" s="712">
        <v>1299.5</v>
      </c>
    </row>
    <row r="80" spans="1:11" ht="14.4" customHeight="1" x14ac:dyDescent="0.3">
      <c r="A80" s="695" t="s">
        <v>545</v>
      </c>
      <c r="B80" s="696" t="s">
        <v>1978</v>
      </c>
      <c r="C80" s="699" t="s">
        <v>555</v>
      </c>
      <c r="D80" s="720" t="s">
        <v>1980</v>
      </c>
      <c r="E80" s="699" t="s">
        <v>4055</v>
      </c>
      <c r="F80" s="720" t="s">
        <v>4056</v>
      </c>
      <c r="G80" s="699" t="s">
        <v>3436</v>
      </c>
      <c r="H80" s="699" t="s">
        <v>3437</v>
      </c>
      <c r="I80" s="711">
        <v>14.49</v>
      </c>
      <c r="J80" s="711">
        <v>40</v>
      </c>
      <c r="K80" s="712">
        <v>579.6</v>
      </c>
    </row>
    <row r="81" spans="1:11" ht="14.4" customHeight="1" x14ac:dyDescent="0.3">
      <c r="A81" s="695" t="s">
        <v>545</v>
      </c>
      <c r="B81" s="696" t="s">
        <v>1978</v>
      </c>
      <c r="C81" s="699" t="s">
        <v>555</v>
      </c>
      <c r="D81" s="720" t="s">
        <v>1980</v>
      </c>
      <c r="E81" s="699" t="s">
        <v>4057</v>
      </c>
      <c r="F81" s="720" t="s">
        <v>4058</v>
      </c>
      <c r="G81" s="699" t="s">
        <v>3438</v>
      </c>
      <c r="H81" s="699" t="s">
        <v>3439</v>
      </c>
      <c r="I81" s="711">
        <v>229.9</v>
      </c>
      <c r="J81" s="711">
        <v>280</v>
      </c>
      <c r="K81" s="712">
        <v>64372.05</v>
      </c>
    </row>
    <row r="82" spans="1:11" ht="14.4" customHeight="1" x14ac:dyDescent="0.3">
      <c r="A82" s="695" t="s">
        <v>545</v>
      </c>
      <c r="B82" s="696" t="s">
        <v>1978</v>
      </c>
      <c r="C82" s="699" t="s">
        <v>555</v>
      </c>
      <c r="D82" s="720" t="s">
        <v>1980</v>
      </c>
      <c r="E82" s="699" t="s">
        <v>4057</v>
      </c>
      <c r="F82" s="720" t="s">
        <v>4058</v>
      </c>
      <c r="G82" s="699" t="s">
        <v>3440</v>
      </c>
      <c r="H82" s="699" t="s">
        <v>3441</v>
      </c>
      <c r="I82" s="711">
        <v>268.61999999999995</v>
      </c>
      <c r="J82" s="711">
        <v>180</v>
      </c>
      <c r="K82" s="712">
        <v>48351.6</v>
      </c>
    </row>
    <row r="83" spans="1:11" ht="14.4" customHeight="1" x14ac:dyDescent="0.3">
      <c r="A83" s="695" t="s">
        <v>545</v>
      </c>
      <c r="B83" s="696" t="s">
        <v>1978</v>
      </c>
      <c r="C83" s="699" t="s">
        <v>555</v>
      </c>
      <c r="D83" s="720" t="s">
        <v>1980</v>
      </c>
      <c r="E83" s="699" t="s">
        <v>4057</v>
      </c>
      <c r="F83" s="720" t="s">
        <v>4058</v>
      </c>
      <c r="G83" s="699" t="s">
        <v>3442</v>
      </c>
      <c r="H83" s="699" t="s">
        <v>3443</v>
      </c>
      <c r="I83" s="711">
        <v>58.36999999999999</v>
      </c>
      <c r="J83" s="711">
        <v>600</v>
      </c>
      <c r="K83" s="712">
        <v>35022</v>
      </c>
    </row>
    <row r="84" spans="1:11" ht="14.4" customHeight="1" x14ac:dyDescent="0.3">
      <c r="A84" s="695" t="s">
        <v>545</v>
      </c>
      <c r="B84" s="696" t="s">
        <v>1978</v>
      </c>
      <c r="C84" s="699" t="s">
        <v>555</v>
      </c>
      <c r="D84" s="720" t="s">
        <v>1980</v>
      </c>
      <c r="E84" s="699" t="s">
        <v>4057</v>
      </c>
      <c r="F84" s="720" t="s">
        <v>4058</v>
      </c>
      <c r="G84" s="699" t="s">
        <v>3444</v>
      </c>
      <c r="H84" s="699" t="s">
        <v>3445</v>
      </c>
      <c r="I84" s="711">
        <v>3.1674999999999995</v>
      </c>
      <c r="J84" s="711">
        <v>250</v>
      </c>
      <c r="K84" s="712">
        <v>809</v>
      </c>
    </row>
    <row r="85" spans="1:11" ht="14.4" customHeight="1" x14ac:dyDescent="0.3">
      <c r="A85" s="695" t="s">
        <v>545</v>
      </c>
      <c r="B85" s="696" t="s">
        <v>1978</v>
      </c>
      <c r="C85" s="699" t="s">
        <v>555</v>
      </c>
      <c r="D85" s="720" t="s">
        <v>1980</v>
      </c>
      <c r="E85" s="699" t="s">
        <v>4057</v>
      </c>
      <c r="F85" s="720" t="s">
        <v>4058</v>
      </c>
      <c r="G85" s="699" t="s">
        <v>3446</v>
      </c>
      <c r="H85" s="699" t="s">
        <v>3447</v>
      </c>
      <c r="I85" s="711">
        <v>0.21</v>
      </c>
      <c r="J85" s="711">
        <v>200</v>
      </c>
      <c r="K85" s="712">
        <v>42</v>
      </c>
    </row>
    <row r="86" spans="1:11" ht="14.4" customHeight="1" x14ac:dyDescent="0.3">
      <c r="A86" s="695" t="s">
        <v>545</v>
      </c>
      <c r="B86" s="696" t="s">
        <v>1978</v>
      </c>
      <c r="C86" s="699" t="s">
        <v>555</v>
      </c>
      <c r="D86" s="720" t="s">
        <v>1980</v>
      </c>
      <c r="E86" s="699" t="s">
        <v>4057</v>
      </c>
      <c r="F86" s="720" t="s">
        <v>4058</v>
      </c>
      <c r="G86" s="699" t="s">
        <v>3448</v>
      </c>
      <c r="H86" s="699" t="s">
        <v>3449</v>
      </c>
      <c r="I86" s="711">
        <v>11.145999999999999</v>
      </c>
      <c r="J86" s="711">
        <v>2500</v>
      </c>
      <c r="K86" s="712">
        <v>27863</v>
      </c>
    </row>
    <row r="87" spans="1:11" ht="14.4" customHeight="1" x14ac:dyDescent="0.3">
      <c r="A87" s="695" t="s">
        <v>545</v>
      </c>
      <c r="B87" s="696" t="s">
        <v>1978</v>
      </c>
      <c r="C87" s="699" t="s">
        <v>555</v>
      </c>
      <c r="D87" s="720" t="s">
        <v>1980</v>
      </c>
      <c r="E87" s="699" t="s">
        <v>4057</v>
      </c>
      <c r="F87" s="720" t="s">
        <v>4058</v>
      </c>
      <c r="G87" s="699" t="s">
        <v>3302</v>
      </c>
      <c r="H87" s="699" t="s">
        <v>3303</v>
      </c>
      <c r="I87" s="711">
        <v>0.93571428571428561</v>
      </c>
      <c r="J87" s="711">
        <v>11000</v>
      </c>
      <c r="K87" s="712">
        <v>10295</v>
      </c>
    </row>
    <row r="88" spans="1:11" ht="14.4" customHeight="1" x14ac:dyDescent="0.3">
      <c r="A88" s="695" t="s">
        <v>545</v>
      </c>
      <c r="B88" s="696" t="s">
        <v>1978</v>
      </c>
      <c r="C88" s="699" t="s">
        <v>555</v>
      </c>
      <c r="D88" s="720" t="s">
        <v>1980</v>
      </c>
      <c r="E88" s="699" t="s">
        <v>4057</v>
      </c>
      <c r="F88" s="720" t="s">
        <v>4058</v>
      </c>
      <c r="G88" s="699" t="s">
        <v>3304</v>
      </c>
      <c r="H88" s="699" t="s">
        <v>3305</v>
      </c>
      <c r="I88" s="711">
        <v>1.4349999999999998</v>
      </c>
      <c r="J88" s="711">
        <v>6800</v>
      </c>
      <c r="K88" s="712">
        <v>9784</v>
      </c>
    </row>
    <row r="89" spans="1:11" ht="14.4" customHeight="1" x14ac:dyDescent="0.3">
      <c r="A89" s="695" t="s">
        <v>545</v>
      </c>
      <c r="B89" s="696" t="s">
        <v>1978</v>
      </c>
      <c r="C89" s="699" t="s">
        <v>555</v>
      </c>
      <c r="D89" s="720" t="s">
        <v>1980</v>
      </c>
      <c r="E89" s="699" t="s">
        <v>4057</v>
      </c>
      <c r="F89" s="720" t="s">
        <v>4058</v>
      </c>
      <c r="G89" s="699" t="s">
        <v>3306</v>
      </c>
      <c r="H89" s="699" t="s">
        <v>3307</v>
      </c>
      <c r="I89" s="711">
        <v>0.41666666666666669</v>
      </c>
      <c r="J89" s="711">
        <v>8200</v>
      </c>
      <c r="K89" s="712">
        <v>3414</v>
      </c>
    </row>
    <row r="90" spans="1:11" ht="14.4" customHeight="1" x14ac:dyDescent="0.3">
      <c r="A90" s="695" t="s">
        <v>545</v>
      </c>
      <c r="B90" s="696" t="s">
        <v>1978</v>
      </c>
      <c r="C90" s="699" t="s">
        <v>555</v>
      </c>
      <c r="D90" s="720" t="s">
        <v>1980</v>
      </c>
      <c r="E90" s="699" t="s">
        <v>4057</v>
      </c>
      <c r="F90" s="720" t="s">
        <v>4058</v>
      </c>
      <c r="G90" s="699" t="s">
        <v>3308</v>
      </c>
      <c r="H90" s="699" t="s">
        <v>3309</v>
      </c>
      <c r="I90" s="711">
        <v>0.57999999999999996</v>
      </c>
      <c r="J90" s="711">
        <v>5000</v>
      </c>
      <c r="K90" s="712">
        <v>2900</v>
      </c>
    </row>
    <row r="91" spans="1:11" ht="14.4" customHeight="1" x14ac:dyDescent="0.3">
      <c r="A91" s="695" t="s">
        <v>545</v>
      </c>
      <c r="B91" s="696" t="s">
        <v>1978</v>
      </c>
      <c r="C91" s="699" t="s">
        <v>555</v>
      </c>
      <c r="D91" s="720" t="s">
        <v>1980</v>
      </c>
      <c r="E91" s="699" t="s">
        <v>4057</v>
      </c>
      <c r="F91" s="720" t="s">
        <v>4058</v>
      </c>
      <c r="G91" s="699" t="s">
        <v>3450</v>
      </c>
      <c r="H91" s="699" t="s">
        <v>3451</v>
      </c>
      <c r="I91" s="711">
        <v>3.14</v>
      </c>
      <c r="J91" s="711">
        <v>150</v>
      </c>
      <c r="K91" s="712">
        <v>471</v>
      </c>
    </row>
    <row r="92" spans="1:11" ht="14.4" customHeight="1" x14ac:dyDescent="0.3">
      <c r="A92" s="695" t="s">
        <v>545</v>
      </c>
      <c r="B92" s="696" t="s">
        <v>1978</v>
      </c>
      <c r="C92" s="699" t="s">
        <v>555</v>
      </c>
      <c r="D92" s="720" t="s">
        <v>1980</v>
      </c>
      <c r="E92" s="699" t="s">
        <v>4057</v>
      </c>
      <c r="F92" s="720" t="s">
        <v>4058</v>
      </c>
      <c r="G92" s="699" t="s">
        <v>3452</v>
      </c>
      <c r="H92" s="699" t="s">
        <v>3453</v>
      </c>
      <c r="I92" s="711">
        <v>23.35</v>
      </c>
      <c r="J92" s="711">
        <v>120</v>
      </c>
      <c r="K92" s="712">
        <v>2802.36</v>
      </c>
    </row>
    <row r="93" spans="1:11" ht="14.4" customHeight="1" x14ac:dyDescent="0.3">
      <c r="A93" s="695" t="s">
        <v>545</v>
      </c>
      <c r="B93" s="696" t="s">
        <v>1978</v>
      </c>
      <c r="C93" s="699" t="s">
        <v>555</v>
      </c>
      <c r="D93" s="720" t="s">
        <v>1980</v>
      </c>
      <c r="E93" s="699" t="s">
        <v>4057</v>
      </c>
      <c r="F93" s="720" t="s">
        <v>4058</v>
      </c>
      <c r="G93" s="699" t="s">
        <v>3454</v>
      </c>
      <c r="H93" s="699" t="s">
        <v>3455</v>
      </c>
      <c r="I93" s="711">
        <v>6.29</v>
      </c>
      <c r="J93" s="711">
        <v>10</v>
      </c>
      <c r="K93" s="712">
        <v>62.9</v>
      </c>
    </row>
    <row r="94" spans="1:11" ht="14.4" customHeight="1" x14ac:dyDescent="0.3">
      <c r="A94" s="695" t="s">
        <v>545</v>
      </c>
      <c r="B94" s="696" t="s">
        <v>1978</v>
      </c>
      <c r="C94" s="699" t="s">
        <v>555</v>
      </c>
      <c r="D94" s="720" t="s">
        <v>1980</v>
      </c>
      <c r="E94" s="699" t="s">
        <v>4057</v>
      </c>
      <c r="F94" s="720" t="s">
        <v>4058</v>
      </c>
      <c r="G94" s="699" t="s">
        <v>3456</v>
      </c>
      <c r="H94" s="699" t="s">
        <v>3457</v>
      </c>
      <c r="I94" s="711">
        <v>6.29</v>
      </c>
      <c r="J94" s="711">
        <v>10</v>
      </c>
      <c r="K94" s="712">
        <v>62.9</v>
      </c>
    </row>
    <row r="95" spans="1:11" ht="14.4" customHeight="1" x14ac:dyDescent="0.3">
      <c r="A95" s="695" t="s">
        <v>545</v>
      </c>
      <c r="B95" s="696" t="s">
        <v>1978</v>
      </c>
      <c r="C95" s="699" t="s">
        <v>555</v>
      </c>
      <c r="D95" s="720" t="s">
        <v>1980</v>
      </c>
      <c r="E95" s="699" t="s">
        <v>4057</v>
      </c>
      <c r="F95" s="720" t="s">
        <v>4058</v>
      </c>
      <c r="G95" s="699" t="s">
        <v>3458</v>
      </c>
      <c r="H95" s="699" t="s">
        <v>3459</v>
      </c>
      <c r="I95" s="711">
        <v>6.0960000000000001</v>
      </c>
      <c r="J95" s="711">
        <v>1360</v>
      </c>
      <c r="K95" s="712">
        <v>8301.1</v>
      </c>
    </row>
    <row r="96" spans="1:11" ht="14.4" customHeight="1" x14ac:dyDescent="0.3">
      <c r="A96" s="695" t="s">
        <v>545</v>
      </c>
      <c r="B96" s="696" t="s">
        <v>1978</v>
      </c>
      <c r="C96" s="699" t="s">
        <v>555</v>
      </c>
      <c r="D96" s="720" t="s">
        <v>1980</v>
      </c>
      <c r="E96" s="699" t="s">
        <v>4057</v>
      </c>
      <c r="F96" s="720" t="s">
        <v>4058</v>
      </c>
      <c r="G96" s="699" t="s">
        <v>3460</v>
      </c>
      <c r="H96" s="699" t="s">
        <v>3461</v>
      </c>
      <c r="I96" s="711">
        <v>68.52</v>
      </c>
      <c r="J96" s="711">
        <v>8</v>
      </c>
      <c r="K96" s="712">
        <v>548.16</v>
      </c>
    </row>
    <row r="97" spans="1:11" ht="14.4" customHeight="1" x14ac:dyDescent="0.3">
      <c r="A97" s="695" t="s">
        <v>545</v>
      </c>
      <c r="B97" s="696" t="s">
        <v>1978</v>
      </c>
      <c r="C97" s="699" t="s">
        <v>555</v>
      </c>
      <c r="D97" s="720" t="s">
        <v>1980</v>
      </c>
      <c r="E97" s="699" t="s">
        <v>4057</v>
      </c>
      <c r="F97" s="720" t="s">
        <v>4058</v>
      </c>
      <c r="G97" s="699" t="s">
        <v>3462</v>
      </c>
      <c r="H97" s="699" t="s">
        <v>3463</v>
      </c>
      <c r="I97" s="711">
        <v>5060</v>
      </c>
      <c r="J97" s="711">
        <v>1</v>
      </c>
      <c r="K97" s="712">
        <v>5060</v>
      </c>
    </row>
    <row r="98" spans="1:11" ht="14.4" customHeight="1" x14ac:dyDescent="0.3">
      <c r="A98" s="695" t="s">
        <v>545</v>
      </c>
      <c r="B98" s="696" t="s">
        <v>1978</v>
      </c>
      <c r="C98" s="699" t="s">
        <v>555</v>
      </c>
      <c r="D98" s="720" t="s">
        <v>1980</v>
      </c>
      <c r="E98" s="699" t="s">
        <v>4057</v>
      </c>
      <c r="F98" s="720" t="s">
        <v>4058</v>
      </c>
      <c r="G98" s="699" t="s">
        <v>3464</v>
      </c>
      <c r="H98" s="699" t="s">
        <v>3465</v>
      </c>
      <c r="I98" s="711">
        <v>80.108333333333334</v>
      </c>
      <c r="J98" s="711">
        <v>440</v>
      </c>
      <c r="K98" s="712">
        <v>35340.5</v>
      </c>
    </row>
    <row r="99" spans="1:11" ht="14.4" customHeight="1" x14ac:dyDescent="0.3">
      <c r="A99" s="695" t="s">
        <v>545</v>
      </c>
      <c r="B99" s="696" t="s">
        <v>1978</v>
      </c>
      <c r="C99" s="699" t="s">
        <v>555</v>
      </c>
      <c r="D99" s="720" t="s">
        <v>1980</v>
      </c>
      <c r="E99" s="699" t="s">
        <v>4057</v>
      </c>
      <c r="F99" s="720" t="s">
        <v>4058</v>
      </c>
      <c r="G99" s="699" t="s">
        <v>3466</v>
      </c>
      <c r="H99" s="699" t="s">
        <v>3467</v>
      </c>
      <c r="I99" s="711">
        <v>5.5666666666666664</v>
      </c>
      <c r="J99" s="711">
        <v>1000</v>
      </c>
      <c r="K99" s="712">
        <v>5568</v>
      </c>
    </row>
    <row r="100" spans="1:11" ht="14.4" customHeight="1" x14ac:dyDescent="0.3">
      <c r="A100" s="695" t="s">
        <v>545</v>
      </c>
      <c r="B100" s="696" t="s">
        <v>1978</v>
      </c>
      <c r="C100" s="699" t="s">
        <v>555</v>
      </c>
      <c r="D100" s="720" t="s">
        <v>1980</v>
      </c>
      <c r="E100" s="699" t="s">
        <v>4057</v>
      </c>
      <c r="F100" s="720" t="s">
        <v>4058</v>
      </c>
      <c r="G100" s="699" t="s">
        <v>3468</v>
      </c>
      <c r="H100" s="699" t="s">
        <v>3469</v>
      </c>
      <c r="I100" s="711">
        <v>48.015999999999998</v>
      </c>
      <c r="J100" s="711">
        <v>305</v>
      </c>
      <c r="K100" s="712">
        <v>14631.580000000002</v>
      </c>
    </row>
    <row r="101" spans="1:11" ht="14.4" customHeight="1" x14ac:dyDescent="0.3">
      <c r="A101" s="695" t="s">
        <v>545</v>
      </c>
      <c r="B101" s="696" t="s">
        <v>1978</v>
      </c>
      <c r="C101" s="699" t="s">
        <v>555</v>
      </c>
      <c r="D101" s="720" t="s">
        <v>1980</v>
      </c>
      <c r="E101" s="699" t="s">
        <v>4057</v>
      </c>
      <c r="F101" s="720" t="s">
        <v>4058</v>
      </c>
      <c r="G101" s="699" t="s">
        <v>3470</v>
      </c>
      <c r="H101" s="699" t="s">
        <v>3471</v>
      </c>
      <c r="I101" s="711">
        <v>108.29600000000001</v>
      </c>
      <c r="J101" s="711">
        <v>180</v>
      </c>
      <c r="K101" s="712">
        <v>19492.8</v>
      </c>
    </row>
    <row r="102" spans="1:11" ht="14.4" customHeight="1" x14ac:dyDescent="0.3">
      <c r="A102" s="695" t="s">
        <v>545</v>
      </c>
      <c r="B102" s="696" t="s">
        <v>1978</v>
      </c>
      <c r="C102" s="699" t="s">
        <v>555</v>
      </c>
      <c r="D102" s="720" t="s">
        <v>1980</v>
      </c>
      <c r="E102" s="699" t="s">
        <v>4057</v>
      </c>
      <c r="F102" s="720" t="s">
        <v>4058</v>
      </c>
      <c r="G102" s="699" t="s">
        <v>3472</v>
      </c>
      <c r="H102" s="699" t="s">
        <v>3473</v>
      </c>
      <c r="I102" s="711">
        <v>646.76</v>
      </c>
      <c r="J102" s="711">
        <v>8</v>
      </c>
      <c r="K102" s="712">
        <v>5174.1000000000004</v>
      </c>
    </row>
    <row r="103" spans="1:11" ht="14.4" customHeight="1" x14ac:dyDescent="0.3">
      <c r="A103" s="695" t="s">
        <v>545</v>
      </c>
      <c r="B103" s="696" t="s">
        <v>1978</v>
      </c>
      <c r="C103" s="699" t="s">
        <v>555</v>
      </c>
      <c r="D103" s="720" t="s">
        <v>1980</v>
      </c>
      <c r="E103" s="699" t="s">
        <v>4057</v>
      </c>
      <c r="F103" s="720" t="s">
        <v>4058</v>
      </c>
      <c r="G103" s="699" t="s">
        <v>3474</v>
      </c>
      <c r="H103" s="699" t="s">
        <v>3475</v>
      </c>
      <c r="I103" s="711">
        <v>618.08000000000004</v>
      </c>
      <c r="J103" s="711">
        <v>2</v>
      </c>
      <c r="K103" s="712">
        <v>1236.1600000000001</v>
      </c>
    </row>
    <row r="104" spans="1:11" ht="14.4" customHeight="1" x14ac:dyDescent="0.3">
      <c r="A104" s="695" t="s">
        <v>545</v>
      </c>
      <c r="B104" s="696" t="s">
        <v>1978</v>
      </c>
      <c r="C104" s="699" t="s">
        <v>555</v>
      </c>
      <c r="D104" s="720" t="s">
        <v>1980</v>
      </c>
      <c r="E104" s="699" t="s">
        <v>4057</v>
      </c>
      <c r="F104" s="720" t="s">
        <v>4058</v>
      </c>
      <c r="G104" s="699" t="s">
        <v>3476</v>
      </c>
      <c r="H104" s="699" t="s">
        <v>3477</v>
      </c>
      <c r="I104" s="711">
        <v>16.940000000000001</v>
      </c>
      <c r="J104" s="711">
        <v>20</v>
      </c>
      <c r="K104" s="712">
        <v>338.8</v>
      </c>
    </row>
    <row r="105" spans="1:11" ht="14.4" customHeight="1" x14ac:dyDescent="0.3">
      <c r="A105" s="695" t="s">
        <v>545</v>
      </c>
      <c r="B105" s="696" t="s">
        <v>1978</v>
      </c>
      <c r="C105" s="699" t="s">
        <v>555</v>
      </c>
      <c r="D105" s="720" t="s">
        <v>1980</v>
      </c>
      <c r="E105" s="699" t="s">
        <v>4057</v>
      </c>
      <c r="F105" s="720" t="s">
        <v>4058</v>
      </c>
      <c r="G105" s="699" t="s">
        <v>3478</v>
      </c>
      <c r="H105" s="699" t="s">
        <v>3479</v>
      </c>
      <c r="I105" s="711">
        <v>5.41</v>
      </c>
      <c r="J105" s="711">
        <v>500</v>
      </c>
      <c r="K105" s="712">
        <v>2705</v>
      </c>
    </row>
    <row r="106" spans="1:11" ht="14.4" customHeight="1" x14ac:dyDescent="0.3">
      <c r="A106" s="695" t="s">
        <v>545</v>
      </c>
      <c r="B106" s="696" t="s">
        <v>1978</v>
      </c>
      <c r="C106" s="699" t="s">
        <v>555</v>
      </c>
      <c r="D106" s="720" t="s">
        <v>1980</v>
      </c>
      <c r="E106" s="699" t="s">
        <v>4057</v>
      </c>
      <c r="F106" s="720" t="s">
        <v>4058</v>
      </c>
      <c r="G106" s="699" t="s">
        <v>3480</v>
      </c>
      <c r="H106" s="699" t="s">
        <v>3481</v>
      </c>
      <c r="I106" s="711">
        <v>16.95</v>
      </c>
      <c r="J106" s="711">
        <v>10</v>
      </c>
      <c r="K106" s="712">
        <v>169.5</v>
      </c>
    </row>
    <row r="107" spans="1:11" ht="14.4" customHeight="1" x14ac:dyDescent="0.3">
      <c r="A107" s="695" t="s">
        <v>545</v>
      </c>
      <c r="B107" s="696" t="s">
        <v>1978</v>
      </c>
      <c r="C107" s="699" t="s">
        <v>555</v>
      </c>
      <c r="D107" s="720" t="s">
        <v>1980</v>
      </c>
      <c r="E107" s="699" t="s">
        <v>4057</v>
      </c>
      <c r="F107" s="720" t="s">
        <v>4058</v>
      </c>
      <c r="G107" s="699" t="s">
        <v>3482</v>
      </c>
      <c r="H107" s="699" t="s">
        <v>3483</v>
      </c>
      <c r="I107" s="711">
        <v>474.45</v>
      </c>
      <c r="J107" s="711">
        <v>5</v>
      </c>
      <c r="K107" s="712">
        <v>2372.27</v>
      </c>
    </row>
    <row r="108" spans="1:11" ht="14.4" customHeight="1" x14ac:dyDescent="0.3">
      <c r="A108" s="695" t="s">
        <v>545</v>
      </c>
      <c r="B108" s="696" t="s">
        <v>1978</v>
      </c>
      <c r="C108" s="699" t="s">
        <v>555</v>
      </c>
      <c r="D108" s="720" t="s">
        <v>1980</v>
      </c>
      <c r="E108" s="699" t="s">
        <v>4057</v>
      </c>
      <c r="F108" s="720" t="s">
        <v>4058</v>
      </c>
      <c r="G108" s="699" t="s">
        <v>3484</v>
      </c>
      <c r="H108" s="699" t="s">
        <v>3485</v>
      </c>
      <c r="I108" s="711">
        <v>19.642499999999998</v>
      </c>
      <c r="J108" s="711">
        <v>800</v>
      </c>
      <c r="K108" s="712">
        <v>15714</v>
      </c>
    </row>
    <row r="109" spans="1:11" ht="14.4" customHeight="1" x14ac:dyDescent="0.3">
      <c r="A109" s="695" t="s">
        <v>545</v>
      </c>
      <c r="B109" s="696" t="s">
        <v>1978</v>
      </c>
      <c r="C109" s="699" t="s">
        <v>555</v>
      </c>
      <c r="D109" s="720" t="s">
        <v>1980</v>
      </c>
      <c r="E109" s="699" t="s">
        <v>4057</v>
      </c>
      <c r="F109" s="720" t="s">
        <v>4058</v>
      </c>
      <c r="G109" s="699" t="s">
        <v>3486</v>
      </c>
      <c r="H109" s="699" t="s">
        <v>3487</v>
      </c>
      <c r="I109" s="711">
        <v>8.9533333333333331</v>
      </c>
      <c r="J109" s="711">
        <v>60</v>
      </c>
      <c r="K109" s="712">
        <v>537.30000000000007</v>
      </c>
    </row>
    <row r="110" spans="1:11" ht="14.4" customHeight="1" x14ac:dyDescent="0.3">
      <c r="A110" s="695" t="s">
        <v>545</v>
      </c>
      <c r="B110" s="696" t="s">
        <v>1978</v>
      </c>
      <c r="C110" s="699" t="s">
        <v>555</v>
      </c>
      <c r="D110" s="720" t="s">
        <v>1980</v>
      </c>
      <c r="E110" s="699" t="s">
        <v>4057</v>
      </c>
      <c r="F110" s="720" t="s">
        <v>4058</v>
      </c>
      <c r="G110" s="699" t="s">
        <v>3488</v>
      </c>
      <c r="H110" s="699" t="s">
        <v>3489</v>
      </c>
      <c r="I110" s="711">
        <v>23.4725</v>
      </c>
      <c r="J110" s="711">
        <v>120</v>
      </c>
      <c r="K110" s="712">
        <v>2816.7</v>
      </c>
    </row>
    <row r="111" spans="1:11" ht="14.4" customHeight="1" x14ac:dyDescent="0.3">
      <c r="A111" s="695" t="s">
        <v>545</v>
      </c>
      <c r="B111" s="696" t="s">
        <v>1978</v>
      </c>
      <c r="C111" s="699" t="s">
        <v>555</v>
      </c>
      <c r="D111" s="720" t="s">
        <v>1980</v>
      </c>
      <c r="E111" s="699" t="s">
        <v>4057</v>
      </c>
      <c r="F111" s="720" t="s">
        <v>4058</v>
      </c>
      <c r="G111" s="699" t="s">
        <v>3490</v>
      </c>
      <c r="H111" s="699" t="s">
        <v>3491</v>
      </c>
      <c r="I111" s="711">
        <v>1.8199999999999998</v>
      </c>
      <c r="J111" s="711">
        <v>1900</v>
      </c>
      <c r="K111" s="712">
        <v>3482</v>
      </c>
    </row>
    <row r="112" spans="1:11" ht="14.4" customHeight="1" x14ac:dyDescent="0.3">
      <c r="A112" s="695" t="s">
        <v>545</v>
      </c>
      <c r="B112" s="696" t="s">
        <v>1978</v>
      </c>
      <c r="C112" s="699" t="s">
        <v>555</v>
      </c>
      <c r="D112" s="720" t="s">
        <v>1980</v>
      </c>
      <c r="E112" s="699" t="s">
        <v>4057</v>
      </c>
      <c r="F112" s="720" t="s">
        <v>4058</v>
      </c>
      <c r="G112" s="699" t="s">
        <v>3492</v>
      </c>
      <c r="H112" s="699" t="s">
        <v>3493</v>
      </c>
      <c r="I112" s="711">
        <v>1.7950000000000002</v>
      </c>
      <c r="J112" s="711">
        <v>650</v>
      </c>
      <c r="K112" s="712">
        <v>1166</v>
      </c>
    </row>
    <row r="113" spans="1:11" ht="14.4" customHeight="1" x14ac:dyDescent="0.3">
      <c r="A113" s="695" t="s">
        <v>545</v>
      </c>
      <c r="B113" s="696" t="s">
        <v>1978</v>
      </c>
      <c r="C113" s="699" t="s">
        <v>555</v>
      </c>
      <c r="D113" s="720" t="s">
        <v>1980</v>
      </c>
      <c r="E113" s="699" t="s">
        <v>4057</v>
      </c>
      <c r="F113" s="720" t="s">
        <v>4058</v>
      </c>
      <c r="G113" s="699" t="s">
        <v>3494</v>
      </c>
      <c r="H113" s="699" t="s">
        <v>3495</v>
      </c>
      <c r="I113" s="711">
        <v>1.7675000000000001</v>
      </c>
      <c r="J113" s="711">
        <v>400</v>
      </c>
      <c r="K113" s="712">
        <v>707</v>
      </c>
    </row>
    <row r="114" spans="1:11" ht="14.4" customHeight="1" x14ac:dyDescent="0.3">
      <c r="A114" s="695" t="s">
        <v>545</v>
      </c>
      <c r="B114" s="696" t="s">
        <v>1978</v>
      </c>
      <c r="C114" s="699" t="s">
        <v>555</v>
      </c>
      <c r="D114" s="720" t="s">
        <v>1980</v>
      </c>
      <c r="E114" s="699" t="s">
        <v>4057</v>
      </c>
      <c r="F114" s="720" t="s">
        <v>4058</v>
      </c>
      <c r="G114" s="699" t="s">
        <v>3496</v>
      </c>
      <c r="H114" s="699" t="s">
        <v>3497</v>
      </c>
      <c r="I114" s="711">
        <v>2.8259999999999996</v>
      </c>
      <c r="J114" s="711">
        <v>1400</v>
      </c>
      <c r="K114" s="712">
        <v>3958</v>
      </c>
    </row>
    <row r="115" spans="1:11" ht="14.4" customHeight="1" x14ac:dyDescent="0.3">
      <c r="A115" s="695" t="s">
        <v>545</v>
      </c>
      <c r="B115" s="696" t="s">
        <v>1978</v>
      </c>
      <c r="C115" s="699" t="s">
        <v>555</v>
      </c>
      <c r="D115" s="720" t="s">
        <v>1980</v>
      </c>
      <c r="E115" s="699" t="s">
        <v>4057</v>
      </c>
      <c r="F115" s="720" t="s">
        <v>4058</v>
      </c>
      <c r="G115" s="699" t="s">
        <v>3498</v>
      </c>
      <c r="H115" s="699" t="s">
        <v>3499</v>
      </c>
      <c r="I115" s="711">
        <v>2.0499999999999998</v>
      </c>
      <c r="J115" s="711">
        <v>1300</v>
      </c>
      <c r="K115" s="712">
        <v>2680</v>
      </c>
    </row>
    <row r="116" spans="1:11" ht="14.4" customHeight="1" x14ac:dyDescent="0.3">
      <c r="A116" s="695" t="s">
        <v>545</v>
      </c>
      <c r="B116" s="696" t="s">
        <v>1978</v>
      </c>
      <c r="C116" s="699" t="s">
        <v>555</v>
      </c>
      <c r="D116" s="720" t="s">
        <v>1980</v>
      </c>
      <c r="E116" s="699" t="s">
        <v>4057</v>
      </c>
      <c r="F116" s="720" t="s">
        <v>4058</v>
      </c>
      <c r="G116" s="699" t="s">
        <v>3500</v>
      </c>
      <c r="H116" s="699" t="s">
        <v>3501</v>
      </c>
      <c r="I116" s="711">
        <v>133.1</v>
      </c>
      <c r="J116" s="711">
        <v>80</v>
      </c>
      <c r="K116" s="712">
        <v>10648</v>
      </c>
    </row>
    <row r="117" spans="1:11" ht="14.4" customHeight="1" x14ac:dyDescent="0.3">
      <c r="A117" s="695" t="s">
        <v>545</v>
      </c>
      <c r="B117" s="696" t="s">
        <v>1978</v>
      </c>
      <c r="C117" s="699" t="s">
        <v>555</v>
      </c>
      <c r="D117" s="720" t="s">
        <v>1980</v>
      </c>
      <c r="E117" s="699" t="s">
        <v>4057</v>
      </c>
      <c r="F117" s="720" t="s">
        <v>4058</v>
      </c>
      <c r="G117" s="699" t="s">
        <v>3502</v>
      </c>
      <c r="H117" s="699" t="s">
        <v>3503</v>
      </c>
      <c r="I117" s="711">
        <v>2.1759999999999997</v>
      </c>
      <c r="J117" s="711">
        <v>1000</v>
      </c>
      <c r="K117" s="712">
        <v>2176</v>
      </c>
    </row>
    <row r="118" spans="1:11" ht="14.4" customHeight="1" x14ac:dyDescent="0.3">
      <c r="A118" s="695" t="s">
        <v>545</v>
      </c>
      <c r="B118" s="696" t="s">
        <v>1978</v>
      </c>
      <c r="C118" s="699" t="s">
        <v>555</v>
      </c>
      <c r="D118" s="720" t="s">
        <v>1980</v>
      </c>
      <c r="E118" s="699" t="s">
        <v>4057</v>
      </c>
      <c r="F118" s="720" t="s">
        <v>4058</v>
      </c>
      <c r="G118" s="699" t="s">
        <v>3504</v>
      </c>
      <c r="H118" s="699" t="s">
        <v>3505</v>
      </c>
      <c r="I118" s="711">
        <v>14.440000000000001</v>
      </c>
      <c r="J118" s="711">
        <v>3200</v>
      </c>
      <c r="K118" s="712">
        <v>46192.959999999999</v>
      </c>
    </row>
    <row r="119" spans="1:11" ht="14.4" customHeight="1" x14ac:dyDescent="0.3">
      <c r="A119" s="695" t="s">
        <v>545</v>
      </c>
      <c r="B119" s="696" t="s">
        <v>1978</v>
      </c>
      <c r="C119" s="699" t="s">
        <v>555</v>
      </c>
      <c r="D119" s="720" t="s">
        <v>1980</v>
      </c>
      <c r="E119" s="699" t="s">
        <v>4057</v>
      </c>
      <c r="F119" s="720" t="s">
        <v>4058</v>
      </c>
      <c r="G119" s="699" t="s">
        <v>3506</v>
      </c>
      <c r="H119" s="699" t="s">
        <v>3507</v>
      </c>
      <c r="I119" s="711">
        <v>9.61</v>
      </c>
      <c r="J119" s="711">
        <v>5400</v>
      </c>
      <c r="K119" s="712">
        <v>51882.299999999996</v>
      </c>
    </row>
    <row r="120" spans="1:11" ht="14.4" customHeight="1" x14ac:dyDescent="0.3">
      <c r="A120" s="695" t="s">
        <v>545</v>
      </c>
      <c r="B120" s="696" t="s">
        <v>1978</v>
      </c>
      <c r="C120" s="699" t="s">
        <v>555</v>
      </c>
      <c r="D120" s="720" t="s">
        <v>1980</v>
      </c>
      <c r="E120" s="699" t="s">
        <v>4057</v>
      </c>
      <c r="F120" s="720" t="s">
        <v>4058</v>
      </c>
      <c r="G120" s="699" t="s">
        <v>3508</v>
      </c>
      <c r="H120" s="699" t="s">
        <v>3509</v>
      </c>
      <c r="I120" s="711">
        <v>34.729999999999997</v>
      </c>
      <c r="J120" s="711">
        <v>40</v>
      </c>
      <c r="K120" s="712">
        <v>1389.1</v>
      </c>
    </row>
    <row r="121" spans="1:11" ht="14.4" customHeight="1" x14ac:dyDescent="0.3">
      <c r="A121" s="695" t="s">
        <v>545</v>
      </c>
      <c r="B121" s="696" t="s">
        <v>1978</v>
      </c>
      <c r="C121" s="699" t="s">
        <v>555</v>
      </c>
      <c r="D121" s="720" t="s">
        <v>1980</v>
      </c>
      <c r="E121" s="699" t="s">
        <v>4057</v>
      </c>
      <c r="F121" s="720" t="s">
        <v>4058</v>
      </c>
      <c r="G121" s="699" t="s">
        <v>3510</v>
      </c>
      <c r="H121" s="699" t="s">
        <v>3511</v>
      </c>
      <c r="I121" s="711">
        <v>527.04142857142847</v>
      </c>
      <c r="J121" s="711">
        <v>360</v>
      </c>
      <c r="K121" s="712">
        <v>192777.2</v>
      </c>
    </row>
    <row r="122" spans="1:11" ht="14.4" customHeight="1" x14ac:dyDescent="0.3">
      <c r="A122" s="695" t="s">
        <v>545</v>
      </c>
      <c r="B122" s="696" t="s">
        <v>1978</v>
      </c>
      <c r="C122" s="699" t="s">
        <v>555</v>
      </c>
      <c r="D122" s="720" t="s">
        <v>1980</v>
      </c>
      <c r="E122" s="699" t="s">
        <v>4057</v>
      </c>
      <c r="F122" s="720" t="s">
        <v>4058</v>
      </c>
      <c r="G122" s="699" t="s">
        <v>3512</v>
      </c>
      <c r="H122" s="699" t="s">
        <v>3513</v>
      </c>
      <c r="I122" s="711">
        <v>231.715</v>
      </c>
      <c r="J122" s="711">
        <v>120</v>
      </c>
      <c r="K122" s="712">
        <v>28265.599999999999</v>
      </c>
    </row>
    <row r="123" spans="1:11" ht="14.4" customHeight="1" x14ac:dyDescent="0.3">
      <c r="A123" s="695" t="s">
        <v>545</v>
      </c>
      <c r="B123" s="696" t="s">
        <v>1978</v>
      </c>
      <c r="C123" s="699" t="s">
        <v>555</v>
      </c>
      <c r="D123" s="720" t="s">
        <v>1980</v>
      </c>
      <c r="E123" s="699" t="s">
        <v>4057</v>
      </c>
      <c r="F123" s="720" t="s">
        <v>4058</v>
      </c>
      <c r="G123" s="699" t="s">
        <v>3514</v>
      </c>
      <c r="H123" s="699" t="s">
        <v>3515</v>
      </c>
      <c r="I123" s="711">
        <v>4106.7383333333337</v>
      </c>
      <c r="J123" s="711">
        <v>16</v>
      </c>
      <c r="K123" s="712">
        <v>65877.22</v>
      </c>
    </row>
    <row r="124" spans="1:11" ht="14.4" customHeight="1" x14ac:dyDescent="0.3">
      <c r="A124" s="695" t="s">
        <v>545</v>
      </c>
      <c r="B124" s="696" t="s">
        <v>1978</v>
      </c>
      <c r="C124" s="699" t="s">
        <v>555</v>
      </c>
      <c r="D124" s="720" t="s">
        <v>1980</v>
      </c>
      <c r="E124" s="699" t="s">
        <v>4057</v>
      </c>
      <c r="F124" s="720" t="s">
        <v>4058</v>
      </c>
      <c r="G124" s="699" t="s">
        <v>3310</v>
      </c>
      <c r="H124" s="699" t="s">
        <v>3311</v>
      </c>
      <c r="I124" s="711">
        <v>1.5980000000000001</v>
      </c>
      <c r="J124" s="711">
        <v>1500</v>
      </c>
      <c r="K124" s="712">
        <v>2397</v>
      </c>
    </row>
    <row r="125" spans="1:11" ht="14.4" customHeight="1" x14ac:dyDescent="0.3">
      <c r="A125" s="695" t="s">
        <v>545</v>
      </c>
      <c r="B125" s="696" t="s">
        <v>1978</v>
      </c>
      <c r="C125" s="699" t="s">
        <v>555</v>
      </c>
      <c r="D125" s="720" t="s">
        <v>1980</v>
      </c>
      <c r="E125" s="699" t="s">
        <v>4057</v>
      </c>
      <c r="F125" s="720" t="s">
        <v>4058</v>
      </c>
      <c r="G125" s="699" t="s">
        <v>3516</v>
      </c>
      <c r="H125" s="699" t="s">
        <v>3517</v>
      </c>
      <c r="I125" s="711">
        <v>66.400000000000006</v>
      </c>
      <c r="J125" s="711">
        <v>100</v>
      </c>
      <c r="K125" s="712">
        <v>6640.48</v>
      </c>
    </row>
    <row r="126" spans="1:11" ht="14.4" customHeight="1" x14ac:dyDescent="0.3">
      <c r="A126" s="695" t="s">
        <v>545</v>
      </c>
      <c r="B126" s="696" t="s">
        <v>1978</v>
      </c>
      <c r="C126" s="699" t="s">
        <v>555</v>
      </c>
      <c r="D126" s="720" t="s">
        <v>1980</v>
      </c>
      <c r="E126" s="699" t="s">
        <v>4057</v>
      </c>
      <c r="F126" s="720" t="s">
        <v>4058</v>
      </c>
      <c r="G126" s="699" t="s">
        <v>3518</v>
      </c>
      <c r="H126" s="699" t="s">
        <v>3519</v>
      </c>
      <c r="I126" s="711">
        <v>2.9033333333333338</v>
      </c>
      <c r="J126" s="711">
        <v>150</v>
      </c>
      <c r="K126" s="712">
        <v>436</v>
      </c>
    </row>
    <row r="127" spans="1:11" ht="14.4" customHeight="1" x14ac:dyDescent="0.3">
      <c r="A127" s="695" t="s">
        <v>545</v>
      </c>
      <c r="B127" s="696" t="s">
        <v>1978</v>
      </c>
      <c r="C127" s="699" t="s">
        <v>555</v>
      </c>
      <c r="D127" s="720" t="s">
        <v>1980</v>
      </c>
      <c r="E127" s="699" t="s">
        <v>4057</v>
      </c>
      <c r="F127" s="720" t="s">
        <v>4058</v>
      </c>
      <c r="G127" s="699" t="s">
        <v>3520</v>
      </c>
      <c r="H127" s="699" t="s">
        <v>3521</v>
      </c>
      <c r="I127" s="711">
        <v>2.9</v>
      </c>
      <c r="J127" s="711">
        <v>150</v>
      </c>
      <c r="K127" s="712">
        <v>435</v>
      </c>
    </row>
    <row r="128" spans="1:11" ht="14.4" customHeight="1" x14ac:dyDescent="0.3">
      <c r="A128" s="695" t="s">
        <v>545</v>
      </c>
      <c r="B128" s="696" t="s">
        <v>1978</v>
      </c>
      <c r="C128" s="699" t="s">
        <v>555</v>
      </c>
      <c r="D128" s="720" t="s">
        <v>1980</v>
      </c>
      <c r="E128" s="699" t="s">
        <v>4057</v>
      </c>
      <c r="F128" s="720" t="s">
        <v>4058</v>
      </c>
      <c r="G128" s="699" t="s">
        <v>3312</v>
      </c>
      <c r="H128" s="699" t="s">
        <v>3313</v>
      </c>
      <c r="I128" s="711">
        <v>5.13</v>
      </c>
      <c r="J128" s="711">
        <v>2000</v>
      </c>
      <c r="K128" s="712">
        <v>10260</v>
      </c>
    </row>
    <row r="129" spans="1:11" ht="14.4" customHeight="1" x14ac:dyDescent="0.3">
      <c r="A129" s="695" t="s">
        <v>545</v>
      </c>
      <c r="B129" s="696" t="s">
        <v>1978</v>
      </c>
      <c r="C129" s="699" t="s">
        <v>555</v>
      </c>
      <c r="D129" s="720" t="s">
        <v>1980</v>
      </c>
      <c r="E129" s="699" t="s">
        <v>4057</v>
      </c>
      <c r="F129" s="720" t="s">
        <v>4058</v>
      </c>
      <c r="G129" s="699" t="s">
        <v>3522</v>
      </c>
      <c r="H129" s="699" t="s">
        <v>3523</v>
      </c>
      <c r="I129" s="711">
        <v>32.67</v>
      </c>
      <c r="J129" s="711">
        <v>50</v>
      </c>
      <c r="K129" s="712">
        <v>1633.5</v>
      </c>
    </row>
    <row r="130" spans="1:11" ht="14.4" customHeight="1" x14ac:dyDescent="0.3">
      <c r="A130" s="695" t="s">
        <v>545</v>
      </c>
      <c r="B130" s="696" t="s">
        <v>1978</v>
      </c>
      <c r="C130" s="699" t="s">
        <v>555</v>
      </c>
      <c r="D130" s="720" t="s">
        <v>1980</v>
      </c>
      <c r="E130" s="699" t="s">
        <v>4057</v>
      </c>
      <c r="F130" s="720" t="s">
        <v>4058</v>
      </c>
      <c r="G130" s="699" t="s">
        <v>3524</v>
      </c>
      <c r="H130" s="699" t="s">
        <v>3525</v>
      </c>
      <c r="I130" s="711">
        <v>40.869999999999997</v>
      </c>
      <c r="J130" s="711">
        <v>240</v>
      </c>
      <c r="K130" s="712">
        <v>9808.7999999999993</v>
      </c>
    </row>
    <row r="131" spans="1:11" ht="14.4" customHeight="1" x14ac:dyDescent="0.3">
      <c r="A131" s="695" t="s">
        <v>545</v>
      </c>
      <c r="B131" s="696" t="s">
        <v>1978</v>
      </c>
      <c r="C131" s="699" t="s">
        <v>555</v>
      </c>
      <c r="D131" s="720" t="s">
        <v>1980</v>
      </c>
      <c r="E131" s="699" t="s">
        <v>4057</v>
      </c>
      <c r="F131" s="720" t="s">
        <v>4058</v>
      </c>
      <c r="G131" s="699" t="s">
        <v>3526</v>
      </c>
      <c r="H131" s="699" t="s">
        <v>3527</v>
      </c>
      <c r="I131" s="711">
        <v>193.84</v>
      </c>
      <c r="J131" s="711">
        <v>2</v>
      </c>
      <c r="K131" s="712">
        <v>387.68</v>
      </c>
    </row>
    <row r="132" spans="1:11" ht="14.4" customHeight="1" x14ac:dyDescent="0.3">
      <c r="A132" s="695" t="s">
        <v>545</v>
      </c>
      <c r="B132" s="696" t="s">
        <v>1978</v>
      </c>
      <c r="C132" s="699" t="s">
        <v>555</v>
      </c>
      <c r="D132" s="720" t="s">
        <v>1980</v>
      </c>
      <c r="E132" s="699" t="s">
        <v>4057</v>
      </c>
      <c r="F132" s="720" t="s">
        <v>4058</v>
      </c>
      <c r="G132" s="699" t="s">
        <v>3528</v>
      </c>
      <c r="H132" s="699" t="s">
        <v>3529</v>
      </c>
      <c r="I132" s="711">
        <v>7.95</v>
      </c>
      <c r="J132" s="711">
        <v>1900</v>
      </c>
      <c r="K132" s="712">
        <v>15105</v>
      </c>
    </row>
    <row r="133" spans="1:11" ht="14.4" customHeight="1" x14ac:dyDescent="0.3">
      <c r="A133" s="695" t="s">
        <v>545</v>
      </c>
      <c r="B133" s="696" t="s">
        <v>1978</v>
      </c>
      <c r="C133" s="699" t="s">
        <v>555</v>
      </c>
      <c r="D133" s="720" t="s">
        <v>1980</v>
      </c>
      <c r="E133" s="699" t="s">
        <v>4057</v>
      </c>
      <c r="F133" s="720" t="s">
        <v>4058</v>
      </c>
      <c r="G133" s="699" t="s">
        <v>3530</v>
      </c>
      <c r="H133" s="699" t="s">
        <v>3531</v>
      </c>
      <c r="I133" s="711">
        <v>126.07</v>
      </c>
      <c r="J133" s="711">
        <v>2</v>
      </c>
      <c r="K133" s="712">
        <v>252.14</v>
      </c>
    </row>
    <row r="134" spans="1:11" ht="14.4" customHeight="1" x14ac:dyDescent="0.3">
      <c r="A134" s="695" t="s">
        <v>545</v>
      </c>
      <c r="B134" s="696" t="s">
        <v>1978</v>
      </c>
      <c r="C134" s="699" t="s">
        <v>555</v>
      </c>
      <c r="D134" s="720" t="s">
        <v>1980</v>
      </c>
      <c r="E134" s="699" t="s">
        <v>4057</v>
      </c>
      <c r="F134" s="720" t="s">
        <v>4058</v>
      </c>
      <c r="G134" s="699" t="s">
        <v>3532</v>
      </c>
      <c r="H134" s="699" t="s">
        <v>3533</v>
      </c>
      <c r="I134" s="711">
        <v>78.17</v>
      </c>
      <c r="J134" s="711">
        <v>96</v>
      </c>
      <c r="K134" s="712">
        <v>7503.96</v>
      </c>
    </row>
    <row r="135" spans="1:11" ht="14.4" customHeight="1" x14ac:dyDescent="0.3">
      <c r="A135" s="695" t="s">
        <v>545</v>
      </c>
      <c r="B135" s="696" t="s">
        <v>1978</v>
      </c>
      <c r="C135" s="699" t="s">
        <v>555</v>
      </c>
      <c r="D135" s="720" t="s">
        <v>1980</v>
      </c>
      <c r="E135" s="699" t="s">
        <v>4057</v>
      </c>
      <c r="F135" s="720" t="s">
        <v>4058</v>
      </c>
      <c r="G135" s="699" t="s">
        <v>3534</v>
      </c>
      <c r="H135" s="699" t="s">
        <v>3535</v>
      </c>
      <c r="I135" s="711">
        <v>263.77999999999997</v>
      </c>
      <c r="J135" s="711">
        <v>26</v>
      </c>
      <c r="K135" s="712">
        <v>6858.2800000000007</v>
      </c>
    </row>
    <row r="136" spans="1:11" ht="14.4" customHeight="1" x14ac:dyDescent="0.3">
      <c r="A136" s="695" t="s">
        <v>545</v>
      </c>
      <c r="B136" s="696" t="s">
        <v>1978</v>
      </c>
      <c r="C136" s="699" t="s">
        <v>555</v>
      </c>
      <c r="D136" s="720" t="s">
        <v>1980</v>
      </c>
      <c r="E136" s="699" t="s">
        <v>4057</v>
      </c>
      <c r="F136" s="720" t="s">
        <v>4058</v>
      </c>
      <c r="G136" s="699" t="s">
        <v>3536</v>
      </c>
      <c r="H136" s="699" t="s">
        <v>3537</v>
      </c>
      <c r="I136" s="711">
        <v>3920.4</v>
      </c>
      <c r="J136" s="711">
        <v>17</v>
      </c>
      <c r="K136" s="712">
        <v>66646.8</v>
      </c>
    </row>
    <row r="137" spans="1:11" ht="14.4" customHeight="1" x14ac:dyDescent="0.3">
      <c r="A137" s="695" t="s">
        <v>545</v>
      </c>
      <c r="B137" s="696" t="s">
        <v>1978</v>
      </c>
      <c r="C137" s="699" t="s">
        <v>555</v>
      </c>
      <c r="D137" s="720" t="s">
        <v>1980</v>
      </c>
      <c r="E137" s="699" t="s">
        <v>4057</v>
      </c>
      <c r="F137" s="720" t="s">
        <v>4058</v>
      </c>
      <c r="G137" s="699" t="s">
        <v>3538</v>
      </c>
      <c r="H137" s="699" t="s">
        <v>3539</v>
      </c>
      <c r="I137" s="711">
        <v>91.72</v>
      </c>
      <c r="J137" s="711">
        <v>48</v>
      </c>
      <c r="K137" s="712">
        <v>4402.45</v>
      </c>
    </row>
    <row r="138" spans="1:11" ht="14.4" customHeight="1" x14ac:dyDescent="0.3">
      <c r="A138" s="695" t="s">
        <v>545</v>
      </c>
      <c r="B138" s="696" t="s">
        <v>1978</v>
      </c>
      <c r="C138" s="699" t="s">
        <v>555</v>
      </c>
      <c r="D138" s="720" t="s">
        <v>1980</v>
      </c>
      <c r="E138" s="699" t="s">
        <v>4057</v>
      </c>
      <c r="F138" s="720" t="s">
        <v>4058</v>
      </c>
      <c r="G138" s="699" t="s">
        <v>3540</v>
      </c>
      <c r="H138" s="699" t="s">
        <v>3541</v>
      </c>
      <c r="I138" s="711">
        <v>19400</v>
      </c>
      <c r="J138" s="711">
        <v>2</v>
      </c>
      <c r="K138" s="712">
        <v>38800</v>
      </c>
    </row>
    <row r="139" spans="1:11" ht="14.4" customHeight="1" x14ac:dyDescent="0.3">
      <c r="A139" s="695" t="s">
        <v>545</v>
      </c>
      <c r="B139" s="696" t="s">
        <v>1978</v>
      </c>
      <c r="C139" s="699" t="s">
        <v>555</v>
      </c>
      <c r="D139" s="720" t="s">
        <v>1980</v>
      </c>
      <c r="E139" s="699" t="s">
        <v>4057</v>
      </c>
      <c r="F139" s="720" t="s">
        <v>4058</v>
      </c>
      <c r="G139" s="699" t="s">
        <v>3542</v>
      </c>
      <c r="H139" s="699" t="s">
        <v>3543</v>
      </c>
      <c r="I139" s="711">
        <v>23.15</v>
      </c>
      <c r="J139" s="711">
        <v>200</v>
      </c>
      <c r="K139" s="712">
        <v>4629.4799999999996</v>
      </c>
    </row>
    <row r="140" spans="1:11" ht="14.4" customHeight="1" x14ac:dyDescent="0.3">
      <c r="A140" s="695" t="s">
        <v>545</v>
      </c>
      <c r="B140" s="696" t="s">
        <v>1978</v>
      </c>
      <c r="C140" s="699" t="s">
        <v>555</v>
      </c>
      <c r="D140" s="720" t="s">
        <v>1980</v>
      </c>
      <c r="E140" s="699" t="s">
        <v>4057</v>
      </c>
      <c r="F140" s="720" t="s">
        <v>4058</v>
      </c>
      <c r="G140" s="699" t="s">
        <v>3544</v>
      </c>
      <c r="H140" s="699" t="s">
        <v>3545</v>
      </c>
      <c r="I140" s="711">
        <v>4660.92</v>
      </c>
      <c r="J140" s="711">
        <v>9</v>
      </c>
      <c r="K140" s="712">
        <v>41948.28</v>
      </c>
    </row>
    <row r="141" spans="1:11" ht="14.4" customHeight="1" x14ac:dyDescent="0.3">
      <c r="A141" s="695" t="s">
        <v>545</v>
      </c>
      <c r="B141" s="696" t="s">
        <v>1978</v>
      </c>
      <c r="C141" s="699" t="s">
        <v>555</v>
      </c>
      <c r="D141" s="720" t="s">
        <v>1980</v>
      </c>
      <c r="E141" s="699" t="s">
        <v>4057</v>
      </c>
      <c r="F141" s="720" t="s">
        <v>4058</v>
      </c>
      <c r="G141" s="699" t="s">
        <v>3546</v>
      </c>
      <c r="H141" s="699" t="s">
        <v>3547</v>
      </c>
      <c r="I141" s="711">
        <v>65.34</v>
      </c>
      <c r="J141" s="711">
        <v>15</v>
      </c>
      <c r="K141" s="712">
        <v>980.1</v>
      </c>
    </row>
    <row r="142" spans="1:11" ht="14.4" customHeight="1" x14ac:dyDescent="0.3">
      <c r="A142" s="695" t="s">
        <v>545</v>
      </c>
      <c r="B142" s="696" t="s">
        <v>1978</v>
      </c>
      <c r="C142" s="699" t="s">
        <v>555</v>
      </c>
      <c r="D142" s="720" t="s">
        <v>1980</v>
      </c>
      <c r="E142" s="699" t="s">
        <v>4057</v>
      </c>
      <c r="F142" s="720" t="s">
        <v>4058</v>
      </c>
      <c r="G142" s="699" t="s">
        <v>3314</v>
      </c>
      <c r="H142" s="699" t="s">
        <v>3315</v>
      </c>
      <c r="I142" s="711">
        <v>17.98</v>
      </c>
      <c r="J142" s="711">
        <v>100</v>
      </c>
      <c r="K142" s="712">
        <v>1798</v>
      </c>
    </row>
    <row r="143" spans="1:11" ht="14.4" customHeight="1" x14ac:dyDescent="0.3">
      <c r="A143" s="695" t="s">
        <v>545</v>
      </c>
      <c r="B143" s="696" t="s">
        <v>1978</v>
      </c>
      <c r="C143" s="699" t="s">
        <v>555</v>
      </c>
      <c r="D143" s="720" t="s">
        <v>1980</v>
      </c>
      <c r="E143" s="699" t="s">
        <v>4057</v>
      </c>
      <c r="F143" s="720" t="s">
        <v>4058</v>
      </c>
      <c r="G143" s="699" t="s">
        <v>3548</v>
      </c>
      <c r="H143" s="699" t="s">
        <v>3549</v>
      </c>
      <c r="I143" s="711">
        <v>17.98</v>
      </c>
      <c r="J143" s="711">
        <v>50</v>
      </c>
      <c r="K143" s="712">
        <v>899</v>
      </c>
    </row>
    <row r="144" spans="1:11" ht="14.4" customHeight="1" x14ac:dyDescent="0.3">
      <c r="A144" s="695" t="s">
        <v>545</v>
      </c>
      <c r="B144" s="696" t="s">
        <v>1978</v>
      </c>
      <c r="C144" s="699" t="s">
        <v>555</v>
      </c>
      <c r="D144" s="720" t="s">
        <v>1980</v>
      </c>
      <c r="E144" s="699" t="s">
        <v>4057</v>
      </c>
      <c r="F144" s="720" t="s">
        <v>4058</v>
      </c>
      <c r="G144" s="699" t="s">
        <v>3550</v>
      </c>
      <c r="H144" s="699" t="s">
        <v>3551</v>
      </c>
      <c r="I144" s="711">
        <v>1040.5999999999999</v>
      </c>
      <c r="J144" s="711">
        <v>10</v>
      </c>
      <c r="K144" s="712">
        <v>10406</v>
      </c>
    </row>
    <row r="145" spans="1:11" ht="14.4" customHeight="1" x14ac:dyDescent="0.3">
      <c r="A145" s="695" t="s">
        <v>545</v>
      </c>
      <c r="B145" s="696" t="s">
        <v>1978</v>
      </c>
      <c r="C145" s="699" t="s">
        <v>555</v>
      </c>
      <c r="D145" s="720" t="s">
        <v>1980</v>
      </c>
      <c r="E145" s="699" t="s">
        <v>4057</v>
      </c>
      <c r="F145" s="720" t="s">
        <v>4058</v>
      </c>
      <c r="G145" s="699" t="s">
        <v>3552</v>
      </c>
      <c r="H145" s="699" t="s">
        <v>3553</v>
      </c>
      <c r="I145" s="711">
        <v>1406.63</v>
      </c>
      <c r="J145" s="711">
        <v>30</v>
      </c>
      <c r="K145" s="712">
        <v>42198.759999999995</v>
      </c>
    </row>
    <row r="146" spans="1:11" ht="14.4" customHeight="1" x14ac:dyDescent="0.3">
      <c r="A146" s="695" t="s">
        <v>545</v>
      </c>
      <c r="B146" s="696" t="s">
        <v>1978</v>
      </c>
      <c r="C146" s="699" t="s">
        <v>555</v>
      </c>
      <c r="D146" s="720" t="s">
        <v>1980</v>
      </c>
      <c r="E146" s="699" t="s">
        <v>4057</v>
      </c>
      <c r="F146" s="720" t="s">
        <v>4058</v>
      </c>
      <c r="G146" s="699" t="s">
        <v>3554</v>
      </c>
      <c r="H146" s="699" t="s">
        <v>3555</v>
      </c>
      <c r="I146" s="711">
        <v>17.98</v>
      </c>
      <c r="J146" s="711">
        <v>50</v>
      </c>
      <c r="K146" s="712">
        <v>899</v>
      </c>
    </row>
    <row r="147" spans="1:11" ht="14.4" customHeight="1" x14ac:dyDescent="0.3">
      <c r="A147" s="695" t="s">
        <v>545</v>
      </c>
      <c r="B147" s="696" t="s">
        <v>1978</v>
      </c>
      <c r="C147" s="699" t="s">
        <v>555</v>
      </c>
      <c r="D147" s="720" t="s">
        <v>1980</v>
      </c>
      <c r="E147" s="699" t="s">
        <v>4057</v>
      </c>
      <c r="F147" s="720" t="s">
        <v>4058</v>
      </c>
      <c r="G147" s="699" t="s">
        <v>3556</v>
      </c>
      <c r="H147" s="699" t="s">
        <v>3557</v>
      </c>
      <c r="I147" s="711">
        <v>123.18000000000002</v>
      </c>
      <c r="J147" s="711">
        <v>400</v>
      </c>
      <c r="K147" s="712">
        <v>49271.3</v>
      </c>
    </row>
    <row r="148" spans="1:11" ht="14.4" customHeight="1" x14ac:dyDescent="0.3">
      <c r="A148" s="695" t="s">
        <v>545</v>
      </c>
      <c r="B148" s="696" t="s">
        <v>1978</v>
      </c>
      <c r="C148" s="699" t="s">
        <v>555</v>
      </c>
      <c r="D148" s="720" t="s">
        <v>1980</v>
      </c>
      <c r="E148" s="699" t="s">
        <v>4057</v>
      </c>
      <c r="F148" s="720" t="s">
        <v>4058</v>
      </c>
      <c r="G148" s="699" t="s">
        <v>3558</v>
      </c>
      <c r="H148" s="699" t="s">
        <v>3559</v>
      </c>
      <c r="I148" s="711">
        <v>15</v>
      </c>
      <c r="J148" s="711">
        <v>200</v>
      </c>
      <c r="K148" s="712">
        <v>3000</v>
      </c>
    </row>
    <row r="149" spans="1:11" ht="14.4" customHeight="1" x14ac:dyDescent="0.3">
      <c r="A149" s="695" t="s">
        <v>545</v>
      </c>
      <c r="B149" s="696" t="s">
        <v>1978</v>
      </c>
      <c r="C149" s="699" t="s">
        <v>555</v>
      </c>
      <c r="D149" s="720" t="s">
        <v>1980</v>
      </c>
      <c r="E149" s="699" t="s">
        <v>4057</v>
      </c>
      <c r="F149" s="720" t="s">
        <v>4058</v>
      </c>
      <c r="G149" s="699" t="s">
        <v>3560</v>
      </c>
      <c r="H149" s="699" t="s">
        <v>3561</v>
      </c>
      <c r="I149" s="711">
        <v>467.01</v>
      </c>
      <c r="J149" s="711">
        <v>10</v>
      </c>
      <c r="K149" s="712">
        <v>4670.12</v>
      </c>
    </row>
    <row r="150" spans="1:11" ht="14.4" customHeight="1" x14ac:dyDescent="0.3">
      <c r="A150" s="695" t="s">
        <v>545</v>
      </c>
      <c r="B150" s="696" t="s">
        <v>1978</v>
      </c>
      <c r="C150" s="699" t="s">
        <v>555</v>
      </c>
      <c r="D150" s="720" t="s">
        <v>1980</v>
      </c>
      <c r="E150" s="699" t="s">
        <v>4057</v>
      </c>
      <c r="F150" s="720" t="s">
        <v>4058</v>
      </c>
      <c r="G150" s="699" t="s">
        <v>3562</v>
      </c>
      <c r="H150" s="699" t="s">
        <v>3563</v>
      </c>
      <c r="I150" s="711">
        <v>2.8959999999999999</v>
      </c>
      <c r="J150" s="711">
        <v>950</v>
      </c>
      <c r="K150" s="712">
        <v>2750.5</v>
      </c>
    </row>
    <row r="151" spans="1:11" ht="14.4" customHeight="1" x14ac:dyDescent="0.3">
      <c r="A151" s="695" t="s">
        <v>545</v>
      </c>
      <c r="B151" s="696" t="s">
        <v>1978</v>
      </c>
      <c r="C151" s="699" t="s">
        <v>555</v>
      </c>
      <c r="D151" s="720" t="s">
        <v>1980</v>
      </c>
      <c r="E151" s="699" t="s">
        <v>4057</v>
      </c>
      <c r="F151" s="720" t="s">
        <v>4058</v>
      </c>
      <c r="G151" s="699" t="s">
        <v>3564</v>
      </c>
      <c r="H151" s="699" t="s">
        <v>3565</v>
      </c>
      <c r="I151" s="711">
        <v>1.9366666666666665</v>
      </c>
      <c r="J151" s="711">
        <v>1100</v>
      </c>
      <c r="K151" s="712">
        <v>2130</v>
      </c>
    </row>
    <row r="152" spans="1:11" ht="14.4" customHeight="1" x14ac:dyDescent="0.3">
      <c r="A152" s="695" t="s">
        <v>545</v>
      </c>
      <c r="B152" s="696" t="s">
        <v>1978</v>
      </c>
      <c r="C152" s="699" t="s">
        <v>555</v>
      </c>
      <c r="D152" s="720" t="s">
        <v>1980</v>
      </c>
      <c r="E152" s="699" t="s">
        <v>4057</v>
      </c>
      <c r="F152" s="720" t="s">
        <v>4058</v>
      </c>
      <c r="G152" s="699" t="s">
        <v>3566</v>
      </c>
      <c r="H152" s="699" t="s">
        <v>3567</v>
      </c>
      <c r="I152" s="711">
        <v>5.203333333333334</v>
      </c>
      <c r="J152" s="711">
        <v>13940</v>
      </c>
      <c r="K152" s="712">
        <v>72529.649999999994</v>
      </c>
    </row>
    <row r="153" spans="1:11" ht="14.4" customHeight="1" x14ac:dyDescent="0.3">
      <c r="A153" s="695" t="s">
        <v>545</v>
      </c>
      <c r="B153" s="696" t="s">
        <v>1978</v>
      </c>
      <c r="C153" s="699" t="s">
        <v>555</v>
      </c>
      <c r="D153" s="720" t="s">
        <v>1980</v>
      </c>
      <c r="E153" s="699" t="s">
        <v>4057</v>
      </c>
      <c r="F153" s="720" t="s">
        <v>4058</v>
      </c>
      <c r="G153" s="699" t="s">
        <v>3568</v>
      </c>
      <c r="H153" s="699" t="s">
        <v>3569</v>
      </c>
      <c r="I153" s="711">
        <v>13.205</v>
      </c>
      <c r="J153" s="711">
        <v>20</v>
      </c>
      <c r="K153" s="712">
        <v>264.10000000000002</v>
      </c>
    </row>
    <row r="154" spans="1:11" ht="14.4" customHeight="1" x14ac:dyDescent="0.3">
      <c r="A154" s="695" t="s">
        <v>545</v>
      </c>
      <c r="B154" s="696" t="s">
        <v>1978</v>
      </c>
      <c r="C154" s="699" t="s">
        <v>555</v>
      </c>
      <c r="D154" s="720" t="s">
        <v>1980</v>
      </c>
      <c r="E154" s="699" t="s">
        <v>4057</v>
      </c>
      <c r="F154" s="720" t="s">
        <v>4058</v>
      </c>
      <c r="G154" s="699" t="s">
        <v>3570</v>
      </c>
      <c r="H154" s="699" t="s">
        <v>3571</v>
      </c>
      <c r="I154" s="711">
        <v>13.2</v>
      </c>
      <c r="J154" s="711">
        <v>20</v>
      </c>
      <c r="K154" s="712">
        <v>264</v>
      </c>
    </row>
    <row r="155" spans="1:11" ht="14.4" customHeight="1" x14ac:dyDescent="0.3">
      <c r="A155" s="695" t="s">
        <v>545</v>
      </c>
      <c r="B155" s="696" t="s">
        <v>1978</v>
      </c>
      <c r="C155" s="699" t="s">
        <v>555</v>
      </c>
      <c r="D155" s="720" t="s">
        <v>1980</v>
      </c>
      <c r="E155" s="699" t="s">
        <v>4057</v>
      </c>
      <c r="F155" s="720" t="s">
        <v>4058</v>
      </c>
      <c r="G155" s="699" t="s">
        <v>3572</v>
      </c>
      <c r="H155" s="699" t="s">
        <v>3573</v>
      </c>
      <c r="I155" s="711">
        <v>1.5539999999999998</v>
      </c>
      <c r="J155" s="711">
        <v>3000</v>
      </c>
      <c r="K155" s="712">
        <v>4662</v>
      </c>
    </row>
    <row r="156" spans="1:11" ht="14.4" customHeight="1" x14ac:dyDescent="0.3">
      <c r="A156" s="695" t="s">
        <v>545</v>
      </c>
      <c r="B156" s="696" t="s">
        <v>1978</v>
      </c>
      <c r="C156" s="699" t="s">
        <v>555</v>
      </c>
      <c r="D156" s="720" t="s">
        <v>1980</v>
      </c>
      <c r="E156" s="699" t="s">
        <v>4057</v>
      </c>
      <c r="F156" s="720" t="s">
        <v>4058</v>
      </c>
      <c r="G156" s="699" t="s">
        <v>3574</v>
      </c>
      <c r="H156" s="699" t="s">
        <v>3575</v>
      </c>
      <c r="I156" s="711">
        <v>21.24</v>
      </c>
      <c r="J156" s="711">
        <v>100</v>
      </c>
      <c r="K156" s="712">
        <v>2123.7799999999997</v>
      </c>
    </row>
    <row r="157" spans="1:11" ht="14.4" customHeight="1" x14ac:dyDescent="0.3">
      <c r="A157" s="695" t="s">
        <v>545</v>
      </c>
      <c r="B157" s="696" t="s">
        <v>1978</v>
      </c>
      <c r="C157" s="699" t="s">
        <v>555</v>
      </c>
      <c r="D157" s="720" t="s">
        <v>1980</v>
      </c>
      <c r="E157" s="699" t="s">
        <v>4057</v>
      </c>
      <c r="F157" s="720" t="s">
        <v>4058</v>
      </c>
      <c r="G157" s="699" t="s">
        <v>3576</v>
      </c>
      <c r="H157" s="699" t="s">
        <v>3577</v>
      </c>
      <c r="I157" s="711">
        <v>21.234000000000002</v>
      </c>
      <c r="J157" s="711">
        <v>850</v>
      </c>
      <c r="K157" s="712">
        <v>18048.5</v>
      </c>
    </row>
    <row r="158" spans="1:11" ht="14.4" customHeight="1" x14ac:dyDescent="0.3">
      <c r="A158" s="695" t="s">
        <v>545</v>
      </c>
      <c r="B158" s="696" t="s">
        <v>1978</v>
      </c>
      <c r="C158" s="699" t="s">
        <v>555</v>
      </c>
      <c r="D158" s="720" t="s">
        <v>1980</v>
      </c>
      <c r="E158" s="699" t="s">
        <v>4057</v>
      </c>
      <c r="F158" s="720" t="s">
        <v>4058</v>
      </c>
      <c r="G158" s="699" t="s">
        <v>3578</v>
      </c>
      <c r="H158" s="699" t="s">
        <v>3579</v>
      </c>
      <c r="I158" s="711">
        <v>347.39</v>
      </c>
      <c r="J158" s="711">
        <v>100</v>
      </c>
      <c r="K158" s="712">
        <v>34739.199999999997</v>
      </c>
    </row>
    <row r="159" spans="1:11" ht="14.4" customHeight="1" x14ac:dyDescent="0.3">
      <c r="A159" s="695" t="s">
        <v>545</v>
      </c>
      <c r="B159" s="696" t="s">
        <v>1978</v>
      </c>
      <c r="C159" s="699" t="s">
        <v>555</v>
      </c>
      <c r="D159" s="720" t="s">
        <v>1980</v>
      </c>
      <c r="E159" s="699" t="s">
        <v>4057</v>
      </c>
      <c r="F159" s="720" t="s">
        <v>4058</v>
      </c>
      <c r="G159" s="699" t="s">
        <v>3580</v>
      </c>
      <c r="H159" s="699" t="s">
        <v>3581</v>
      </c>
      <c r="I159" s="711">
        <v>6.65</v>
      </c>
      <c r="J159" s="711">
        <v>40</v>
      </c>
      <c r="K159" s="712">
        <v>266</v>
      </c>
    </row>
    <row r="160" spans="1:11" ht="14.4" customHeight="1" x14ac:dyDescent="0.3">
      <c r="A160" s="695" t="s">
        <v>545</v>
      </c>
      <c r="B160" s="696" t="s">
        <v>1978</v>
      </c>
      <c r="C160" s="699" t="s">
        <v>555</v>
      </c>
      <c r="D160" s="720" t="s">
        <v>1980</v>
      </c>
      <c r="E160" s="699" t="s">
        <v>4057</v>
      </c>
      <c r="F160" s="720" t="s">
        <v>4058</v>
      </c>
      <c r="G160" s="699" t="s">
        <v>3582</v>
      </c>
      <c r="H160" s="699" t="s">
        <v>3583</v>
      </c>
      <c r="I160" s="711">
        <v>5.5466666666666669</v>
      </c>
      <c r="J160" s="711">
        <v>63</v>
      </c>
      <c r="K160" s="712">
        <v>532.67000000000007</v>
      </c>
    </row>
    <row r="161" spans="1:11" ht="14.4" customHeight="1" x14ac:dyDescent="0.3">
      <c r="A161" s="695" t="s">
        <v>545</v>
      </c>
      <c r="B161" s="696" t="s">
        <v>1978</v>
      </c>
      <c r="C161" s="699" t="s">
        <v>555</v>
      </c>
      <c r="D161" s="720" t="s">
        <v>1980</v>
      </c>
      <c r="E161" s="699" t="s">
        <v>4057</v>
      </c>
      <c r="F161" s="720" t="s">
        <v>4058</v>
      </c>
      <c r="G161" s="699" t="s">
        <v>3584</v>
      </c>
      <c r="H161" s="699" t="s">
        <v>3585</v>
      </c>
      <c r="I161" s="711">
        <v>261.63</v>
      </c>
      <c r="J161" s="711">
        <v>8</v>
      </c>
      <c r="K161" s="712">
        <v>2093</v>
      </c>
    </row>
    <row r="162" spans="1:11" ht="14.4" customHeight="1" x14ac:dyDescent="0.3">
      <c r="A162" s="695" t="s">
        <v>545</v>
      </c>
      <c r="B162" s="696" t="s">
        <v>1978</v>
      </c>
      <c r="C162" s="699" t="s">
        <v>555</v>
      </c>
      <c r="D162" s="720" t="s">
        <v>1980</v>
      </c>
      <c r="E162" s="699" t="s">
        <v>4057</v>
      </c>
      <c r="F162" s="720" t="s">
        <v>4058</v>
      </c>
      <c r="G162" s="699" t="s">
        <v>3586</v>
      </c>
      <c r="H162" s="699" t="s">
        <v>3587</v>
      </c>
      <c r="I162" s="711">
        <v>220.91</v>
      </c>
      <c r="J162" s="711">
        <v>120</v>
      </c>
      <c r="K162" s="712">
        <v>26509.16</v>
      </c>
    </row>
    <row r="163" spans="1:11" ht="14.4" customHeight="1" x14ac:dyDescent="0.3">
      <c r="A163" s="695" t="s">
        <v>545</v>
      </c>
      <c r="B163" s="696" t="s">
        <v>1978</v>
      </c>
      <c r="C163" s="699" t="s">
        <v>555</v>
      </c>
      <c r="D163" s="720" t="s">
        <v>1980</v>
      </c>
      <c r="E163" s="699" t="s">
        <v>4057</v>
      </c>
      <c r="F163" s="720" t="s">
        <v>4058</v>
      </c>
      <c r="G163" s="699" t="s">
        <v>3588</v>
      </c>
      <c r="H163" s="699" t="s">
        <v>3589</v>
      </c>
      <c r="I163" s="711">
        <v>0.47199999999999998</v>
      </c>
      <c r="J163" s="711">
        <v>8000</v>
      </c>
      <c r="K163" s="712">
        <v>3780</v>
      </c>
    </row>
    <row r="164" spans="1:11" ht="14.4" customHeight="1" x14ac:dyDescent="0.3">
      <c r="A164" s="695" t="s">
        <v>545</v>
      </c>
      <c r="B164" s="696" t="s">
        <v>1978</v>
      </c>
      <c r="C164" s="699" t="s">
        <v>555</v>
      </c>
      <c r="D164" s="720" t="s">
        <v>1980</v>
      </c>
      <c r="E164" s="699" t="s">
        <v>4057</v>
      </c>
      <c r="F164" s="720" t="s">
        <v>4058</v>
      </c>
      <c r="G164" s="699" t="s">
        <v>3318</v>
      </c>
      <c r="H164" s="699" t="s">
        <v>3319</v>
      </c>
      <c r="I164" s="711">
        <v>0.47</v>
      </c>
      <c r="J164" s="711">
        <v>2000</v>
      </c>
      <c r="K164" s="712">
        <v>940</v>
      </c>
    </row>
    <row r="165" spans="1:11" ht="14.4" customHeight="1" x14ac:dyDescent="0.3">
      <c r="A165" s="695" t="s">
        <v>545</v>
      </c>
      <c r="B165" s="696" t="s">
        <v>1978</v>
      </c>
      <c r="C165" s="699" t="s">
        <v>555</v>
      </c>
      <c r="D165" s="720" t="s">
        <v>1980</v>
      </c>
      <c r="E165" s="699" t="s">
        <v>4057</v>
      </c>
      <c r="F165" s="720" t="s">
        <v>4058</v>
      </c>
      <c r="G165" s="699" t="s">
        <v>3590</v>
      </c>
      <c r="H165" s="699" t="s">
        <v>3591</v>
      </c>
      <c r="I165" s="711">
        <v>4.0260000000000007</v>
      </c>
      <c r="J165" s="711">
        <v>1800</v>
      </c>
      <c r="K165" s="712">
        <v>7248</v>
      </c>
    </row>
    <row r="166" spans="1:11" ht="14.4" customHeight="1" x14ac:dyDescent="0.3">
      <c r="A166" s="695" t="s">
        <v>545</v>
      </c>
      <c r="B166" s="696" t="s">
        <v>1978</v>
      </c>
      <c r="C166" s="699" t="s">
        <v>555</v>
      </c>
      <c r="D166" s="720" t="s">
        <v>1980</v>
      </c>
      <c r="E166" s="699" t="s">
        <v>4057</v>
      </c>
      <c r="F166" s="720" t="s">
        <v>4058</v>
      </c>
      <c r="G166" s="699" t="s">
        <v>3592</v>
      </c>
      <c r="H166" s="699" t="s">
        <v>3593</v>
      </c>
      <c r="I166" s="711">
        <v>2.6</v>
      </c>
      <c r="J166" s="711">
        <v>100</v>
      </c>
      <c r="K166" s="712">
        <v>260</v>
      </c>
    </row>
    <row r="167" spans="1:11" ht="14.4" customHeight="1" x14ac:dyDescent="0.3">
      <c r="A167" s="695" t="s">
        <v>545</v>
      </c>
      <c r="B167" s="696" t="s">
        <v>1978</v>
      </c>
      <c r="C167" s="699" t="s">
        <v>555</v>
      </c>
      <c r="D167" s="720" t="s">
        <v>1980</v>
      </c>
      <c r="E167" s="699" t="s">
        <v>4057</v>
      </c>
      <c r="F167" s="720" t="s">
        <v>4058</v>
      </c>
      <c r="G167" s="699" t="s">
        <v>3594</v>
      </c>
      <c r="H167" s="699" t="s">
        <v>3595</v>
      </c>
      <c r="I167" s="711">
        <v>2.6</v>
      </c>
      <c r="J167" s="711">
        <v>4800</v>
      </c>
      <c r="K167" s="712">
        <v>12480</v>
      </c>
    </row>
    <row r="168" spans="1:11" ht="14.4" customHeight="1" x14ac:dyDescent="0.3">
      <c r="A168" s="695" t="s">
        <v>545</v>
      </c>
      <c r="B168" s="696" t="s">
        <v>1978</v>
      </c>
      <c r="C168" s="699" t="s">
        <v>555</v>
      </c>
      <c r="D168" s="720" t="s">
        <v>1980</v>
      </c>
      <c r="E168" s="699" t="s">
        <v>4057</v>
      </c>
      <c r="F168" s="720" t="s">
        <v>4058</v>
      </c>
      <c r="G168" s="699" t="s">
        <v>3596</v>
      </c>
      <c r="H168" s="699" t="s">
        <v>3597</v>
      </c>
      <c r="I168" s="711">
        <v>2.6</v>
      </c>
      <c r="J168" s="711">
        <v>5000</v>
      </c>
      <c r="K168" s="712">
        <v>13000</v>
      </c>
    </row>
    <row r="169" spans="1:11" ht="14.4" customHeight="1" x14ac:dyDescent="0.3">
      <c r="A169" s="695" t="s">
        <v>545</v>
      </c>
      <c r="B169" s="696" t="s">
        <v>1978</v>
      </c>
      <c r="C169" s="699" t="s">
        <v>555</v>
      </c>
      <c r="D169" s="720" t="s">
        <v>1980</v>
      </c>
      <c r="E169" s="699" t="s">
        <v>4057</v>
      </c>
      <c r="F169" s="720" t="s">
        <v>4058</v>
      </c>
      <c r="G169" s="699" t="s">
        <v>3598</v>
      </c>
      <c r="H169" s="699" t="s">
        <v>3599</v>
      </c>
      <c r="I169" s="711">
        <v>15.402000000000001</v>
      </c>
      <c r="J169" s="711">
        <v>250</v>
      </c>
      <c r="K169" s="712">
        <v>3850.5</v>
      </c>
    </row>
    <row r="170" spans="1:11" ht="14.4" customHeight="1" x14ac:dyDescent="0.3">
      <c r="A170" s="695" t="s">
        <v>545</v>
      </c>
      <c r="B170" s="696" t="s">
        <v>1978</v>
      </c>
      <c r="C170" s="699" t="s">
        <v>555</v>
      </c>
      <c r="D170" s="720" t="s">
        <v>1980</v>
      </c>
      <c r="E170" s="699" t="s">
        <v>4057</v>
      </c>
      <c r="F170" s="720" t="s">
        <v>4058</v>
      </c>
      <c r="G170" s="699" t="s">
        <v>3600</v>
      </c>
      <c r="H170" s="699" t="s">
        <v>3601</v>
      </c>
      <c r="I170" s="711">
        <v>168.19</v>
      </c>
      <c r="J170" s="711">
        <v>10</v>
      </c>
      <c r="K170" s="712">
        <v>1681.9</v>
      </c>
    </row>
    <row r="171" spans="1:11" ht="14.4" customHeight="1" x14ac:dyDescent="0.3">
      <c r="A171" s="695" t="s">
        <v>545</v>
      </c>
      <c r="B171" s="696" t="s">
        <v>1978</v>
      </c>
      <c r="C171" s="699" t="s">
        <v>555</v>
      </c>
      <c r="D171" s="720" t="s">
        <v>1980</v>
      </c>
      <c r="E171" s="699" t="s">
        <v>4057</v>
      </c>
      <c r="F171" s="720" t="s">
        <v>4058</v>
      </c>
      <c r="G171" s="699" t="s">
        <v>3602</v>
      </c>
      <c r="H171" s="699" t="s">
        <v>3603</v>
      </c>
      <c r="I171" s="711">
        <v>2309.8939999999998</v>
      </c>
      <c r="J171" s="711">
        <v>25</v>
      </c>
      <c r="K171" s="712">
        <v>57747.350000000006</v>
      </c>
    </row>
    <row r="172" spans="1:11" ht="14.4" customHeight="1" x14ac:dyDescent="0.3">
      <c r="A172" s="695" t="s">
        <v>545</v>
      </c>
      <c r="B172" s="696" t="s">
        <v>1978</v>
      </c>
      <c r="C172" s="699" t="s">
        <v>555</v>
      </c>
      <c r="D172" s="720" t="s">
        <v>1980</v>
      </c>
      <c r="E172" s="699" t="s">
        <v>4057</v>
      </c>
      <c r="F172" s="720" t="s">
        <v>4058</v>
      </c>
      <c r="G172" s="699" t="s">
        <v>3604</v>
      </c>
      <c r="H172" s="699" t="s">
        <v>3605</v>
      </c>
      <c r="I172" s="711">
        <v>484.0333333333333</v>
      </c>
      <c r="J172" s="711">
        <v>10</v>
      </c>
      <c r="K172" s="712">
        <v>4840.380000000001</v>
      </c>
    </row>
    <row r="173" spans="1:11" ht="14.4" customHeight="1" x14ac:dyDescent="0.3">
      <c r="A173" s="695" t="s">
        <v>545</v>
      </c>
      <c r="B173" s="696" t="s">
        <v>1978</v>
      </c>
      <c r="C173" s="699" t="s">
        <v>555</v>
      </c>
      <c r="D173" s="720" t="s">
        <v>1980</v>
      </c>
      <c r="E173" s="699" t="s">
        <v>4057</v>
      </c>
      <c r="F173" s="720" t="s">
        <v>4058</v>
      </c>
      <c r="G173" s="699" t="s">
        <v>3606</v>
      </c>
      <c r="H173" s="699" t="s">
        <v>3607</v>
      </c>
      <c r="I173" s="711">
        <v>646.76</v>
      </c>
      <c r="J173" s="711">
        <v>8</v>
      </c>
      <c r="K173" s="712">
        <v>5174.1000000000004</v>
      </c>
    </row>
    <row r="174" spans="1:11" ht="14.4" customHeight="1" x14ac:dyDescent="0.3">
      <c r="A174" s="695" t="s">
        <v>545</v>
      </c>
      <c r="B174" s="696" t="s">
        <v>1978</v>
      </c>
      <c r="C174" s="699" t="s">
        <v>555</v>
      </c>
      <c r="D174" s="720" t="s">
        <v>1980</v>
      </c>
      <c r="E174" s="699" t="s">
        <v>4057</v>
      </c>
      <c r="F174" s="720" t="s">
        <v>4058</v>
      </c>
      <c r="G174" s="699" t="s">
        <v>3608</v>
      </c>
      <c r="H174" s="699" t="s">
        <v>3609</v>
      </c>
      <c r="I174" s="711">
        <v>91.04</v>
      </c>
      <c r="J174" s="711">
        <v>40</v>
      </c>
      <c r="K174" s="712">
        <v>3641.62</v>
      </c>
    </row>
    <row r="175" spans="1:11" ht="14.4" customHeight="1" x14ac:dyDescent="0.3">
      <c r="A175" s="695" t="s">
        <v>545</v>
      </c>
      <c r="B175" s="696" t="s">
        <v>1978</v>
      </c>
      <c r="C175" s="699" t="s">
        <v>555</v>
      </c>
      <c r="D175" s="720" t="s">
        <v>1980</v>
      </c>
      <c r="E175" s="699" t="s">
        <v>4057</v>
      </c>
      <c r="F175" s="720" t="s">
        <v>4058</v>
      </c>
      <c r="G175" s="699" t="s">
        <v>3610</v>
      </c>
      <c r="H175" s="699" t="s">
        <v>3611</v>
      </c>
      <c r="I175" s="711">
        <v>91.04</v>
      </c>
      <c r="J175" s="711">
        <v>40</v>
      </c>
      <c r="K175" s="712">
        <v>3641.62</v>
      </c>
    </row>
    <row r="176" spans="1:11" ht="14.4" customHeight="1" x14ac:dyDescent="0.3">
      <c r="A176" s="695" t="s">
        <v>545</v>
      </c>
      <c r="B176" s="696" t="s">
        <v>1978</v>
      </c>
      <c r="C176" s="699" t="s">
        <v>555</v>
      </c>
      <c r="D176" s="720" t="s">
        <v>1980</v>
      </c>
      <c r="E176" s="699" t="s">
        <v>4057</v>
      </c>
      <c r="F176" s="720" t="s">
        <v>4058</v>
      </c>
      <c r="G176" s="699" t="s">
        <v>3612</v>
      </c>
      <c r="H176" s="699" t="s">
        <v>3613</v>
      </c>
      <c r="I176" s="711">
        <v>1672.22</v>
      </c>
      <c r="J176" s="711">
        <v>2</v>
      </c>
      <c r="K176" s="712">
        <v>3344.44</v>
      </c>
    </row>
    <row r="177" spans="1:11" ht="14.4" customHeight="1" x14ac:dyDescent="0.3">
      <c r="A177" s="695" t="s">
        <v>545</v>
      </c>
      <c r="B177" s="696" t="s">
        <v>1978</v>
      </c>
      <c r="C177" s="699" t="s">
        <v>555</v>
      </c>
      <c r="D177" s="720" t="s">
        <v>1980</v>
      </c>
      <c r="E177" s="699" t="s">
        <v>4057</v>
      </c>
      <c r="F177" s="720" t="s">
        <v>4058</v>
      </c>
      <c r="G177" s="699" t="s">
        <v>3614</v>
      </c>
      <c r="H177" s="699" t="s">
        <v>3615</v>
      </c>
      <c r="I177" s="711">
        <v>168.19</v>
      </c>
      <c r="J177" s="711">
        <v>20</v>
      </c>
      <c r="K177" s="712">
        <v>3363.8</v>
      </c>
    </row>
    <row r="178" spans="1:11" ht="14.4" customHeight="1" x14ac:dyDescent="0.3">
      <c r="A178" s="695" t="s">
        <v>545</v>
      </c>
      <c r="B178" s="696" t="s">
        <v>1978</v>
      </c>
      <c r="C178" s="699" t="s">
        <v>555</v>
      </c>
      <c r="D178" s="720" t="s">
        <v>1980</v>
      </c>
      <c r="E178" s="699" t="s">
        <v>4057</v>
      </c>
      <c r="F178" s="720" t="s">
        <v>4058</v>
      </c>
      <c r="G178" s="699" t="s">
        <v>3616</v>
      </c>
      <c r="H178" s="699" t="s">
        <v>3617</v>
      </c>
      <c r="I178" s="711">
        <v>22.324999999999999</v>
      </c>
      <c r="J178" s="711">
        <v>80</v>
      </c>
      <c r="K178" s="712">
        <v>1785.98</v>
      </c>
    </row>
    <row r="179" spans="1:11" ht="14.4" customHeight="1" x14ac:dyDescent="0.3">
      <c r="A179" s="695" t="s">
        <v>545</v>
      </c>
      <c r="B179" s="696" t="s">
        <v>1978</v>
      </c>
      <c r="C179" s="699" t="s">
        <v>555</v>
      </c>
      <c r="D179" s="720" t="s">
        <v>1980</v>
      </c>
      <c r="E179" s="699" t="s">
        <v>4057</v>
      </c>
      <c r="F179" s="720" t="s">
        <v>4058</v>
      </c>
      <c r="G179" s="699" t="s">
        <v>3618</v>
      </c>
      <c r="H179" s="699" t="s">
        <v>3619</v>
      </c>
      <c r="I179" s="711">
        <v>1869.45</v>
      </c>
      <c r="J179" s="711">
        <v>15</v>
      </c>
      <c r="K179" s="712">
        <v>28041.75</v>
      </c>
    </row>
    <row r="180" spans="1:11" ht="14.4" customHeight="1" x14ac:dyDescent="0.3">
      <c r="A180" s="695" t="s">
        <v>545</v>
      </c>
      <c r="B180" s="696" t="s">
        <v>1978</v>
      </c>
      <c r="C180" s="699" t="s">
        <v>555</v>
      </c>
      <c r="D180" s="720" t="s">
        <v>1980</v>
      </c>
      <c r="E180" s="699" t="s">
        <v>4057</v>
      </c>
      <c r="F180" s="720" t="s">
        <v>4058</v>
      </c>
      <c r="G180" s="699" t="s">
        <v>3620</v>
      </c>
      <c r="H180" s="699" t="s">
        <v>3621</v>
      </c>
      <c r="I180" s="711">
        <v>229.9</v>
      </c>
      <c r="J180" s="711">
        <v>160</v>
      </c>
      <c r="K180" s="712">
        <v>36784</v>
      </c>
    </row>
    <row r="181" spans="1:11" ht="14.4" customHeight="1" x14ac:dyDescent="0.3">
      <c r="A181" s="695" t="s">
        <v>545</v>
      </c>
      <c r="B181" s="696" t="s">
        <v>1978</v>
      </c>
      <c r="C181" s="699" t="s">
        <v>555</v>
      </c>
      <c r="D181" s="720" t="s">
        <v>1980</v>
      </c>
      <c r="E181" s="699" t="s">
        <v>4057</v>
      </c>
      <c r="F181" s="720" t="s">
        <v>4058</v>
      </c>
      <c r="G181" s="699" t="s">
        <v>3622</v>
      </c>
      <c r="H181" s="699" t="s">
        <v>3623</v>
      </c>
      <c r="I181" s="711">
        <v>12.84</v>
      </c>
      <c r="J181" s="711">
        <v>100</v>
      </c>
      <c r="K181" s="712">
        <v>1284.42</v>
      </c>
    </row>
    <row r="182" spans="1:11" ht="14.4" customHeight="1" x14ac:dyDescent="0.3">
      <c r="A182" s="695" t="s">
        <v>545</v>
      </c>
      <c r="B182" s="696" t="s">
        <v>1978</v>
      </c>
      <c r="C182" s="699" t="s">
        <v>555</v>
      </c>
      <c r="D182" s="720" t="s">
        <v>1980</v>
      </c>
      <c r="E182" s="699" t="s">
        <v>4057</v>
      </c>
      <c r="F182" s="720" t="s">
        <v>4058</v>
      </c>
      <c r="G182" s="699" t="s">
        <v>3624</v>
      </c>
      <c r="H182" s="699" t="s">
        <v>3625</v>
      </c>
      <c r="I182" s="711">
        <v>25.99</v>
      </c>
      <c r="J182" s="711">
        <v>350</v>
      </c>
      <c r="K182" s="712">
        <v>9096.7000000000007</v>
      </c>
    </row>
    <row r="183" spans="1:11" ht="14.4" customHeight="1" x14ac:dyDescent="0.3">
      <c r="A183" s="695" t="s">
        <v>545</v>
      </c>
      <c r="B183" s="696" t="s">
        <v>1978</v>
      </c>
      <c r="C183" s="699" t="s">
        <v>555</v>
      </c>
      <c r="D183" s="720" t="s">
        <v>1980</v>
      </c>
      <c r="E183" s="699" t="s">
        <v>4057</v>
      </c>
      <c r="F183" s="720" t="s">
        <v>4058</v>
      </c>
      <c r="G183" s="699" t="s">
        <v>3626</v>
      </c>
      <c r="H183" s="699" t="s">
        <v>3627</v>
      </c>
      <c r="I183" s="711">
        <v>5693.04</v>
      </c>
      <c r="J183" s="711">
        <v>2</v>
      </c>
      <c r="K183" s="712">
        <v>11386.08</v>
      </c>
    </row>
    <row r="184" spans="1:11" ht="14.4" customHeight="1" x14ac:dyDescent="0.3">
      <c r="A184" s="695" t="s">
        <v>545</v>
      </c>
      <c r="B184" s="696" t="s">
        <v>1978</v>
      </c>
      <c r="C184" s="699" t="s">
        <v>555</v>
      </c>
      <c r="D184" s="720" t="s">
        <v>1980</v>
      </c>
      <c r="E184" s="699" t="s">
        <v>4057</v>
      </c>
      <c r="F184" s="720" t="s">
        <v>4058</v>
      </c>
      <c r="G184" s="699" t="s">
        <v>3628</v>
      </c>
      <c r="H184" s="699" t="s">
        <v>3629</v>
      </c>
      <c r="I184" s="711">
        <v>68.64</v>
      </c>
      <c r="J184" s="711">
        <v>20</v>
      </c>
      <c r="K184" s="712">
        <v>1372.75</v>
      </c>
    </row>
    <row r="185" spans="1:11" ht="14.4" customHeight="1" x14ac:dyDescent="0.3">
      <c r="A185" s="695" t="s">
        <v>545</v>
      </c>
      <c r="B185" s="696" t="s">
        <v>1978</v>
      </c>
      <c r="C185" s="699" t="s">
        <v>555</v>
      </c>
      <c r="D185" s="720" t="s">
        <v>1980</v>
      </c>
      <c r="E185" s="699" t="s">
        <v>4057</v>
      </c>
      <c r="F185" s="720" t="s">
        <v>4058</v>
      </c>
      <c r="G185" s="699" t="s">
        <v>3630</v>
      </c>
      <c r="H185" s="699" t="s">
        <v>3631</v>
      </c>
      <c r="I185" s="711">
        <v>1828.3333333333333</v>
      </c>
      <c r="J185" s="711">
        <v>3</v>
      </c>
      <c r="K185" s="712">
        <v>5485</v>
      </c>
    </row>
    <row r="186" spans="1:11" ht="14.4" customHeight="1" x14ac:dyDescent="0.3">
      <c r="A186" s="695" t="s">
        <v>545</v>
      </c>
      <c r="B186" s="696" t="s">
        <v>1978</v>
      </c>
      <c r="C186" s="699" t="s">
        <v>555</v>
      </c>
      <c r="D186" s="720" t="s">
        <v>1980</v>
      </c>
      <c r="E186" s="699" t="s">
        <v>4057</v>
      </c>
      <c r="F186" s="720" t="s">
        <v>4058</v>
      </c>
      <c r="G186" s="699" t="s">
        <v>3632</v>
      </c>
      <c r="H186" s="699" t="s">
        <v>3633</v>
      </c>
      <c r="I186" s="711">
        <v>9.6</v>
      </c>
      <c r="J186" s="711">
        <v>700</v>
      </c>
      <c r="K186" s="712">
        <v>6720</v>
      </c>
    </row>
    <row r="187" spans="1:11" ht="14.4" customHeight="1" x14ac:dyDescent="0.3">
      <c r="A187" s="695" t="s">
        <v>545</v>
      </c>
      <c r="B187" s="696" t="s">
        <v>1978</v>
      </c>
      <c r="C187" s="699" t="s">
        <v>555</v>
      </c>
      <c r="D187" s="720" t="s">
        <v>1980</v>
      </c>
      <c r="E187" s="699" t="s">
        <v>4057</v>
      </c>
      <c r="F187" s="720" t="s">
        <v>4058</v>
      </c>
      <c r="G187" s="699" t="s">
        <v>3634</v>
      </c>
      <c r="H187" s="699" t="s">
        <v>3635</v>
      </c>
      <c r="I187" s="711">
        <v>271.95999999999998</v>
      </c>
      <c r="J187" s="711">
        <v>3</v>
      </c>
      <c r="K187" s="712">
        <v>815.88</v>
      </c>
    </row>
    <row r="188" spans="1:11" ht="14.4" customHeight="1" x14ac:dyDescent="0.3">
      <c r="A188" s="695" t="s">
        <v>545</v>
      </c>
      <c r="B188" s="696" t="s">
        <v>1978</v>
      </c>
      <c r="C188" s="699" t="s">
        <v>555</v>
      </c>
      <c r="D188" s="720" t="s">
        <v>1980</v>
      </c>
      <c r="E188" s="699" t="s">
        <v>4057</v>
      </c>
      <c r="F188" s="720" t="s">
        <v>4058</v>
      </c>
      <c r="G188" s="699" t="s">
        <v>3636</v>
      </c>
      <c r="H188" s="699" t="s">
        <v>3637</v>
      </c>
      <c r="I188" s="711">
        <v>9.68</v>
      </c>
      <c r="J188" s="711">
        <v>2800</v>
      </c>
      <c r="K188" s="712">
        <v>27104</v>
      </c>
    </row>
    <row r="189" spans="1:11" ht="14.4" customHeight="1" x14ac:dyDescent="0.3">
      <c r="A189" s="695" t="s">
        <v>545</v>
      </c>
      <c r="B189" s="696" t="s">
        <v>1978</v>
      </c>
      <c r="C189" s="699" t="s">
        <v>555</v>
      </c>
      <c r="D189" s="720" t="s">
        <v>1980</v>
      </c>
      <c r="E189" s="699" t="s">
        <v>4057</v>
      </c>
      <c r="F189" s="720" t="s">
        <v>4058</v>
      </c>
      <c r="G189" s="699" t="s">
        <v>3638</v>
      </c>
      <c r="H189" s="699" t="s">
        <v>3639</v>
      </c>
      <c r="I189" s="711">
        <v>15.730000000000002</v>
      </c>
      <c r="J189" s="711">
        <v>780</v>
      </c>
      <c r="K189" s="712">
        <v>12269.400000000001</v>
      </c>
    </row>
    <row r="190" spans="1:11" ht="14.4" customHeight="1" x14ac:dyDescent="0.3">
      <c r="A190" s="695" t="s">
        <v>545</v>
      </c>
      <c r="B190" s="696" t="s">
        <v>1978</v>
      </c>
      <c r="C190" s="699" t="s">
        <v>555</v>
      </c>
      <c r="D190" s="720" t="s">
        <v>1980</v>
      </c>
      <c r="E190" s="699" t="s">
        <v>4057</v>
      </c>
      <c r="F190" s="720" t="s">
        <v>4058</v>
      </c>
      <c r="G190" s="699" t="s">
        <v>3640</v>
      </c>
      <c r="H190" s="699" t="s">
        <v>3641</v>
      </c>
      <c r="I190" s="711">
        <v>24.199999999999996</v>
      </c>
      <c r="J190" s="711">
        <v>620</v>
      </c>
      <c r="K190" s="712">
        <v>15004</v>
      </c>
    </row>
    <row r="191" spans="1:11" ht="14.4" customHeight="1" x14ac:dyDescent="0.3">
      <c r="A191" s="695" t="s">
        <v>545</v>
      </c>
      <c r="B191" s="696" t="s">
        <v>1978</v>
      </c>
      <c r="C191" s="699" t="s">
        <v>555</v>
      </c>
      <c r="D191" s="720" t="s">
        <v>1980</v>
      </c>
      <c r="E191" s="699" t="s">
        <v>4057</v>
      </c>
      <c r="F191" s="720" t="s">
        <v>4058</v>
      </c>
      <c r="G191" s="699" t="s">
        <v>3642</v>
      </c>
      <c r="H191" s="699" t="s">
        <v>3643</v>
      </c>
      <c r="I191" s="711">
        <v>133.1</v>
      </c>
      <c r="J191" s="711">
        <v>30</v>
      </c>
      <c r="K191" s="712">
        <v>3993</v>
      </c>
    </row>
    <row r="192" spans="1:11" ht="14.4" customHeight="1" x14ac:dyDescent="0.3">
      <c r="A192" s="695" t="s">
        <v>545</v>
      </c>
      <c r="B192" s="696" t="s">
        <v>1978</v>
      </c>
      <c r="C192" s="699" t="s">
        <v>555</v>
      </c>
      <c r="D192" s="720" t="s">
        <v>1980</v>
      </c>
      <c r="E192" s="699" t="s">
        <v>4057</v>
      </c>
      <c r="F192" s="720" t="s">
        <v>4058</v>
      </c>
      <c r="G192" s="699" t="s">
        <v>3644</v>
      </c>
      <c r="H192" s="699" t="s">
        <v>3645</v>
      </c>
      <c r="I192" s="711">
        <v>78.05</v>
      </c>
      <c r="J192" s="711">
        <v>30</v>
      </c>
      <c r="K192" s="712">
        <v>2341.38</v>
      </c>
    </row>
    <row r="193" spans="1:11" ht="14.4" customHeight="1" x14ac:dyDescent="0.3">
      <c r="A193" s="695" t="s">
        <v>545</v>
      </c>
      <c r="B193" s="696" t="s">
        <v>1978</v>
      </c>
      <c r="C193" s="699" t="s">
        <v>555</v>
      </c>
      <c r="D193" s="720" t="s">
        <v>1980</v>
      </c>
      <c r="E193" s="699" t="s">
        <v>4057</v>
      </c>
      <c r="F193" s="720" t="s">
        <v>4058</v>
      </c>
      <c r="G193" s="699" t="s">
        <v>3646</v>
      </c>
      <c r="H193" s="699" t="s">
        <v>3647</v>
      </c>
      <c r="I193" s="711">
        <v>247.2</v>
      </c>
      <c r="J193" s="711">
        <v>10</v>
      </c>
      <c r="K193" s="712">
        <v>2472</v>
      </c>
    </row>
    <row r="194" spans="1:11" ht="14.4" customHeight="1" x14ac:dyDescent="0.3">
      <c r="A194" s="695" t="s">
        <v>545</v>
      </c>
      <c r="B194" s="696" t="s">
        <v>1978</v>
      </c>
      <c r="C194" s="699" t="s">
        <v>555</v>
      </c>
      <c r="D194" s="720" t="s">
        <v>1980</v>
      </c>
      <c r="E194" s="699" t="s">
        <v>4057</v>
      </c>
      <c r="F194" s="720" t="s">
        <v>4058</v>
      </c>
      <c r="G194" s="699" t="s">
        <v>3648</v>
      </c>
      <c r="H194" s="699" t="s">
        <v>3649</v>
      </c>
      <c r="I194" s="711">
        <v>78.17</v>
      </c>
      <c r="J194" s="711">
        <v>32</v>
      </c>
      <c r="K194" s="712">
        <v>2501.36</v>
      </c>
    </row>
    <row r="195" spans="1:11" ht="14.4" customHeight="1" x14ac:dyDescent="0.3">
      <c r="A195" s="695" t="s">
        <v>545</v>
      </c>
      <c r="B195" s="696" t="s">
        <v>1978</v>
      </c>
      <c r="C195" s="699" t="s">
        <v>555</v>
      </c>
      <c r="D195" s="720" t="s">
        <v>1980</v>
      </c>
      <c r="E195" s="699" t="s">
        <v>4057</v>
      </c>
      <c r="F195" s="720" t="s">
        <v>4058</v>
      </c>
      <c r="G195" s="699" t="s">
        <v>3650</v>
      </c>
      <c r="H195" s="699" t="s">
        <v>3651</v>
      </c>
      <c r="I195" s="711">
        <v>1234.2</v>
      </c>
      <c r="J195" s="711">
        <v>10</v>
      </c>
      <c r="K195" s="712">
        <v>12342</v>
      </c>
    </row>
    <row r="196" spans="1:11" ht="14.4" customHeight="1" x14ac:dyDescent="0.3">
      <c r="A196" s="695" t="s">
        <v>545</v>
      </c>
      <c r="B196" s="696" t="s">
        <v>1978</v>
      </c>
      <c r="C196" s="699" t="s">
        <v>555</v>
      </c>
      <c r="D196" s="720" t="s">
        <v>1980</v>
      </c>
      <c r="E196" s="699" t="s">
        <v>4057</v>
      </c>
      <c r="F196" s="720" t="s">
        <v>4058</v>
      </c>
      <c r="G196" s="699" t="s">
        <v>3652</v>
      </c>
      <c r="H196" s="699" t="s">
        <v>3653</v>
      </c>
      <c r="I196" s="711">
        <v>172.56</v>
      </c>
      <c r="J196" s="711">
        <v>10</v>
      </c>
      <c r="K196" s="712">
        <v>1725.59</v>
      </c>
    </row>
    <row r="197" spans="1:11" ht="14.4" customHeight="1" x14ac:dyDescent="0.3">
      <c r="A197" s="695" t="s">
        <v>545</v>
      </c>
      <c r="B197" s="696" t="s">
        <v>1978</v>
      </c>
      <c r="C197" s="699" t="s">
        <v>555</v>
      </c>
      <c r="D197" s="720" t="s">
        <v>1980</v>
      </c>
      <c r="E197" s="699" t="s">
        <v>4057</v>
      </c>
      <c r="F197" s="720" t="s">
        <v>4058</v>
      </c>
      <c r="G197" s="699" t="s">
        <v>3654</v>
      </c>
      <c r="H197" s="699" t="s">
        <v>3655</v>
      </c>
      <c r="I197" s="711">
        <v>1427.8</v>
      </c>
      <c r="J197" s="711">
        <v>5</v>
      </c>
      <c r="K197" s="712">
        <v>7139</v>
      </c>
    </row>
    <row r="198" spans="1:11" ht="14.4" customHeight="1" x14ac:dyDescent="0.3">
      <c r="A198" s="695" t="s">
        <v>545</v>
      </c>
      <c r="B198" s="696" t="s">
        <v>1978</v>
      </c>
      <c r="C198" s="699" t="s">
        <v>555</v>
      </c>
      <c r="D198" s="720" t="s">
        <v>1980</v>
      </c>
      <c r="E198" s="699" t="s">
        <v>4057</v>
      </c>
      <c r="F198" s="720" t="s">
        <v>4058</v>
      </c>
      <c r="G198" s="699" t="s">
        <v>3656</v>
      </c>
      <c r="H198" s="699" t="s">
        <v>3657</v>
      </c>
      <c r="I198" s="711">
        <v>50.6</v>
      </c>
      <c r="J198" s="711">
        <v>140</v>
      </c>
      <c r="K198" s="712">
        <v>7084</v>
      </c>
    </row>
    <row r="199" spans="1:11" ht="14.4" customHeight="1" x14ac:dyDescent="0.3">
      <c r="A199" s="695" t="s">
        <v>545</v>
      </c>
      <c r="B199" s="696" t="s">
        <v>1978</v>
      </c>
      <c r="C199" s="699" t="s">
        <v>555</v>
      </c>
      <c r="D199" s="720" t="s">
        <v>1980</v>
      </c>
      <c r="E199" s="699" t="s">
        <v>4057</v>
      </c>
      <c r="F199" s="720" t="s">
        <v>4058</v>
      </c>
      <c r="G199" s="699" t="s">
        <v>3658</v>
      </c>
      <c r="H199" s="699" t="s">
        <v>3659</v>
      </c>
      <c r="I199" s="711">
        <v>8.4700000000000006</v>
      </c>
      <c r="J199" s="711">
        <v>3500</v>
      </c>
      <c r="K199" s="712">
        <v>29645</v>
      </c>
    </row>
    <row r="200" spans="1:11" ht="14.4" customHeight="1" x14ac:dyDescent="0.3">
      <c r="A200" s="695" t="s">
        <v>545</v>
      </c>
      <c r="B200" s="696" t="s">
        <v>1978</v>
      </c>
      <c r="C200" s="699" t="s">
        <v>555</v>
      </c>
      <c r="D200" s="720" t="s">
        <v>1980</v>
      </c>
      <c r="E200" s="699" t="s">
        <v>4057</v>
      </c>
      <c r="F200" s="720" t="s">
        <v>4058</v>
      </c>
      <c r="G200" s="699" t="s">
        <v>3660</v>
      </c>
      <c r="H200" s="699" t="s">
        <v>3661</v>
      </c>
      <c r="I200" s="711">
        <v>479.16</v>
      </c>
      <c r="J200" s="711">
        <v>80</v>
      </c>
      <c r="K200" s="712">
        <v>38332.800000000003</v>
      </c>
    </row>
    <row r="201" spans="1:11" ht="14.4" customHeight="1" x14ac:dyDescent="0.3">
      <c r="A201" s="695" t="s">
        <v>545</v>
      </c>
      <c r="B201" s="696" t="s">
        <v>1978</v>
      </c>
      <c r="C201" s="699" t="s">
        <v>555</v>
      </c>
      <c r="D201" s="720" t="s">
        <v>1980</v>
      </c>
      <c r="E201" s="699" t="s">
        <v>4057</v>
      </c>
      <c r="F201" s="720" t="s">
        <v>4058</v>
      </c>
      <c r="G201" s="699" t="s">
        <v>3662</v>
      </c>
      <c r="H201" s="699" t="s">
        <v>3663</v>
      </c>
      <c r="I201" s="711">
        <v>59.5</v>
      </c>
      <c r="J201" s="711">
        <v>260</v>
      </c>
      <c r="K201" s="712">
        <v>15470.26</v>
      </c>
    </row>
    <row r="202" spans="1:11" ht="14.4" customHeight="1" x14ac:dyDescent="0.3">
      <c r="A202" s="695" t="s">
        <v>545</v>
      </c>
      <c r="B202" s="696" t="s">
        <v>1978</v>
      </c>
      <c r="C202" s="699" t="s">
        <v>555</v>
      </c>
      <c r="D202" s="720" t="s">
        <v>1980</v>
      </c>
      <c r="E202" s="699" t="s">
        <v>4057</v>
      </c>
      <c r="F202" s="720" t="s">
        <v>4058</v>
      </c>
      <c r="G202" s="699" t="s">
        <v>3664</v>
      </c>
      <c r="H202" s="699" t="s">
        <v>3665</v>
      </c>
      <c r="I202" s="711">
        <v>1128.25</v>
      </c>
      <c r="J202" s="711">
        <v>1</v>
      </c>
      <c r="K202" s="712">
        <v>1128.25</v>
      </c>
    </row>
    <row r="203" spans="1:11" ht="14.4" customHeight="1" x14ac:dyDescent="0.3">
      <c r="A203" s="695" t="s">
        <v>545</v>
      </c>
      <c r="B203" s="696" t="s">
        <v>1978</v>
      </c>
      <c r="C203" s="699" t="s">
        <v>555</v>
      </c>
      <c r="D203" s="720" t="s">
        <v>1980</v>
      </c>
      <c r="E203" s="699" t="s">
        <v>4057</v>
      </c>
      <c r="F203" s="720" t="s">
        <v>4058</v>
      </c>
      <c r="G203" s="699" t="s">
        <v>3666</v>
      </c>
      <c r="H203" s="699" t="s">
        <v>3667</v>
      </c>
      <c r="I203" s="711">
        <v>75.465000000000003</v>
      </c>
      <c r="J203" s="711">
        <v>120</v>
      </c>
      <c r="K203" s="712">
        <v>9055.880000000001</v>
      </c>
    </row>
    <row r="204" spans="1:11" ht="14.4" customHeight="1" x14ac:dyDescent="0.3">
      <c r="A204" s="695" t="s">
        <v>545</v>
      </c>
      <c r="B204" s="696" t="s">
        <v>1978</v>
      </c>
      <c r="C204" s="699" t="s">
        <v>555</v>
      </c>
      <c r="D204" s="720" t="s">
        <v>1980</v>
      </c>
      <c r="E204" s="699" t="s">
        <v>4057</v>
      </c>
      <c r="F204" s="720" t="s">
        <v>4058</v>
      </c>
      <c r="G204" s="699" t="s">
        <v>3668</v>
      </c>
      <c r="H204" s="699" t="s">
        <v>3669</v>
      </c>
      <c r="I204" s="711">
        <v>798.6</v>
      </c>
      <c r="J204" s="711">
        <v>30</v>
      </c>
      <c r="K204" s="712">
        <v>23958</v>
      </c>
    </row>
    <row r="205" spans="1:11" ht="14.4" customHeight="1" x14ac:dyDescent="0.3">
      <c r="A205" s="695" t="s">
        <v>545</v>
      </c>
      <c r="B205" s="696" t="s">
        <v>1978</v>
      </c>
      <c r="C205" s="699" t="s">
        <v>555</v>
      </c>
      <c r="D205" s="720" t="s">
        <v>1980</v>
      </c>
      <c r="E205" s="699" t="s">
        <v>4057</v>
      </c>
      <c r="F205" s="720" t="s">
        <v>4058</v>
      </c>
      <c r="G205" s="699" t="s">
        <v>3670</v>
      </c>
      <c r="H205" s="699" t="s">
        <v>3671</v>
      </c>
      <c r="I205" s="711">
        <v>5060</v>
      </c>
      <c r="J205" s="711">
        <v>3</v>
      </c>
      <c r="K205" s="712">
        <v>15180</v>
      </c>
    </row>
    <row r="206" spans="1:11" ht="14.4" customHeight="1" x14ac:dyDescent="0.3">
      <c r="A206" s="695" t="s">
        <v>545</v>
      </c>
      <c r="B206" s="696" t="s">
        <v>1978</v>
      </c>
      <c r="C206" s="699" t="s">
        <v>555</v>
      </c>
      <c r="D206" s="720" t="s">
        <v>1980</v>
      </c>
      <c r="E206" s="699" t="s">
        <v>4057</v>
      </c>
      <c r="F206" s="720" t="s">
        <v>4058</v>
      </c>
      <c r="G206" s="699" t="s">
        <v>3672</v>
      </c>
      <c r="H206" s="699" t="s">
        <v>3673</v>
      </c>
      <c r="I206" s="711">
        <v>19.440000000000001</v>
      </c>
      <c r="J206" s="711">
        <v>50</v>
      </c>
      <c r="K206" s="712">
        <v>971.75</v>
      </c>
    </row>
    <row r="207" spans="1:11" ht="14.4" customHeight="1" x14ac:dyDescent="0.3">
      <c r="A207" s="695" t="s">
        <v>545</v>
      </c>
      <c r="B207" s="696" t="s">
        <v>1978</v>
      </c>
      <c r="C207" s="699" t="s">
        <v>555</v>
      </c>
      <c r="D207" s="720" t="s">
        <v>1980</v>
      </c>
      <c r="E207" s="699" t="s">
        <v>4057</v>
      </c>
      <c r="F207" s="720" t="s">
        <v>4058</v>
      </c>
      <c r="G207" s="699" t="s">
        <v>3674</v>
      </c>
      <c r="H207" s="699" t="s">
        <v>3675</v>
      </c>
      <c r="I207" s="711">
        <v>689.68</v>
      </c>
      <c r="J207" s="711">
        <v>3</v>
      </c>
      <c r="K207" s="712">
        <v>2069.0500000000002</v>
      </c>
    </row>
    <row r="208" spans="1:11" ht="14.4" customHeight="1" x14ac:dyDescent="0.3">
      <c r="A208" s="695" t="s">
        <v>545</v>
      </c>
      <c r="B208" s="696" t="s">
        <v>1978</v>
      </c>
      <c r="C208" s="699" t="s">
        <v>555</v>
      </c>
      <c r="D208" s="720" t="s">
        <v>1980</v>
      </c>
      <c r="E208" s="699" t="s">
        <v>4057</v>
      </c>
      <c r="F208" s="720" t="s">
        <v>4058</v>
      </c>
      <c r="G208" s="699" t="s">
        <v>3676</v>
      </c>
      <c r="H208" s="699" t="s">
        <v>3677</v>
      </c>
      <c r="I208" s="711">
        <v>1387.41</v>
      </c>
      <c r="J208" s="711">
        <v>3</v>
      </c>
      <c r="K208" s="712">
        <v>4162.24</v>
      </c>
    </row>
    <row r="209" spans="1:11" ht="14.4" customHeight="1" x14ac:dyDescent="0.3">
      <c r="A209" s="695" t="s">
        <v>545</v>
      </c>
      <c r="B209" s="696" t="s">
        <v>1978</v>
      </c>
      <c r="C209" s="699" t="s">
        <v>555</v>
      </c>
      <c r="D209" s="720" t="s">
        <v>1980</v>
      </c>
      <c r="E209" s="699" t="s">
        <v>4057</v>
      </c>
      <c r="F209" s="720" t="s">
        <v>4058</v>
      </c>
      <c r="G209" s="699" t="s">
        <v>3678</v>
      </c>
      <c r="H209" s="699" t="s">
        <v>3679</v>
      </c>
      <c r="I209" s="711">
        <v>171.82</v>
      </c>
      <c r="J209" s="711">
        <v>10</v>
      </c>
      <c r="K209" s="712">
        <v>1718.2</v>
      </c>
    </row>
    <row r="210" spans="1:11" ht="14.4" customHeight="1" x14ac:dyDescent="0.3">
      <c r="A210" s="695" t="s">
        <v>545</v>
      </c>
      <c r="B210" s="696" t="s">
        <v>1978</v>
      </c>
      <c r="C210" s="699" t="s">
        <v>555</v>
      </c>
      <c r="D210" s="720" t="s">
        <v>1980</v>
      </c>
      <c r="E210" s="699" t="s">
        <v>4057</v>
      </c>
      <c r="F210" s="720" t="s">
        <v>4058</v>
      </c>
      <c r="G210" s="699" t="s">
        <v>3680</v>
      </c>
      <c r="H210" s="699" t="s">
        <v>3681</v>
      </c>
      <c r="I210" s="711">
        <v>5060</v>
      </c>
      <c r="J210" s="711">
        <v>1</v>
      </c>
      <c r="K210" s="712">
        <v>5060</v>
      </c>
    </row>
    <row r="211" spans="1:11" ht="14.4" customHeight="1" x14ac:dyDescent="0.3">
      <c r="A211" s="695" t="s">
        <v>545</v>
      </c>
      <c r="B211" s="696" t="s">
        <v>1978</v>
      </c>
      <c r="C211" s="699" t="s">
        <v>555</v>
      </c>
      <c r="D211" s="720" t="s">
        <v>1980</v>
      </c>
      <c r="E211" s="699" t="s">
        <v>4057</v>
      </c>
      <c r="F211" s="720" t="s">
        <v>4058</v>
      </c>
      <c r="G211" s="699" t="s">
        <v>3682</v>
      </c>
      <c r="H211" s="699" t="s">
        <v>3683</v>
      </c>
      <c r="I211" s="711">
        <v>97.71</v>
      </c>
      <c r="J211" s="711">
        <v>5</v>
      </c>
      <c r="K211" s="712">
        <v>488.54</v>
      </c>
    </row>
    <row r="212" spans="1:11" ht="14.4" customHeight="1" x14ac:dyDescent="0.3">
      <c r="A212" s="695" t="s">
        <v>545</v>
      </c>
      <c r="B212" s="696" t="s">
        <v>1978</v>
      </c>
      <c r="C212" s="699" t="s">
        <v>555</v>
      </c>
      <c r="D212" s="720" t="s">
        <v>1980</v>
      </c>
      <c r="E212" s="699" t="s">
        <v>4057</v>
      </c>
      <c r="F212" s="720" t="s">
        <v>4058</v>
      </c>
      <c r="G212" s="699" t="s">
        <v>3684</v>
      </c>
      <c r="H212" s="699" t="s">
        <v>3685</v>
      </c>
      <c r="I212" s="711">
        <v>11.385</v>
      </c>
      <c r="J212" s="711">
        <v>200</v>
      </c>
      <c r="K212" s="712">
        <v>2277.14</v>
      </c>
    </row>
    <row r="213" spans="1:11" ht="14.4" customHeight="1" x14ac:dyDescent="0.3">
      <c r="A213" s="695" t="s">
        <v>545</v>
      </c>
      <c r="B213" s="696" t="s">
        <v>1978</v>
      </c>
      <c r="C213" s="699" t="s">
        <v>555</v>
      </c>
      <c r="D213" s="720" t="s">
        <v>1980</v>
      </c>
      <c r="E213" s="699" t="s">
        <v>4057</v>
      </c>
      <c r="F213" s="720" t="s">
        <v>4058</v>
      </c>
      <c r="G213" s="699" t="s">
        <v>3686</v>
      </c>
      <c r="H213" s="699" t="s">
        <v>3687</v>
      </c>
      <c r="I213" s="711">
        <v>8712</v>
      </c>
      <c r="J213" s="711">
        <v>2</v>
      </c>
      <c r="K213" s="712">
        <v>17424</v>
      </c>
    </row>
    <row r="214" spans="1:11" ht="14.4" customHeight="1" x14ac:dyDescent="0.3">
      <c r="A214" s="695" t="s">
        <v>545</v>
      </c>
      <c r="B214" s="696" t="s">
        <v>1978</v>
      </c>
      <c r="C214" s="699" t="s">
        <v>555</v>
      </c>
      <c r="D214" s="720" t="s">
        <v>1980</v>
      </c>
      <c r="E214" s="699" t="s">
        <v>4057</v>
      </c>
      <c r="F214" s="720" t="s">
        <v>4058</v>
      </c>
      <c r="G214" s="699" t="s">
        <v>3688</v>
      </c>
      <c r="H214" s="699" t="s">
        <v>3689</v>
      </c>
      <c r="I214" s="711">
        <v>204.49</v>
      </c>
      <c r="J214" s="711">
        <v>90</v>
      </c>
      <c r="K214" s="712">
        <v>18404.099999999999</v>
      </c>
    </row>
    <row r="215" spans="1:11" ht="14.4" customHeight="1" x14ac:dyDescent="0.3">
      <c r="A215" s="695" t="s">
        <v>545</v>
      </c>
      <c r="B215" s="696" t="s">
        <v>1978</v>
      </c>
      <c r="C215" s="699" t="s">
        <v>555</v>
      </c>
      <c r="D215" s="720" t="s">
        <v>1980</v>
      </c>
      <c r="E215" s="699" t="s">
        <v>4057</v>
      </c>
      <c r="F215" s="720" t="s">
        <v>4058</v>
      </c>
      <c r="G215" s="699" t="s">
        <v>3690</v>
      </c>
      <c r="H215" s="699" t="s">
        <v>3691</v>
      </c>
      <c r="I215" s="711">
        <v>56.52</v>
      </c>
      <c r="J215" s="711">
        <v>60</v>
      </c>
      <c r="K215" s="712">
        <v>3391.2</v>
      </c>
    </row>
    <row r="216" spans="1:11" ht="14.4" customHeight="1" x14ac:dyDescent="0.3">
      <c r="A216" s="695" t="s">
        <v>545</v>
      </c>
      <c r="B216" s="696" t="s">
        <v>1978</v>
      </c>
      <c r="C216" s="699" t="s">
        <v>555</v>
      </c>
      <c r="D216" s="720" t="s">
        <v>1980</v>
      </c>
      <c r="E216" s="699" t="s">
        <v>4063</v>
      </c>
      <c r="F216" s="720" t="s">
        <v>4064</v>
      </c>
      <c r="G216" s="699" t="s">
        <v>3692</v>
      </c>
      <c r="H216" s="699" t="s">
        <v>3693</v>
      </c>
      <c r="I216" s="711">
        <v>50.82</v>
      </c>
      <c r="J216" s="711">
        <v>3</v>
      </c>
      <c r="K216" s="712">
        <v>152.46</v>
      </c>
    </row>
    <row r="217" spans="1:11" ht="14.4" customHeight="1" x14ac:dyDescent="0.3">
      <c r="A217" s="695" t="s">
        <v>545</v>
      </c>
      <c r="B217" s="696" t="s">
        <v>1978</v>
      </c>
      <c r="C217" s="699" t="s">
        <v>555</v>
      </c>
      <c r="D217" s="720" t="s">
        <v>1980</v>
      </c>
      <c r="E217" s="699" t="s">
        <v>4063</v>
      </c>
      <c r="F217" s="720" t="s">
        <v>4064</v>
      </c>
      <c r="G217" s="699" t="s">
        <v>3694</v>
      </c>
      <c r="H217" s="699" t="s">
        <v>3695</v>
      </c>
      <c r="I217" s="711">
        <v>101.71</v>
      </c>
      <c r="J217" s="711">
        <v>3</v>
      </c>
      <c r="K217" s="712">
        <v>305.13</v>
      </c>
    </row>
    <row r="218" spans="1:11" ht="14.4" customHeight="1" x14ac:dyDescent="0.3">
      <c r="A218" s="695" t="s">
        <v>545</v>
      </c>
      <c r="B218" s="696" t="s">
        <v>1978</v>
      </c>
      <c r="C218" s="699" t="s">
        <v>555</v>
      </c>
      <c r="D218" s="720" t="s">
        <v>1980</v>
      </c>
      <c r="E218" s="699" t="s">
        <v>4063</v>
      </c>
      <c r="F218" s="720" t="s">
        <v>4064</v>
      </c>
      <c r="G218" s="699" t="s">
        <v>3696</v>
      </c>
      <c r="H218" s="699" t="s">
        <v>3697</v>
      </c>
      <c r="I218" s="711">
        <v>154.91333333333333</v>
      </c>
      <c r="J218" s="711">
        <v>3</v>
      </c>
      <c r="K218" s="712">
        <v>464.74</v>
      </c>
    </row>
    <row r="219" spans="1:11" ht="14.4" customHeight="1" x14ac:dyDescent="0.3">
      <c r="A219" s="695" t="s">
        <v>545</v>
      </c>
      <c r="B219" s="696" t="s">
        <v>1978</v>
      </c>
      <c r="C219" s="699" t="s">
        <v>555</v>
      </c>
      <c r="D219" s="720" t="s">
        <v>1980</v>
      </c>
      <c r="E219" s="699" t="s">
        <v>4063</v>
      </c>
      <c r="F219" s="720" t="s">
        <v>4064</v>
      </c>
      <c r="G219" s="699" t="s">
        <v>3698</v>
      </c>
      <c r="H219" s="699" t="s">
        <v>3699</v>
      </c>
      <c r="I219" s="711">
        <v>87.12</v>
      </c>
      <c r="J219" s="711">
        <v>3</v>
      </c>
      <c r="K219" s="712">
        <v>261.36</v>
      </c>
    </row>
    <row r="220" spans="1:11" ht="14.4" customHeight="1" x14ac:dyDescent="0.3">
      <c r="A220" s="695" t="s">
        <v>545</v>
      </c>
      <c r="B220" s="696" t="s">
        <v>1978</v>
      </c>
      <c r="C220" s="699" t="s">
        <v>555</v>
      </c>
      <c r="D220" s="720" t="s">
        <v>1980</v>
      </c>
      <c r="E220" s="699" t="s">
        <v>4065</v>
      </c>
      <c r="F220" s="720" t="s">
        <v>4066</v>
      </c>
      <c r="G220" s="699" t="s">
        <v>3700</v>
      </c>
      <c r="H220" s="699" t="s">
        <v>3701</v>
      </c>
      <c r="I220" s="711">
        <v>928.2</v>
      </c>
      <c r="J220" s="711">
        <v>40</v>
      </c>
      <c r="K220" s="712">
        <v>37128.089999999997</v>
      </c>
    </row>
    <row r="221" spans="1:11" ht="14.4" customHeight="1" x14ac:dyDescent="0.3">
      <c r="A221" s="695" t="s">
        <v>545</v>
      </c>
      <c r="B221" s="696" t="s">
        <v>1978</v>
      </c>
      <c r="C221" s="699" t="s">
        <v>555</v>
      </c>
      <c r="D221" s="720" t="s">
        <v>1980</v>
      </c>
      <c r="E221" s="699" t="s">
        <v>4065</v>
      </c>
      <c r="F221" s="720" t="s">
        <v>4066</v>
      </c>
      <c r="G221" s="699" t="s">
        <v>3702</v>
      </c>
      <c r="H221" s="699" t="s">
        <v>3703</v>
      </c>
      <c r="I221" s="711">
        <v>319.91000000000003</v>
      </c>
      <c r="J221" s="711">
        <v>200</v>
      </c>
      <c r="K221" s="712">
        <v>63982.359999999993</v>
      </c>
    </row>
    <row r="222" spans="1:11" ht="14.4" customHeight="1" x14ac:dyDescent="0.3">
      <c r="A222" s="695" t="s">
        <v>545</v>
      </c>
      <c r="B222" s="696" t="s">
        <v>1978</v>
      </c>
      <c r="C222" s="699" t="s">
        <v>555</v>
      </c>
      <c r="D222" s="720" t="s">
        <v>1980</v>
      </c>
      <c r="E222" s="699" t="s">
        <v>4065</v>
      </c>
      <c r="F222" s="720" t="s">
        <v>4066</v>
      </c>
      <c r="G222" s="699" t="s">
        <v>3704</v>
      </c>
      <c r="H222" s="699" t="s">
        <v>3705</v>
      </c>
      <c r="I222" s="711">
        <v>568.78</v>
      </c>
      <c r="J222" s="711">
        <v>20</v>
      </c>
      <c r="K222" s="712">
        <v>11375.69</v>
      </c>
    </row>
    <row r="223" spans="1:11" ht="14.4" customHeight="1" x14ac:dyDescent="0.3">
      <c r="A223" s="695" t="s">
        <v>545</v>
      </c>
      <c r="B223" s="696" t="s">
        <v>1978</v>
      </c>
      <c r="C223" s="699" t="s">
        <v>555</v>
      </c>
      <c r="D223" s="720" t="s">
        <v>1980</v>
      </c>
      <c r="E223" s="699" t="s">
        <v>4065</v>
      </c>
      <c r="F223" s="720" t="s">
        <v>4066</v>
      </c>
      <c r="G223" s="699" t="s">
        <v>3706</v>
      </c>
      <c r="H223" s="699" t="s">
        <v>3707</v>
      </c>
      <c r="I223" s="711">
        <v>1295.45</v>
      </c>
      <c r="J223" s="711">
        <v>5</v>
      </c>
      <c r="K223" s="712">
        <v>6477.25</v>
      </c>
    </row>
    <row r="224" spans="1:11" ht="14.4" customHeight="1" x14ac:dyDescent="0.3">
      <c r="A224" s="695" t="s">
        <v>545</v>
      </c>
      <c r="B224" s="696" t="s">
        <v>1978</v>
      </c>
      <c r="C224" s="699" t="s">
        <v>555</v>
      </c>
      <c r="D224" s="720" t="s">
        <v>1980</v>
      </c>
      <c r="E224" s="699" t="s">
        <v>4065</v>
      </c>
      <c r="F224" s="720" t="s">
        <v>4066</v>
      </c>
      <c r="G224" s="699" t="s">
        <v>3708</v>
      </c>
      <c r="H224" s="699" t="s">
        <v>3709</v>
      </c>
      <c r="I224" s="711">
        <v>920</v>
      </c>
      <c r="J224" s="711">
        <v>20</v>
      </c>
      <c r="K224" s="712">
        <v>18400</v>
      </c>
    </row>
    <row r="225" spans="1:11" ht="14.4" customHeight="1" x14ac:dyDescent="0.3">
      <c r="A225" s="695" t="s">
        <v>545</v>
      </c>
      <c r="B225" s="696" t="s">
        <v>1978</v>
      </c>
      <c r="C225" s="699" t="s">
        <v>555</v>
      </c>
      <c r="D225" s="720" t="s">
        <v>1980</v>
      </c>
      <c r="E225" s="699" t="s">
        <v>4067</v>
      </c>
      <c r="F225" s="720" t="s">
        <v>4068</v>
      </c>
      <c r="G225" s="699" t="s">
        <v>3710</v>
      </c>
      <c r="H225" s="699" t="s">
        <v>3711</v>
      </c>
      <c r="I225" s="711">
        <v>465.55</v>
      </c>
      <c r="J225" s="711">
        <v>2</v>
      </c>
      <c r="K225" s="712">
        <v>931.09</v>
      </c>
    </row>
    <row r="226" spans="1:11" ht="14.4" customHeight="1" x14ac:dyDescent="0.3">
      <c r="A226" s="695" t="s">
        <v>545</v>
      </c>
      <c r="B226" s="696" t="s">
        <v>1978</v>
      </c>
      <c r="C226" s="699" t="s">
        <v>555</v>
      </c>
      <c r="D226" s="720" t="s">
        <v>1980</v>
      </c>
      <c r="E226" s="699" t="s">
        <v>4069</v>
      </c>
      <c r="F226" s="720" t="s">
        <v>4070</v>
      </c>
      <c r="G226" s="699" t="s">
        <v>3712</v>
      </c>
      <c r="H226" s="699" t="s">
        <v>3713</v>
      </c>
      <c r="I226" s="711">
        <v>2299</v>
      </c>
      <c r="J226" s="711">
        <v>1</v>
      </c>
      <c r="K226" s="712">
        <v>2299</v>
      </c>
    </row>
    <row r="227" spans="1:11" ht="14.4" customHeight="1" x14ac:dyDescent="0.3">
      <c r="A227" s="695" t="s">
        <v>545</v>
      </c>
      <c r="B227" s="696" t="s">
        <v>1978</v>
      </c>
      <c r="C227" s="699" t="s">
        <v>555</v>
      </c>
      <c r="D227" s="720" t="s">
        <v>1980</v>
      </c>
      <c r="E227" s="699" t="s">
        <v>4069</v>
      </c>
      <c r="F227" s="720" t="s">
        <v>4070</v>
      </c>
      <c r="G227" s="699" t="s">
        <v>3714</v>
      </c>
      <c r="H227" s="699" t="s">
        <v>3715</v>
      </c>
      <c r="I227" s="711">
        <v>1374.1</v>
      </c>
      <c r="J227" s="711">
        <v>1</v>
      </c>
      <c r="K227" s="712">
        <v>1374.1</v>
      </c>
    </row>
    <row r="228" spans="1:11" ht="14.4" customHeight="1" x14ac:dyDescent="0.3">
      <c r="A228" s="695" t="s">
        <v>545</v>
      </c>
      <c r="B228" s="696" t="s">
        <v>1978</v>
      </c>
      <c r="C228" s="699" t="s">
        <v>555</v>
      </c>
      <c r="D228" s="720" t="s">
        <v>1980</v>
      </c>
      <c r="E228" s="699" t="s">
        <v>4069</v>
      </c>
      <c r="F228" s="720" t="s">
        <v>4070</v>
      </c>
      <c r="G228" s="699" t="s">
        <v>3716</v>
      </c>
      <c r="H228" s="699" t="s">
        <v>3717</v>
      </c>
      <c r="I228" s="711">
        <v>12.71</v>
      </c>
      <c r="J228" s="711">
        <v>200</v>
      </c>
      <c r="K228" s="712">
        <v>2542</v>
      </c>
    </row>
    <row r="229" spans="1:11" ht="14.4" customHeight="1" x14ac:dyDescent="0.3">
      <c r="A229" s="695" t="s">
        <v>545</v>
      </c>
      <c r="B229" s="696" t="s">
        <v>1978</v>
      </c>
      <c r="C229" s="699" t="s">
        <v>555</v>
      </c>
      <c r="D229" s="720" t="s">
        <v>1980</v>
      </c>
      <c r="E229" s="699" t="s">
        <v>4069</v>
      </c>
      <c r="F229" s="720" t="s">
        <v>4070</v>
      </c>
      <c r="G229" s="699" t="s">
        <v>3718</v>
      </c>
      <c r="H229" s="699" t="s">
        <v>3719</v>
      </c>
      <c r="I229" s="711">
        <v>3617.9</v>
      </c>
      <c r="J229" s="711">
        <v>5</v>
      </c>
      <c r="K229" s="712">
        <v>18089.5</v>
      </c>
    </row>
    <row r="230" spans="1:11" ht="14.4" customHeight="1" x14ac:dyDescent="0.3">
      <c r="A230" s="695" t="s">
        <v>545</v>
      </c>
      <c r="B230" s="696" t="s">
        <v>1978</v>
      </c>
      <c r="C230" s="699" t="s">
        <v>555</v>
      </c>
      <c r="D230" s="720" t="s">
        <v>1980</v>
      </c>
      <c r="E230" s="699" t="s">
        <v>4069</v>
      </c>
      <c r="F230" s="720" t="s">
        <v>4070</v>
      </c>
      <c r="G230" s="699" t="s">
        <v>3720</v>
      </c>
      <c r="H230" s="699" t="s">
        <v>3721</v>
      </c>
      <c r="I230" s="711">
        <v>136.61000000000001</v>
      </c>
      <c r="J230" s="711">
        <v>270</v>
      </c>
      <c r="K230" s="712">
        <v>36884.43</v>
      </c>
    </row>
    <row r="231" spans="1:11" ht="14.4" customHeight="1" x14ac:dyDescent="0.3">
      <c r="A231" s="695" t="s">
        <v>545</v>
      </c>
      <c r="B231" s="696" t="s">
        <v>1978</v>
      </c>
      <c r="C231" s="699" t="s">
        <v>555</v>
      </c>
      <c r="D231" s="720" t="s">
        <v>1980</v>
      </c>
      <c r="E231" s="699" t="s">
        <v>4069</v>
      </c>
      <c r="F231" s="720" t="s">
        <v>4070</v>
      </c>
      <c r="G231" s="699" t="s">
        <v>3720</v>
      </c>
      <c r="H231" s="699" t="s">
        <v>3722</v>
      </c>
      <c r="I231" s="711">
        <v>136.61000000000001</v>
      </c>
      <c r="J231" s="711">
        <v>150</v>
      </c>
      <c r="K231" s="712">
        <v>20491.349999999999</v>
      </c>
    </row>
    <row r="232" spans="1:11" ht="14.4" customHeight="1" x14ac:dyDescent="0.3">
      <c r="A232" s="695" t="s">
        <v>545</v>
      </c>
      <c r="B232" s="696" t="s">
        <v>1978</v>
      </c>
      <c r="C232" s="699" t="s">
        <v>555</v>
      </c>
      <c r="D232" s="720" t="s">
        <v>1980</v>
      </c>
      <c r="E232" s="699" t="s">
        <v>4069</v>
      </c>
      <c r="F232" s="720" t="s">
        <v>4070</v>
      </c>
      <c r="G232" s="699" t="s">
        <v>3723</v>
      </c>
      <c r="H232" s="699" t="s">
        <v>3724</v>
      </c>
      <c r="I232" s="711">
        <v>672.46</v>
      </c>
      <c r="J232" s="711">
        <v>3</v>
      </c>
      <c r="K232" s="712">
        <v>2017.37</v>
      </c>
    </row>
    <row r="233" spans="1:11" ht="14.4" customHeight="1" x14ac:dyDescent="0.3">
      <c r="A233" s="695" t="s">
        <v>545</v>
      </c>
      <c r="B233" s="696" t="s">
        <v>1978</v>
      </c>
      <c r="C233" s="699" t="s">
        <v>555</v>
      </c>
      <c r="D233" s="720" t="s">
        <v>1980</v>
      </c>
      <c r="E233" s="699" t="s">
        <v>4069</v>
      </c>
      <c r="F233" s="720" t="s">
        <v>4070</v>
      </c>
      <c r="G233" s="699" t="s">
        <v>3725</v>
      </c>
      <c r="H233" s="699" t="s">
        <v>3726</v>
      </c>
      <c r="I233" s="711">
        <v>551.76</v>
      </c>
      <c r="J233" s="711">
        <v>3</v>
      </c>
      <c r="K233" s="712">
        <v>1655.28</v>
      </c>
    </row>
    <row r="234" spans="1:11" ht="14.4" customHeight="1" x14ac:dyDescent="0.3">
      <c r="A234" s="695" t="s">
        <v>545</v>
      </c>
      <c r="B234" s="696" t="s">
        <v>1978</v>
      </c>
      <c r="C234" s="699" t="s">
        <v>555</v>
      </c>
      <c r="D234" s="720" t="s">
        <v>1980</v>
      </c>
      <c r="E234" s="699" t="s">
        <v>4069</v>
      </c>
      <c r="F234" s="720" t="s">
        <v>4070</v>
      </c>
      <c r="G234" s="699" t="s">
        <v>3727</v>
      </c>
      <c r="H234" s="699" t="s">
        <v>3728</v>
      </c>
      <c r="I234" s="711">
        <v>7.0266666666666664</v>
      </c>
      <c r="J234" s="711">
        <v>600</v>
      </c>
      <c r="K234" s="712">
        <v>4216</v>
      </c>
    </row>
    <row r="235" spans="1:11" ht="14.4" customHeight="1" x14ac:dyDescent="0.3">
      <c r="A235" s="695" t="s">
        <v>545</v>
      </c>
      <c r="B235" s="696" t="s">
        <v>1978</v>
      </c>
      <c r="C235" s="699" t="s">
        <v>555</v>
      </c>
      <c r="D235" s="720" t="s">
        <v>1980</v>
      </c>
      <c r="E235" s="699" t="s">
        <v>4069</v>
      </c>
      <c r="F235" s="720" t="s">
        <v>4070</v>
      </c>
      <c r="G235" s="699" t="s">
        <v>3729</v>
      </c>
      <c r="H235" s="699" t="s">
        <v>3730</v>
      </c>
      <c r="I235" s="711">
        <v>678.21</v>
      </c>
      <c r="J235" s="711">
        <v>3</v>
      </c>
      <c r="K235" s="712">
        <v>2034.62</v>
      </c>
    </row>
    <row r="236" spans="1:11" ht="14.4" customHeight="1" x14ac:dyDescent="0.3">
      <c r="A236" s="695" t="s">
        <v>545</v>
      </c>
      <c r="B236" s="696" t="s">
        <v>1978</v>
      </c>
      <c r="C236" s="699" t="s">
        <v>555</v>
      </c>
      <c r="D236" s="720" t="s">
        <v>1980</v>
      </c>
      <c r="E236" s="699" t="s">
        <v>4069</v>
      </c>
      <c r="F236" s="720" t="s">
        <v>4070</v>
      </c>
      <c r="G236" s="699" t="s">
        <v>3731</v>
      </c>
      <c r="H236" s="699" t="s">
        <v>3732</v>
      </c>
      <c r="I236" s="711">
        <v>683.94</v>
      </c>
      <c r="J236" s="711">
        <v>3</v>
      </c>
      <c r="K236" s="712">
        <v>2051.81</v>
      </c>
    </row>
    <row r="237" spans="1:11" ht="14.4" customHeight="1" x14ac:dyDescent="0.3">
      <c r="A237" s="695" t="s">
        <v>545</v>
      </c>
      <c r="B237" s="696" t="s">
        <v>1978</v>
      </c>
      <c r="C237" s="699" t="s">
        <v>555</v>
      </c>
      <c r="D237" s="720" t="s">
        <v>1980</v>
      </c>
      <c r="E237" s="699" t="s">
        <v>4071</v>
      </c>
      <c r="F237" s="720" t="s">
        <v>4072</v>
      </c>
      <c r="G237" s="699" t="s">
        <v>3733</v>
      </c>
      <c r="H237" s="699" t="s">
        <v>3734</v>
      </c>
      <c r="I237" s="711">
        <v>33.729999999999997</v>
      </c>
      <c r="J237" s="711">
        <v>360</v>
      </c>
      <c r="K237" s="712">
        <v>12142.64</v>
      </c>
    </row>
    <row r="238" spans="1:11" ht="14.4" customHeight="1" x14ac:dyDescent="0.3">
      <c r="A238" s="695" t="s">
        <v>545</v>
      </c>
      <c r="B238" s="696" t="s">
        <v>1978</v>
      </c>
      <c r="C238" s="699" t="s">
        <v>555</v>
      </c>
      <c r="D238" s="720" t="s">
        <v>1980</v>
      </c>
      <c r="E238" s="699" t="s">
        <v>4071</v>
      </c>
      <c r="F238" s="720" t="s">
        <v>4072</v>
      </c>
      <c r="G238" s="699" t="s">
        <v>3735</v>
      </c>
      <c r="H238" s="699" t="s">
        <v>3736</v>
      </c>
      <c r="I238" s="711">
        <v>45.03</v>
      </c>
      <c r="J238" s="711">
        <v>36</v>
      </c>
      <c r="K238" s="712">
        <v>1621.19</v>
      </c>
    </row>
    <row r="239" spans="1:11" ht="14.4" customHeight="1" x14ac:dyDescent="0.3">
      <c r="A239" s="695" t="s">
        <v>545</v>
      </c>
      <c r="B239" s="696" t="s">
        <v>1978</v>
      </c>
      <c r="C239" s="699" t="s">
        <v>555</v>
      </c>
      <c r="D239" s="720" t="s">
        <v>1980</v>
      </c>
      <c r="E239" s="699" t="s">
        <v>4071</v>
      </c>
      <c r="F239" s="720" t="s">
        <v>4072</v>
      </c>
      <c r="G239" s="699" t="s">
        <v>3737</v>
      </c>
      <c r="H239" s="699" t="s">
        <v>3738</v>
      </c>
      <c r="I239" s="711">
        <v>70.704999999999998</v>
      </c>
      <c r="J239" s="711">
        <v>72</v>
      </c>
      <c r="K239" s="712">
        <v>5091.12</v>
      </c>
    </row>
    <row r="240" spans="1:11" ht="14.4" customHeight="1" x14ac:dyDescent="0.3">
      <c r="A240" s="695" t="s">
        <v>545</v>
      </c>
      <c r="B240" s="696" t="s">
        <v>1978</v>
      </c>
      <c r="C240" s="699" t="s">
        <v>555</v>
      </c>
      <c r="D240" s="720" t="s">
        <v>1980</v>
      </c>
      <c r="E240" s="699" t="s">
        <v>4059</v>
      </c>
      <c r="F240" s="720" t="s">
        <v>4060</v>
      </c>
      <c r="G240" s="699" t="s">
        <v>3739</v>
      </c>
      <c r="H240" s="699" t="s">
        <v>3740</v>
      </c>
      <c r="I240" s="711">
        <v>0.30599999999999999</v>
      </c>
      <c r="J240" s="711">
        <v>2000</v>
      </c>
      <c r="K240" s="712">
        <v>612</v>
      </c>
    </row>
    <row r="241" spans="1:11" ht="14.4" customHeight="1" x14ac:dyDescent="0.3">
      <c r="A241" s="695" t="s">
        <v>545</v>
      </c>
      <c r="B241" s="696" t="s">
        <v>1978</v>
      </c>
      <c r="C241" s="699" t="s">
        <v>555</v>
      </c>
      <c r="D241" s="720" t="s">
        <v>1980</v>
      </c>
      <c r="E241" s="699" t="s">
        <v>4059</v>
      </c>
      <c r="F241" s="720" t="s">
        <v>4060</v>
      </c>
      <c r="G241" s="699" t="s">
        <v>3741</v>
      </c>
      <c r="H241" s="699" t="s">
        <v>3742</v>
      </c>
      <c r="I241" s="711">
        <v>0.30399999999999999</v>
      </c>
      <c r="J241" s="711">
        <v>1500</v>
      </c>
      <c r="K241" s="712">
        <v>456</v>
      </c>
    </row>
    <row r="242" spans="1:11" ht="14.4" customHeight="1" x14ac:dyDescent="0.3">
      <c r="A242" s="695" t="s">
        <v>545</v>
      </c>
      <c r="B242" s="696" t="s">
        <v>1978</v>
      </c>
      <c r="C242" s="699" t="s">
        <v>555</v>
      </c>
      <c r="D242" s="720" t="s">
        <v>1980</v>
      </c>
      <c r="E242" s="699" t="s">
        <v>4059</v>
      </c>
      <c r="F242" s="720" t="s">
        <v>4060</v>
      </c>
      <c r="G242" s="699" t="s">
        <v>3322</v>
      </c>
      <c r="H242" s="699" t="s">
        <v>3323</v>
      </c>
      <c r="I242" s="711">
        <v>0.30599999999999999</v>
      </c>
      <c r="J242" s="711">
        <v>2100</v>
      </c>
      <c r="K242" s="712">
        <v>643</v>
      </c>
    </row>
    <row r="243" spans="1:11" ht="14.4" customHeight="1" x14ac:dyDescent="0.3">
      <c r="A243" s="695" t="s">
        <v>545</v>
      </c>
      <c r="B243" s="696" t="s">
        <v>1978</v>
      </c>
      <c r="C243" s="699" t="s">
        <v>555</v>
      </c>
      <c r="D243" s="720" t="s">
        <v>1980</v>
      </c>
      <c r="E243" s="699" t="s">
        <v>4059</v>
      </c>
      <c r="F243" s="720" t="s">
        <v>4060</v>
      </c>
      <c r="G243" s="699" t="s">
        <v>3743</v>
      </c>
      <c r="H243" s="699" t="s">
        <v>3744</v>
      </c>
      <c r="I243" s="711">
        <v>10.434999999999999</v>
      </c>
      <c r="J243" s="711">
        <v>20</v>
      </c>
      <c r="K243" s="712">
        <v>208.74</v>
      </c>
    </row>
    <row r="244" spans="1:11" ht="14.4" customHeight="1" x14ac:dyDescent="0.3">
      <c r="A244" s="695" t="s">
        <v>545</v>
      </c>
      <c r="B244" s="696" t="s">
        <v>1978</v>
      </c>
      <c r="C244" s="699" t="s">
        <v>555</v>
      </c>
      <c r="D244" s="720" t="s">
        <v>1980</v>
      </c>
      <c r="E244" s="699" t="s">
        <v>4059</v>
      </c>
      <c r="F244" s="720" t="s">
        <v>4060</v>
      </c>
      <c r="G244" s="699" t="s">
        <v>3745</v>
      </c>
      <c r="H244" s="699" t="s">
        <v>3746</v>
      </c>
      <c r="I244" s="711">
        <v>10.45</v>
      </c>
      <c r="J244" s="711">
        <v>30</v>
      </c>
      <c r="K244" s="712">
        <v>313.64</v>
      </c>
    </row>
    <row r="245" spans="1:11" ht="14.4" customHeight="1" x14ac:dyDescent="0.3">
      <c r="A245" s="695" t="s">
        <v>545</v>
      </c>
      <c r="B245" s="696" t="s">
        <v>1978</v>
      </c>
      <c r="C245" s="699" t="s">
        <v>555</v>
      </c>
      <c r="D245" s="720" t="s">
        <v>1980</v>
      </c>
      <c r="E245" s="699" t="s">
        <v>4059</v>
      </c>
      <c r="F245" s="720" t="s">
        <v>4060</v>
      </c>
      <c r="G245" s="699" t="s">
        <v>3324</v>
      </c>
      <c r="H245" s="699" t="s">
        <v>3325</v>
      </c>
      <c r="I245" s="711">
        <v>0.31</v>
      </c>
      <c r="J245" s="711">
        <v>20000</v>
      </c>
      <c r="K245" s="712">
        <v>6200</v>
      </c>
    </row>
    <row r="246" spans="1:11" ht="14.4" customHeight="1" x14ac:dyDescent="0.3">
      <c r="A246" s="695" t="s">
        <v>545</v>
      </c>
      <c r="B246" s="696" t="s">
        <v>1978</v>
      </c>
      <c r="C246" s="699" t="s">
        <v>555</v>
      </c>
      <c r="D246" s="720" t="s">
        <v>1980</v>
      </c>
      <c r="E246" s="699" t="s">
        <v>4059</v>
      </c>
      <c r="F246" s="720" t="s">
        <v>4060</v>
      </c>
      <c r="G246" s="699" t="s">
        <v>3747</v>
      </c>
      <c r="H246" s="699" t="s">
        <v>3748</v>
      </c>
      <c r="I246" s="711">
        <v>12.089999999999998</v>
      </c>
      <c r="J246" s="711">
        <v>300</v>
      </c>
      <c r="K246" s="712">
        <v>3627</v>
      </c>
    </row>
    <row r="247" spans="1:11" ht="14.4" customHeight="1" x14ac:dyDescent="0.3">
      <c r="A247" s="695" t="s">
        <v>545</v>
      </c>
      <c r="B247" s="696" t="s">
        <v>1978</v>
      </c>
      <c r="C247" s="699" t="s">
        <v>555</v>
      </c>
      <c r="D247" s="720" t="s">
        <v>1980</v>
      </c>
      <c r="E247" s="699" t="s">
        <v>4061</v>
      </c>
      <c r="F247" s="720" t="s">
        <v>4062</v>
      </c>
      <c r="G247" s="699" t="s">
        <v>3749</v>
      </c>
      <c r="H247" s="699" t="s">
        <v>3750</v>
      </c>
      <c r="I247" s="711">
        <v>11.013999999999999</v>
      </c>
      <c r="J247" s="711">
        <v>360</v>
      </c>
      <c r="K247" s="712">
        <v>3965.1999999999994</v>
      </c>
    </row>
    <row r="248" spans="1:11" ht="14.4" customHeight="1" x14ac:dyDescent="0.3">
      <c r="A248" s="695" t="s">
        <v>545</v>
      </c>
      <c r="B248" s="696" t="s">
        <v>1978</v>
      </c>
      <c r="C248" s="699" t="s">
        <v>555</v>
      </c>
      <c r="D248" s="720" t="s">
        <v>1980</v>
      </c>
      <c r="E248" s="699" t="s">
        <v>4061</v>
      </c>
      <c r="F248" s="720" t="s">
        <v>4062</v>
      </c>
      <c r="G248" s="699" t="s">
        <v>3751</v>
      </c>
      <c r="H248" s="699" t="s">
        <v>3752</v>
      </c>
      <c r="I248" s="711">
        <v>11.015000000000001</v>
      </c>
      <c r="J248" s="711">
        <v>120</v>
      </c>
      <c r="K248" s="712">
        <v>1322</v>
      </c>
    </row>
    <row r="249" spans="1:11" ht="14.4" customHeight="1" x14ac:dyDescent="0.3">
      <c r="A249" s="695" t="s">
        <v>545</v>
      </c>
      <c r="B249" s="696" t="s">
        <v>1978</v>
      </c>
      <c r="C249" s="699" t="s">
        <v>555</v>
      </c>
      <c r="D249" s="720" t="s">
        <v>1980</v>
      </c>
      <c r="E249" s="699" t="s">
        <v>4061</v>
      </c>
      <c r="F249" s="720" t="s">
        <v>4062</v>
      </c>
      <c r="G249" s="699" t="s">
        <v>3753</v>
      </c>
      <c r="H249" s="699" t="s">
        <v>3754</v>
      </c>
      <c r="I249" s="711">
        <v>11.01</v>
      </c>
      <c r="J249" s="711">
        <v>280</v>
      </c>
      <c r="K249" s="712">
        <v>3082.7999999999997</v>
      </c>
    </row>
    <row r="250" spans="1:11" ht="14.4" customHeight="1" x14ac:dyDescent="0.3">
      <c r="A250" s="695" t="s">
        <v>545</v>
      </c>
      <c r="B250" s="696" t="s">
        <v>1978</v>
      </c>
      <c r="C250" s="699" t="s">
        <v>555</v>
      </c>
      <c r="D250" s="720" t="s">
        <v>1980</v>
      </c>
      <c r="E250" s="699" t="s">
        <v>4061</v>
      </c>
      <c r="F250" s="720" t="s">
        <v>4062</v>
      </c>
      <c r="G250" s="699" t="s">
        <v>3755</v>
      </c>
      <c r="H250" s="699" t="s">
        <v>3756</v>
      </c>
      <c r="I250" s="711">
        <v>11.01</v>
      </c>
      <c r="J250" s="711">
        <v>260</v>
      </c>
      <c r="K250" s="712">
        <v>2862.6</v>
      </c>
    </row>
    <row r="251" spans="1:11" ht="14.4" customHeight="1" x14ac:dyDescent="0.3">
      <c r="A251" s="695" t="s">
        <v>545</v>
      </c>
      <c r="B251" s="696" t="s">
        <v>1978</v>
      </c>
      <c r="C251" s="699" t="s">
        <v>555</v>
      </c>
      <c r="D251" s="720" t="s">
        <v>1980</v>
      </c>
      <c r="E251" s="699" t="s">
        <v>4061</v>
      </c>
      <c r="F251" s="720" t="s">
        <v>4062</v>
      </c>
      <c r="G251" s="699" t="s">
        <v>3328</v>
      </c>
      <c r="H251" s="699" t="s">
        <v>3329</v>
      </c>
      <c r="I251" s="711">
        <v>0.77200000000000002</v>
      </c>
      <c r="J251" s="711">
        <v>50000</v>
      </c>
      <c r="K251" s="712">
        <v>38630</v>
      </c>
    </row>
    <row r="252" spans="1:11" ht="14.4" customHeight="1" x14ac:dyDescent="0.3">
      <c r="A252" s="695" t="s">
        <v>545</v>
      </c>
      <c r="B252" s="696" t="s">
        <v>1978</v>
      </c>
      <c r="C252" s="699" t="s">
        <v>555</v>
      </c>
      <c r="D252" s="720" t="s">
        <v>1980</v>
      </c>
      <c r="E252" s="699" t="s">
        <v>4061</v>
      </c>
      <c r="F252" s="720" t="s">
        <v>4062</v>
      </c>
      <c r="G252" s="699" t="s">
        <v>3330</v>
      </c>
      <c r="H252" s="699" t="s">
        <v>3331</v>
      </c>
      <c r="I252" s="711">
        <v>0.77</v>
      </c>
      <c r="J252" s="711">
        <v>48000</v>
      </c>
      <c r="K252" s="712">
        <v>36960</v>
      </c>
    </row>
    <row r="253" spans="1:11" ht="14.4" customHeight="1" x14ac:dyDescent="0.3">
      <c r="A253" s="695" t="s">
        <v>545</v>
      </c>
      <c r="B253" s="696" t="s">
        <v>1978</v>
      </c>
      <c r="C253" s="699" t="s">
        <v>555</v>
      </c>
      <c r="D253" s="720" t="s">
        <v>1980</v>
      </c>
      <c r="E253" s="699" t="s">
        <v>4061</v>
      </c>
      <c r="F253" s="720" t="s">
        <v>4062</v>
      </c>
      <c r="G253" s="699" t="s">
        <v>3757</v>
      </c>
      <c r="H253" s="699" t="s">
        <v>3758</v>
      </c>
      <c r="I253" s="711">
        <v>0.77</v>
      </c>
      <c r="J253" s="711">
        <v>5000</v>
      </c>
      <c r="K253" s="712">
        <v>3850</v>
      </c>
    </row>
    <row r="254" spans="1:11" ht="14.4" customHeight="1" x14ac:dyDescent="0.3">
      <c r="A254" s="695" t="s">
        <v>545</v>
      </c>
      <c r="B254" s="696" t="s">
        <v>1978</v>
      </c>
      <c r="C254" s="699" t="s">
        <v>555</v>
      </c>
      <c r="D254" s="720" t="s">
        <v>1980</v>
      </c>
      <c r="E254" s="699" t="s">
        <v>4061</v>
      </c>
      <c r="F254" s="720" t="s">
        <v>4062</v>
      </c>
      <c r="G254" s="699" t="s">
        <v>3332</v>
      </c>
      <c r="H254" s="699" t="s">
        <v>3333</v>
      </c>
      <c r="I254" s="711">
        <v>0.71</v>
      </c>
      <c r="J254" s="711">
        <v>13000</v>
      </c>
      <c r="K254" s="712">
        <v>9230</v>
      </c>
    </row>
    <row r="255" spans="1:11" ht="14.4" customHeight="1" x14ac:dyDescent="0.3">
      <c r="A255" s="695" t="s">
        <v>545</v>
      </c>
      <c r="B255" s="696" t="s">
        <v>1978</v>
      </c>
      <c r="C255" s="699" t="s">
        <v>555</v>
      </c>
      <c r="D255" s="720" t="s">
        <v>1980</v>
      </c>
      <c r="E255" s="699" t="s">
        <v>4061</v>
      </c>
      <c r="F255" s="720" t="s">
        <v>4062</v>
      </c>
      <c r="G255" s="699" t="s">
        <v>3759</v>
      </c>
      <c r="H255" s="699" t="s">
        <v>3760</v>
      </c>
      <c r="I255" s="711">
        <v>0.71</v>
      </c>
      <c r="J255" s="711">
        <v>5000</v>
      </c>
      <c r="K255" s="712">
        <v>3550</v>
      </c>
    </row>
    <row r="256" spans="1:11" ht="14.4" customHeight="1" x14ac:dyDescent="0.3">
      <c r="A256" s="695" t="s">
        <v>545</v>
      </c>
      <c r="B256" s="696" t="s">
        <v>1978</v>
      </c>
      <c r="C256" s="699" t="s">
        <v>555</v>
      </c>
      <c r="D256" s="720" t="s">
        <v>1980</v>
      </c>
      <c r="E256" s="699" t="s">
        <v>4061</v>
      </c>
      <c r="F256" s="720" t="s">
        <v>4062</v>
      </c>
      <c r="G256" s="699" t="s">
        <v>3334</v>
      </c>
      <c r="H256" s="699" t="s">
        <v>3335</v>
      </c>
      <c r="I256" s="711">
        <v>0.71</v>
      </c>
      <c r="J256" s="711">
        <v>12000</v>
      </c>
      <c r="K256" s="712">
        <v>8520</v>
      </c>
    </row>
    <row r="257" spans="1:11" ht="14.4" customHeight="1" x14ac:dyDescent="0.3">
      <c r="A257" s="695" t="s">
        <v>545</v>
      </c>
      <c r="B257" s="696" t="s">
        <v>1978</v>
      </c>
      <c r="C257" s="699" t="s">
        <v>555</v>
      </c>
      <c r="D257" s="720" t="s">
        <v>1980</v>
      </c>
      <c r="E257" s="699" t="s">
        <v>4073</v>
      </c>
      <c r="F257" s="720" t="s">
        <v>4074</v>
      </c>
      <c r="G257" s="699" t="s">
        <v>3761</v>
      </c>
      <c r="H257" s="699" t="s">
        <v>3762</v>
      </c>
      <c r="I257" s="711">
        <v>139.44000000000003</v>
      </c>
      <c r="J257" s="711">
        <v>90</v>
      </c>
      <c r="K257" s="712">
        <v>12549.59</v>
      </c>
    </row>
    <row r="258" spans="1:11" ht="14.4" customHeight="1" x14ac:dyDescent="0.3">
      <c r="A258" s="695" t="s">
        <v>545</v>
      </c>
      <c r="B258" s="696" t="s">
        <v>1978</v>
      </c>
      <c r="C258" s="699" t="s">
        <v>555</v>
      </c>
      <c r="D258" s="720" t="s">
        <v>1980</v>
      </c>
      <c r="E258" s="699" t="s">
        <v>4073</v>
      </c>
      <c r="F258" s="720" t="s">
        <v>4074</v>
      </c>
      <c r="G258" s="699" t="s">
        <v>3763</v>
      </c>
      <c r="H258" s="699" t="s">
        <v>3764</v>
      </c>
      <c r="I258" s="711">
        <v>139.44000000000003</v>
      </c>
      <c r="J258" s="711">
        <v>90</v>
      </c>
      <c r="K258" s="712">
        <v>12549.59</v>
      </c>
    </row>
    <row r="259" spans="1:11" ht="14.4" customHeight="1" x14ac:dyDescent="0.3">
      <c r="A259" s="695" t="s">
        <v>545</v>
      </c>
      <c r="B259" s="696" t="s">
        <v>1978</v>
      </c>
      <c r="C259" s="699" t="s">
        <v>555</v>
      </c>
      <c r="D259" s="720" t="s">
        <v>1980</v>
      </c>
      <c r="E259" s="699" t="s">
        <v>4073</v>
      </c>
      <c r="F259" s="720" t="s">
        <v>4074</v>
      </c>
      <c r="G259" s="699" t="s">
        <v>3765</v>
      </c>
      <c r="H259" s="699" t="s">
        <v>3766</v>
      </c>
      <c r="I259" s="711">
        <v>15587.16</v>
      </c>
      <c r="J259" s="711">
        <v>2.5</v>
      </c>
      <c r="K259" s="712">
        <v>38967.9</v>
      </c>
    </row>
    <row r="260" spans="1:11" ht="14.4" customHeight="1" x14ac:dyDescent="0.3">
      <c r="A260" s="695" t="s">
        <v>545</v>
      </c>
      <c r="B260" s="696" t="s">
        <v>1978</v>
      </c>
      <c r="C260" s="699" t="s">
        <v>555</v>
      </c>
      <c r="D260" s="720" t="s">
        <v>1980</v>
      </c>
      <c r="E260" s="699" t="s">
        <v>4073</v>
      </c>
      <c r="F260" s="720" t="s">
        <v>4074</v>
      </c>
      <c r="G260" s="699" t="s">
        <v>3767</v>
      </c>
      <c r="H260" s="699" t="s">
        <v>3768</v>
      </c>
      <c r="I260" s="711">
        <v>11.65</v>
      </c>
      <c r="J260" s="711">
        <v>140</v>
      </c>
      <c r="K260" s="712">
        <v>1631.32</v>
      </c>
    </row>
    <row r="261" spans="1:11" ht="14.4" customHeight="1" x14ac:dyDescent="0.3">
      <c r="A261" s="695" t="s">
        <v>545</v>
      </c>
      <c r="B261" s="696" t="s">
        <v>1978</v>
      </c>
      <c r="C261" s="699" t="s">
        <v>555</v>
      </c>
      <c r="D261" s="720" t="s">
        <v>1980</v>
      </c>
      <c r="E261" s="699" t="s">
        <v>4073</v>
      </c>
      <c r="F261" s="720" t="s">
        <v>4074</v>
      </c>
      <c r="G261" s="699" t="s">
        <v>3769</v>
      </c>
      <c r="H261" s="699" t="s">
        <v>3770</v>
      </c>
      <c r="I261" s="711">
        <v>152.46</v>
      </c>
      <c r="J261" s="711">
        <v>23</v>
      </c>
      <c r="K261" s="712">
        <v>3506.58</v>
      </c>
    </row>
    <row r="262" spans="1:11" ht="14.4" customHeight="1" x14ac:dyDescent="0.3">
      <c r="A262" s="695" t="s">
        <v>545</v>
      </c>
      <c r="B262" s="696" t="s">
        <v>1978</v>
      </c>
      <c r="C262" s="699" t="s">
        <v>555</v>
      </c>
      <c r="D262" s="720" t="s">
        <v>1980</v>
      </c>
      <c r="E262" s="699" t="s">
        <v>4073</v>
      </c>
      <c r="F262" s="720" t="s">
        <v>4074</v>
      </c>
      <c r="G262" s="699" t="s">
        <v>3771</v>
      </c>
      <c r="H262" s="699" t="s">
        <v>3772</v>
      </c>
      <c r="I262" s="711">
        <v>254.82</v>
      </c>
      <c r="J262" s="711">
        <v>20</v>
      </c>
      <c r="K262" s="712">
        <v>5096.38</v>
      </c>
    </row>
    <row r="263" spans="1:11" ht="14.4" customHeight="1" x14ac:dyDescent="0.3">
      <c r="A263" s="695" t="s">
        <v>545</v>
      </c>
      <c r="B263" s="696" t="s">
        <v>1978</v>
      </c>
      <c r="C263" s="699" t="s">
        <v>555</v>
      </c>
      <c r="D263" s="720" t="s">
        <v>1980</v>
      </c>
      <c r="E263" s="699" t="s">
        <v>4073</v>
      </c>
      <c r="F263" s="720" t="s">
        <v>4074</v>
      </c>
      <c r="G263" s="699" t="s">
        <v>3773</v>
      </c>
      <c r="H263" s="699" t="s">
        <v>3774</v>
      </c>
      <c r="I263" s="711">
        <v>105.8</v>
      </c>
      <c r="J263" s="711">
        <v>2</v>
      </c>
      <c r="K263" s="712">
        <v>211.6</v>
      </c>
    </row>
    <row r="264" spans="1:11" ht="14.4" customHeight="1" x14ac:dyDescent="0.3">
      <c r="A264" s="695" t="s">
        <v>545</v>
      </c>
      <c r="B264" s="696" t="s">
        <v>1978</v>
      </c>
      <c r="C264" s="699" t="s">
        <v>555</v>
      </c>
      <c r="D264" s="720" t="s">
        <v>1980</v>
      </c>
      <c r="E264" s="699" t="s">
        <v>4073</v>
      </c>
      <c r="F264" s="720" t="s">
        <v>4074</v>
      </c>
      <c r="G264" s="699" t="s">
        <v>3775</v>
      </c>
      <c r="H264" s="699" t="s">
        <v>3776</v>
      </c>
      <c r="I264" s="711">
        <v>555.20000000000005</v>
      </c>
      <c r="J264" s="711">
        <v>2</v>
      </c>
      <c r="K264" s="712">
        <v>1110.4000000000001</v>
      </c>
    </row>
    <row r="265" spans="1:11" ht="14.4" customHeight="1" x14ac:dyDescent="0.3">
      <c r="A265" s="695" t="s">
        <v>545</v>
      </c>
      <c r="B265" s="696" t="s">
        <v>1978</v>
      </c>
      <c r="C265" s="699" t="s">
        <v>555</v>
      </c>
      <c r="D265" s="720" t="s">
        <v>1980</v>
      </c>
      <c r="E265" s="699" t="s">
        <v>4073</v>
      </c>
      <c r="F265" s="720" t="s">
        <v>4074</v>
      </c>
      <c r="G265" s="699" t="s">
        <v>3777</v>
      </c>
      <c r="H265" s="699" t="s">
        <v>3778</v>
      </c>
      <c r="I265" s="711">
        <v>2746.7</v>
      </c>
      <c r="J265" s="711">
        <v>6</v>
      </c>
      <c r="K265" s="712">
        <v>16480.199999999997</v>
      </c>
    </row>
    <row r="266" spans="1:11" ht="14.4" customHeight="1" x14ac:dyDescent="0.3">
      <c r="A266" s="695" t="s">
        <v>545</v>
      </c>
      <c r="B266" s="696" t="s">
        <v>1978</v>
      </c>
      <c r="C266" s="699" t="s">
        <v>555</v>
      </c>
      <c r="D266" s="720" t="s">
        <v>1980</v>
      </c>
      <c r="E266" s="699" t="s">
        <v>4073</v>
      </c>
      <c r="F266" s="720" t="s">
        <v>4074</v>
      </c>
      <c r="G266" s="699" t="s">
        <v>3779</v>
      </c>
      <c r="H266" s="699" t="s">
        <v>3780</v>
      </c>
      <c r="I266" s="711">
        <v>6352.5</v>
      </c>
      <c r="J266" s="711">
        <v>7</v>
      </c>
      <c r="K266" s="712">
        <v>44467.5</v>
      </c>
    </row>
    <row r="267" spans="1:11" ht="14.4" customHeight="1" x14ac:dyDescent="0.3">
      <c r="A267" s="695" t="s">
        <v>545</v>
      </c>
      <c r="B267" s="696" t="s">
        <v>1978</v>
      </c>
      <c r="C267" s="699" t="s">
        <v>555</v>
      </c>
      <c r="D267" s="720" t="s">
        <v>1980</v>
      </c>
      <c r="E267" s="699" t="s">
        <v>4073</v>
      </c>
      <c r="F267" s="720" t="s">
        <v>4074</v>
      </c>
      <c r="G267" s="699" t="s">
        <v>3781</v>
      </c>
      <c r="H267" s="699" t="s">
        <v>3782</v>
      </c>
      <c r="I267" s="711">
        <v>8470</v>
      </c>
      <c r="J267" s="711">
        <v>10</v>
      </c>
      <c r="K267" s="712">
        <v>84700</v>
      </c>
    </row>
    <row r="268" spans="1:11" ht="14.4" customHeight="1" x14ac:dyDescent="0.3">
      <c r="A268" s="695" t="s">
        <v>545</v>
      </c>
      <c r="B268" s="696" t="s">
        <v>1978</v>
      </c>
      <c r="C268" s="699" t="s">
        <v>555</v>
      </c>
      <c r="D268" s="720" t="s">
        <v>1980</v>
      </c>
      <c r="E268" s="699" t="s">
        <v>4073</v>
      </c>
      <c r="F268" s="720" t="s">
        <v>4074</v>
      </c>
      <c r="G268" s="699" t="s">
        <v>3783</v>
      </c>
      <c r="H268" s="699" t="s">
        <v>3784</v>
      </c>
      <c r="I268" s="711">
        <v>363</v>
      </c>
      <c r="J268" s="711">
        <v>22</v>
      </c>
      <c r="K268" s="712">
        <v>7986</v>
      </c>
    </row>
    <row r="269" spans="1:11" ht="14.4" customHeight="1" x14ac:dyDescent="0.3">
      <c r="A269" s="695" t="s">
        <v>545</v>
      </c>
      <c r="B269" s="696" t="s">
        <v>1978</v>
      </c>
      <c r="C269" s="699" t="s">
        <v>555</v>
      </c>
      <c r="D269" s="720" t="s">
        <v>1980</v>
      </c>
      <c r="E269" s="699" t="s">
        <v>4073</v>
      </c>
      <c r="F269" s="720" t="s">
        <v>4074</v>
      </c>
      <c r="G269" s="699" t="s">
        <v>3785</v>
      </c>
      <c r="H269" s="699" t="s">
        <v>3786</v>
      </c>
      <c r="I269" s="711">
        <v>266.2</v>
      </c>
      <c r="J269" s="711">
        <v>6</v>
      </c>
      <c r="K269" s="712">
        <v>1597.2</v>
      </c>
    </row>
    <row r="270" spans="1:11" ht="14.4" customHeight="1" x14ac:dyDescent="0.3">
      <c r="A270" s="695" t="s">
        <v>545</v>
      </c>
      <c r="B270" s="696" t="s">
        <v>1978</v>
      </c>
      <c r="C270" s="699" t="s">
        <v>555</v>
      </c>
      <c r="D270" s="720" t="s">
        <v>1980</v>
      </c>
      <c r="E270" s="699" t="s">
        <v>4073</v>
      </c>
      <c r="F270" s="720" t="s">
        <v>4074</v>
      </c>
      <c r="G270" s="699" t="s">
        <v>3787</v>
      </c>
      <c r="H270" s="699" t="s">
        <v>3788</v>
      </c>
      <c r="I270" s="711">
        <v>786.5</v>
      </c>
      <c r="J270" s="711">
        <v>9</v>
      </c>
      <c r="K270" s="712">
        <v>7078.5</v>
      </c>
    </row>
    <row r="271" spans="1:11" ht="14.4" customHeight="1" x14ac:dyDescent="0.3">
      <c r="A271" s="695" t="s">
        <v>545</v>
      </c>
      <c r="B271" s="696" t="s">
        <v>1978</v>
      </c>
      <c r="C271" s="699" t="s">
        <v>555</v>
      </c>
      <c r="D271" s="720" t="s">
        <v>1980</v>
      </c>
      <c r="E271" s="699" t="s">
        <v>4073</v>
      </c>
      <c r="F271" s="720" t="s">
        <v>4074</v>
      </c>
      <c r="G271" s="699" t="s">
        <v>3789</v>
      </c>
      <c r="H271" s="699" t="s">
        <v>3790</v>
      </c>
      <c r="I271" s="711">
        <v>3630</v>
      </c>
      <c r="J271" s="711">
        <v>1</v>
      </c>
      <c r="K271" s="712">
        <v>3630</v>
      </c>
    </row>
    <row r="272" spans="1:11" ht="14.4" customHeight="1" x14ac:dyDescent="0.3">
      <c r="A272" s="695" t="s">
        <v>545</v>
      </c>
      <c r="B272" s="696" t="s">
        <v>1978</v>
      </c>
      <c r="C272" s="699" t="s">
        <v>555</v>
      </c>
      <c r="D272" s="720" t="s">
        <v>1980</v>
      </c>
      <c r="E272" s="699" t="s">
        <v>4073</v>
      </c>
      <c r="F272" s="720" t="s">
        <v>4074</v>
      </c>
      <c r="G272" s="699" t="s">
        <v>3791</v>
      </c>
      <c r="H272" s="699" t="s">
        <v>3792</v>
      </c>
      <c r="I272" s="711">
        <v>3630</v>
      </c>
      <c r="J272" s="711">
        <v>1</v>
      </c>
      <c r="K272" s="712">
        <v>3630</v>
      </c>
    </row>
    <row r="273" spans="1:11" ht="14.4" customHeight="1" x14ac:dyDescent="0.3">
      <c r="A273" s="695" t="s">
        <v>545</v>
      </c>
      <c r="B273" s="696" t="s">
        <v>1978</v>
      </c>
      <c r="C273" s="699" t="s">
        <v>555</v>
      </c>
      <c r="D273" s="720" t="s">
        <v>1980</v>
      </c>
      <c r="E273" s="699" t="s">
        <v>4073</v>
      </c>
      <c r="F273" s="720" t="s">
        <v>4074</v>
      </c>
      <c r="G273" s="699" t="s">
        <v>3793</v>
      </c>
      <c r="H273" s="699" t="s">
        <v>3794</v>
      </c>
      <c r="I273" s="711">
        <v>1548.8</v>
      </c>
      <c r="J273" s="711">
        <v>3</v>
      </c>
      <c r="K273" s="712">
        <v>4646.3999999999996</v>
      </c>
    </row>
    <row r="274" spans="1:11" ht="14.4" customHeight="1" x14ac:dyDescent="0.3">
      <c r="A274" s="695" t="s">
        <v>545</v>
      </c>
      <c r="B274" s="696" t="s">
        <v>1978</v>
      </c>
      <c r="C274" s="699" t="s">
        <v>555</v>
      </c>
      <c r="D274" s="720" t="s">
        <v>1980</v>
      </c>
      <c r="E274" s="699" t="s">
        <v>4073</v>
      </c>
      <c r="F274" s="720" t="s">
        <v>4074</v>
      </c>
      <c r="G274" s="699" t="s">
        <v>3795</v>
      </c>
      <c r="H274" s="699" t="s">
        <v>3796</v>
      </c>
      <c r="I274" s="711">
        <v>847</v>
      </c>
      <c r="J274" s="711">
        <v>6</v>
      </c>
      <c r="K274" s="712">
        <v>5082</v>
      </c>
    </row>
    <row r="275" spans="1:11" ht="14.4" customHeight="1" x14ac:dyDescent="0.3">
      <c r="A275" s="695" t="s">
        <v>545</v>
      </c>
      <c r="B275" s="696" t="s">
        <v>1978</v>
      </c>
      <c r="C275" s="699" t="s">
        <v>555</v>
      </c>
      <c r="D275" s="720" t="s">
        <v>1980</v>
      </c>
      <c r="E275" s="699" t="s">
        <v>4073</v>
      </c>
      <c r="F275" s="720" t="s">
        <v>4074</v>
      </c>
      <c r="G275" s="699" t="s">
        <v>3797</v>
      </c>
      <c r="H275" s="699" t="s">
        <v>3798</v>
      </c>
      <c r="I275" s="711">
        <v>3630</v>
      </c>
      <c r="J275" s="711">
        <v>2</v>
      </c>
      <c r="K275" s="712">
        <v>7260</v>
      </c>
    </row>
    <row r="276" spans="1:11" ht="14.4" customHeight="1" x14ac:dyDescent="0.3">
      <c r="A276" s="695" t="s">
        <v>545</v>
      </c>
      <c r="B276" s="696" t="s">
        <v>1978</v>
      </c>
      <c r="C276" s="699" t="s">
        <v>558</v>
      </c>
      <c r="D276" s="720" t="s">
        <v>1981</v>
      </c>
      <c r="E276" s="699" t="s">
        <v>4055</v>
      </c>
      <c r="F276" s="720" t="s">
        <v>4056</v>
      </c>
      <c r="G276" s="699" t="s">
        <v>3290</v>
      </c>
      <c r="H276" s="699" t="s">
        <v>3291</v>
      </c>
      <c r="I276" s="711">
        <v>34.700000000000003</v>
      </c>
      <c r="J276" s="711">
        <v>24</v>
      </c>
      <c r="K276" s="712">
        <v>832.75</v>
      </c>
    </row>
    <row r="277" spans="1:11" ht="14.4" customHeight="1" x14ac:dyDescent="0.3">
      <c r="A277" s="695" t="s">
        <v>545</v>
      </c>
      <c r="B277" s="696" t="s">
        <v>1978</v>
      </c>
      <c r="C277" s="699" t="s">
        <v>558</v>
      </c>
      <c r="D277" s="720" t="s">
        <v>1981</v>
      </c>
      <c r="E277" s="699" t="s">
        <v>4055</v>
      </c>
      <c r="F277" s="720" t="s">
        <v>4056</v>
      </c>
      <c r="G277" s="699" t="s">
        <v>3799</v>
      </c>
      <c r="H277" s="699" t="s">
        <v>3800</v>
      </c>
      <c r="I277" s="711">
        <v>8.5299999999999994</v>
      </c>
      <c r="J277" s="711">
        <v>2</v>
      </c>
      <c r="K277" s="712">
        <v>17.059999999999999</v>
      </c>
    </row>
    <row r="278" spans="1:11" ht="14.4" customHeight="1" x14ac:dyDescent="0.3">
      <c r="A278" s="695" t="s">
        <v>545</v>
      </c>
      <c r="B278" s="696" t="s">
        <v>1978</v>
      </c>
      <c r="C278" s="699" t="s">
        <v>558</v>
      </c>
      <c r="D278" s="720" t="s">
        <v>1981</v>
      </c>
      <c r="E278" s="699" t="s">
        <v>4055</v>
      </c>
      <c r="F278" s="720" t="s">
        <v>4056</v>
      </c>
      <c r="G278" s="699" t="s">
        <v>3801</v>
      </c>
      <c r="H278" s="699" t="s">
        <v>3802</v>
      </c>
      <c r="I278" s="711">
        <v>12.370555555555558</v>
      </c>
      <c r="J278" s="711">
        <v>108</v>
      </c>
      <c r="K278" s="712">
        <v>1336.0599999999997</v>
      </c>
    </row>
    <row r="279" spans="1:11" ht="14.4" customHeight="1" x14ac:dyDescent="0.3">
      <c r="A279" s="695" t="s">
        <v>545</v>
      </c>
      <c r="B279" s="696" t="s">
        <v>1978</v>
      </c>
      <c r="C279" s="699" t="s">
        <v>558</v>
      </c>
      <c r="D279" s="720" t="s">
        <v>1981</v>
      </c>
      <c r="E279" s="699" t="s">
        <v>4055</v>
      </c>
      <c r="F279" s="720" t="s">
        <v>4056</v>
      </c>
      <c r="G279" s="699" t="s">
        <v>3368</v>
      </c>
      <c r="H279" s="699" t="s">
        <v>3369</v>
      </c>
      <c r="I279" s="711">
        <v>1.3799999999999994</v>
      </c>
      <c r="J279" s="711">
        <v>3550</v>
      </c>
      <c r="K279" s="712">
        <v>4899</v>
      </c>
    </row>
    <row r="280" spans="1:11" ht="14.4" customHeight="1" x14ac:dyDescent="0.3">
      <c r="A280" s="695" t="s">
        <v>545</v>
      </c>
      <c r="B280" s="696" t="s">
        <v>1978</v>
      </c>
      <c r="C280" s="699" t="s">
        <v>558</v>
      </c>
      <c r="D280" s="720" t="s">
        <v>1981</v>
      </c>
      <c r="E280" s="699" t="s">
        <v>4055</v>
      </c>
      <c r="F280" s="720" t="s">
        <v>4056</v>
      </c>
      <c r="G280" s="699" t="s">
        <v>3294</v>
      </c>
      <c r="H280" s="699" t="s">
        <v>3295</v>
      </c>
      <c r="I280" s="711">
        <v>41.535999999999994</v>
      </c>
      <c r="J280" s="711">
        <v>640</v>
      </c>
      <c r="K280" s="712">
        <v>26583.600000000002</v>
      </c>
    </row>
    <row r="281" spans="1:11" ht="14.4" customHeight="1" x14ac:dyDescent="0.3">
      <c r="A281" s="695" t="s">
        <v>545</v>
      </c>
      <c r="B281" s="696" t="s">
        <v>1978</v>
      </c>
      <c r="C281" s="699" t="s">
        <v>558</v>
      </c>
      <c r="D281" s="720" t="s">
        <v>1981</v>
      </c>
      <c r="E281" s="699" t="s">
        <v>4055</v>
      </c>
      <c r="F281" s="720" t="s">
        <v>4056</v>
      </c>
      <c r="G281" s="699" t="s">
        <v>3296</v>
      </c>
      <c r="H281" s="699" t="s">
        <v>3297</v>
      </c>
      <c r="I281" s="711">
        <v>0.59333333333333327</v>
      </c>
      <c r="J281" s="711">
        <v>3475</v>
      </c>
      <c r="K281" s="712">
        <v>2064.75</v>
      </c>
    </row>
    <row r="282" spans="1:11" ht="14.4" customHeight="1" x14ac:dyDescent="0.3">
      <c r="A282" s="695" t="s">
        <v>545</v>
      </c>
      <c r="B282" s="696" t="s">
        <v>1978</v>
      </c>
      <c r="C282" s="699" t="s">
        <v>558</v>
      </c>
      <c r="D282" s="720" t="s">
        <v>1981</v>
      </c>
      <c r="E282" s="699" t="s">
        <v>4055</v>
      </c>
      <c r="F282" s="720" t="s">
        <v>4056</v>
      </c>
      <c r="G282" s="699" t="s">
        <v>3803</v>
      </c>
      <c r="H282" s="699" t="s">
        <v>3804</v>
      </c>
      <c r="I282" s="711">
        <v>39.726666666666667</v>
      </c>
      <c r="J282" s="711">
        <v>100</v>
      </c>
      <c r="K282" s="712">
        <v>3973</v>
      </c>
    </row>
    <row r="283" spans="1:11" ht="14.4" customHeight="1" x14ac:dyDescent="0.3">
      <c r="A283" s="695" t="s">
        <v>545</v>
      </c>
      <c r="B283" s="696" t="s">
        <v>1978</v>
      </c>
      <c r="C283" s="699" t="s">
        <v>558</v>
      </c>
      <c r="D283" s="720" t="s">
        <v>1981</v>
      </c>
      <c r="E283" s="699" t="s">
        <v>4055</v>
      </c>
      <c r="F283" s="720" t="s">
        <v>4056</v>
      </c>
      <c r="G283" s="699" t="s">
        <v>3805</v>
      </c>
      <c r="H283" s="699" t="s">
        <v>3806</v>
      </c>
      <c r="I283" s="711">
        <v>19.807333333333336</v>
      </c>
      <c r="J283" s="711">
        <v>84</v>
      </c>
      <c r="K283" s="712">
        <v>1663.83</v>
      </c>
    </row>
    <row r="284" spans="1:11" ht="14.4" customHeight="1" x14ac:dyDescent="0.3">
      <c r="A284" s="695" t="s">
        <v>545</v>
      </c>
      <c r="B284" s="696" t="s">
        <v>1978</v>
      </c>
      <c r="C284" s="699" t="s">
        <v>558</v>
      </c>
      <c r="D284" s="720" t="s">
        <v>1981</v>
      </c>
      <c r="E284" s="699" t="s">
        <v>4055</v>
      </c>
      <c r="F284" s="720" t="s">
        <v>4056</v>
      </c>
      <c r="G284" s="699" t="s">
        <v>3298</v>
      </c>
      <c r="H284" s="699" t="s">
        <v>3299</v>
      </c>
      <c r="I284" s="711">
        <v>26.161428571428569</v>
      </c>
      <c r="J284" s="711">
        <v>14</v>
      </c>
      <c r="K284" s="712">
        <v>366.27000000000004</v>
      </c>
    </row>
    <row r="285" spans="1:11" ht="14.4" customHeight="1" x14ac:dyDescent="0.3">
      <c r="A285" s="695" t="s">
        <v>545</v>
      </c>
      <c r="B285" s="696" t="s">
        <v>1978</v>
      </c>
      <c r="C285" s="699" t="s">
        <v>558</v>
      </c>
      <c r="D285" s="720" t="s">
        <v>1981</v>
      </c>
      <c r="E285" s="699" t="s">
        <v>4055</v>
      </c>
      <c r="F285" s="720" t="s">
        <v>4056</v>
      </c>
      <c r="G285" s="699" t="s">
        <v>3398</v>
      </c>
      <c r="H285" s="699" t="s">
        <v>3399</v>
      </c>
      <c r="I285" s="711">
        <v>0.93</v>
      </c>
      <c r="J285" s="711">
        <v>500</v>
      </c>
      <c r="K285" s="712">
        <v>465</v>
      </c>
    </row>
    <row r="286" spans="1:11" ht="14.4" customHeight="1" x14ac:dyDescent="0.3">
      <c r="A286" s="695" t="s">
        <v>545</v>
      </c>
      <c r="B286" s="696" t="s">
        <v>1978</v>
      </c>
      <c r="C286" s="699" t="s">
        <v>558</v>
      </c>
      <c r="D286" s="720" t="s">
        <v>1981</v>
      </c>
      <c r="E286" s="699" t="s">
        <v>4055</v>
      </c>
      <c r="F286" s="720" t="s">
        <v>4056</v>
      </c>
      <c r="G286" s="699" t="s">
        <v>3807</v>
      </c>
      <c r="H286" s="699" t="s">
        <v>3808</v>
      </c>
      <c r="I286" s="711">
        <v>13.16</v>
      </c>
      <c r="J286" s="711">
        <v>48</v>
      </c>
      <c r="K286" s="712">
        <v>631.48</v>
      </c>
    </row>
    <row r="287" spans="1:11" ht="14.4" customHeight="1" x14ac:dyDescent="0.3">
      <c r="A287" s="695" t="s">
        <v>545</v>
      </c>
      <c r="B287" s="696" t="s">
        <v>1978</v>
      </c>
      <c r="C287" s="699" t="s">
        <v>558</v>
      </c>
      <c r="D287" s="720" t="s">
        <v>1981</v>
      </c>
      <c r="E287" s="699" t="s">
        <v>4055</v>
      </c>
      <c r="F287" s="720" t="s">
        <v>4056</v>
      </c>
      <c r="G287" s="699" t="s">
        <v>3809</v>
      </c>
      <c r="H287" s="699" t="s">
        <v>3810</v>
      </c>
      <c r="I287" s="711">
        <v>26.37</v>
      </c>
      <c r="J287" s="711">
        <v>24</v>
      </c>
      <c r="K287" s="712">
        <v>632.88</v>
      </c>
    </row>
    <row r="288" spans="1:11" ht="14.4" customHeight="1" x14ac:dyDescent="0.3">
      <c r="A288" s="695" t="s">
        <v>545</v>
      </c>
      <c r="B288" s="696" t="s">
        <v>1978</v>
      </c>
      <c r="C288" s="699" t="s">
        <v>558</v>
      </c>
      <c r="D288" s="720" t="s">
        <v>1981</v>
      </c>
      <c r="E288" s="699" t="s">
        <v>4055</v>
      </c>
      <c r="F288" s="720" t="s">
        <v>4056</v>
      </c>
      <c r="G288" s="699" t="s">
        <v>3811</v>
      </c>
      <c r="H288" s="699" t="s">
        <v>3812</v>
      </c>
      <c r="I288" s="711">
        <v>9.7200000000000006</v>
      </c>
      <c r="J288" s="711">
        <v>38</v>
      </c>
      <c r="K288" s="712">
        <v>369.36</v>
      </c>
    </row>
    <row r="289" spans="1:11" ht="14.4" customHeight="1" x14ac:dyDescent="0.3">
      <c r="A289" s="695" t="s">
        <v>545</v>
      </c>
      <c r="B289" s="696" t="s">
        <v>1978</v>
      </c>
      <c r="C289" s="699" t="s">
        <v>558</v>
      </c>
      <c r="D289" s="720" t="s">
        <v>1981</v>
      </c>
      <c r="E289" s="699" t="s">
        <v>4055</v>
      </c>
      <c r="F289" s="720" t="s">
        <v>4056</v>
      </c>
      <c r="G289" s="699" t="s">
        <v>3406</v>
      </c>
      <c r="H289" s="699" t="s">
        <v>3407</v>
      </c>
      <c r="I289" s="711">
        <v>7.49857142857143</v>
      </c>
      <c r="J289" s="711">
        <v>70</v>
      </c>
      <c r="K289" s="712">
        <v>524.96</v>
      </c>
    </row>
    <row r="290" spans="1:11" ht="14.4" customHeight="1" x14ac:dyDescent="0.3">
      <c r="A290" s="695" t="s">
        <v>545</v>
      </c>
      <c r="B290" s="696" t="s">
        <v>1978</v>
      </c>
      <c r="C290" s="699" t="s">
        <v>558</v>
      </c>
      <c r="D290" s="720" t="s">
        <v>1981</v>
      </c>
      <c r="E290" s="699" t="s">
        <v>4055</v>
      </c>
      <c r="F290" s="720" t="s">
        <v>4056</v>
      </c>
      <c r="G290" s="699" t="s">
        <v>3408</v>
      </c>
      <c r="H290" s="699" t="s">
        <v>3409</v>
      </c>
      <c r="I290" s="711">
        <v>0.85</v>
      </c>
      <c r="J290" s="711">
        <v>600</v>
      </c>
      <c r="K290" s="712">
        <v>510</v>
      </c>
    </row>
    <row r="291" spans="1:11" ht="14.4" customHeight="1" x14ac:dyDescent="0.3">
      <c r="A291" s="695" t="s">
        <v>545</v>
      </c>
      <c r="B291" s="696" t="s">
        <v>1978</v>
      </c>
      <c r="C291" s="699" t="s">
        <v>558</v>
      </c>
      <c r="D291" s="720" t="s">
        <v>1981</v>
      </c>
      <c r="E291" s="699" t="s">
        <v>4055</v>
      </c>
      <c r="F291" s="720" t="s">
        <v>4056</v>
      </c>
      <c r="G291" s="699" t="s">
        <v>3410</v>
      </c>
      <c r="H291" s="699" t="s">
        <v>3411</v>
      </c>
      <c r="I291" s="711">
        <v>1.5144444444444443</v>
      </c>
      <c r="J291" s="711">
        <v>600</v>
      </c>
      <c r="K291" s="712">
        <v>908.5</v>
      </c>
    </row>
    <row r="292" spans="1:11" ht="14.4" customHeight="1" x14ac:dyDescent="0.3">
      <c r="A292" s="695" t="s">
        <v>545</v>
      </c>
      <c r="B292" s="696" t="s">
        <v>1978</v>
      </c>
      <c r="C292" s="699" t="s">
        <v>558</v>
      </c>
      <c r="D292" s="720" t="s">
        <v>1981</v>
      </c>
      <c r="E292" s="699" t="s">
        <v>4055</v>
      </c>
      <c r="F292" s="720" t="s">
        <v>4056</v>
      </c>
      <c r="G292" s="699" t="s">
        <v>3422</v>
      </c>
      <c r="H292" s="699" t="s">
        <v>3423</v>
      </c>
      <c r="I292" s="711">
        <v>0.31</v>
      </c>
      <c r="J292" s="711">
        <v>2</v>
      </c>
      <c r="K292" s="712">
        <v>0.62</v>
      </c>
    </row>
    <row r="293" spans="1:11" ht="14.4" customHeight="1" x14ac:dyDescent="0.3">
      <c r="A293" s="695" t="s">
        <v>545</v>
      </c>
      <c r="B293" s="696" t="s">
        <v>1978</v>
      </c>
      <c r="C293" s="699" t="s">
        <v>558</v>
      </c>
      <c r="D293" s="720" t="s">
        <v>1981</v>
      </c>
      <c r="E293" s="699" t="s">
        <v>4055</v>
      </c>
      <c r="F293" s="720" t="s">
        <v>4056</v>
      </c>
      <c r="G293" s="699" t="s">
        <v>3813</v>
      </c>
      <c r="H293" s="699" t="s">
        <v>3814</v>
      </c>
      <c r="I293" s="711">
        <v>7.1</v>
      </c>
      <c r="J293" s="711">
        <v>2</v>
      </c>
      <c r="K293" s="712">
        <v>14.2</v>
      </c>
    </row>
    <row r="294" spans="1:11" ht="14.4" customHeight="1" x14ac:dyDescent="0.3">
      <c r="A294" s="695" t="s">
        <v>545</v>
      </c>
      <c r="B294" s="696" t="s">
        <v>1978</v>
      </c>
      <c r="C294" s="699" t="s">
        <v>558</v>
      </c>
      <c r="D294" s="720" t="s">
        <v>1981</v>
      </c>
      <c r="E294" s="699" t="s">
        <v>4055</v>
      </c>
      <c r="F294" s="720" t="s">
        <v>4056</v>
      </c>
      <c r="G294" s="699" t="s">
        <v>3815</v>
      </c>
      <c r="H294" s="699" t="s">
        <v>3816</v>
      </c>
      <c r="I294" s="711">
        <v>2.2749999999999999</v>
      </c>
      <c r="J294" s="711">
        <v>6</v>
      </c>
      <c r="K294" s="712">
        <v>13.62</v>
      </c>
    </row>
    <row r="295" spans="1:11" ht="14.4" customHeight="1" x14ac:dyDescent="0.3">
      <c r="A295" s="695" t="s">
        <v>545</v>
      </c>
      <c r="B295" s="696" t="s">
        <v>1978</v>
      </c>
      <c r="C295" s="699" t="s">
        <v>558</v>
      </c>
      <c r="D295" s="720" t="s">
        <v>1981</v>
      </c>
      <c r="E295" s="699" t="s">
        <v>4057</v>
      </c>
      <c r="F295" s="720" t="s">
        <v>4058</v>
      </c>
      <c r="G295" s="699" t="s">
        <v>3448</v>
      </c>
      <c r="H295" s="699" t="s">
        <v>3449</v>
      </c>
      <c r="I295" s="711">
        <v>11.143888888888888</v>
      </c>
      <c r="J295" s="711">
        <v>740</v>
      </c>
      <c r="K295" s="712">
        <v>8246.9</v>
      </c>
    </row>
    <row r="296" spans="1:11" ht="14.4" customHeight="1" x14ac:dyDescent="0.3">
      <c r="A296" s="695" t="s">
        <v>545</v>
      </c>
      <c r="B296" s="696" t="s">
        <v>1978</v>
      </c>
      <c r="C296" s="699" t="s">
        <v>558</v>
      </c>
      <c r="D296" s="720" t="s">
        <v>1981</v>
      </c>
      <c r="E296" s="699" t="s">
        <v>4057</v>
      </c>
      <c r="F296" s="720" t="s">
        <v>4058</v>
      </c>
      <c r="G296" s="699" t="s">
        <v>3302</v>
      </c>
      <c r="H296" s="699" t="s">
        <v>3303</v>
      </c>
      <c r="I296" s="711">
        <v>0.93521739130434756</v>
      </c>
      <c r="J296" s="711">
        <v>4600</v>
      </c>
      <c r="K296" s="712">
        <v>4303</v>
      </c>
    </row>
    <row r="297" spans="1:11" ht="14.4" customHeight="1" x14ac:dyDescent="0.3">
      <c r="A297" s="695" t="s">
        <v>545</v>
      </c>
      <c r="B297" s="696" t="s">
        <v>1978</v>
      </c>
      <c r="C297" s="699" t="s">
        <v>558</v>
      </c>
      <c r="D297" s="720" t="s">
        <v>1981</v>
      </c>
      <c r="E297" s="699" t="s">
        <v>4057</v>
      </c>
      <c r="F297" s="720" t="s">
        <v>4058</v>
      </c>
      <c r="G297" s="699" t="s">
        <v>3304</v>
      </c>
      <c r="H297" s="699" t="s">
        <v>3305</v>
      </c>
      <c r="I297" s="711">
        <v>1.4359090909090912</v>
      </c>
      <c r="J297" s="711">
        <v>4800</v>
      </c>
      <c r="K297" s="712">
        <v>6894</v>
      </c>
    </row>
    <row r="298" spans="1:11" ht="14.4" customHeight="1" x14ac:dyDescent="0.3">
      <c r="A298" s="695" t="s">
        <v>545</v>
      </c>
      <c r="B298" s="696" t="s">
        <v>1978</v>
      </c>
      <c r="C298" s="699" t="s">
        <v>558</v>
      </c>
      <c r="D298" s="720" t="s">
        <v>1981</v>
      </c>
      <c r="E298" s="699" t="s">
        <v>4057</v>
      </c>
      <c r="F298" s="720" t="s">
        <v>4058</v>
      </c>
      <c r="G298" s="699" t="s">
        <v>3306</v>
      </c>
      <c r="H298" s="699" t="s">
        <v>3307</v>
      </c>
      <c r="I298" s="711">
        <v>0.41947368421052628</v>
      </c>
      <c r="J298" s="711">
        <v>3100</v>
      </c>
      <c r="K298" s="712">
        <v>1299</v>
      </c>
    </row>
    <row r="299" spans="1:11" ht="14.4" customHeight="1" x14ac:dyDescent="0.3">
      <c r="A299" s="695" t="s">
        <v>545</v>
      </c>
      <c r="B299" s="696" t="s">
        <v>1978</v>
      </c>
      <c r="C299" s="699" t="s">
        <v>558</v>
      </c>
      <c r="D299" s="720" t="s">
        <v>1981</v>
      </c>
      <c r="E299" s="699" t="s">
        <v>4057</v>
      </c>
      <c r="F299" s="720" t="s">
        <v>4058</v>
      </c>
      <c r="G299" s="699" t="s">
        <v>3308</v>
      </c>
      <c r="H299" s="699" t="s">
        <v>3309</v>
      </c>
      <c r="I299" s="711">
        <v>0.57833333333333337</v>
      </c>
      <c r="J299" s="711">
        <v>4600</v>
      </c>
      <c r="K299" s="712">
        <v>2659</v>
      </c>
    </row>
    <row r="300" spans="1:11" ht="14.4" customHeight="1" x14ac:dyDescent="0.3">
      <c r="A300" s="695" t="s">
        <v>545</v>
      </c>
      <c r="B300" s="696" t="s">
        <v>1978</v>
      </c>
      <c r="C300" s="699" t="s">
        <v>558</v>
      </c>
      <c r="D300" s="720" t="s">
        <v>1981</v>
      </c>
      <c r="E300" s="699" t="s">
        <v>4057</v>
      </c>
      <c r="F300" s="720" t="s">
        <v>4058</v>
      </c>
      <c r="G300" s="699" t="s">
        <v>3817</v>
      </c>
      <c r="H300" s="699" t="s">
        <v>3818</v>
      </c>
      <c r="I300" s="711">
        <v>16.6525</v>
      </c>
      <c r="J300" s="711">
        <v>80</v>
      </c>
      <c r="K300" s="712">
        <v>1315.5</v>
      </c>
    </row>
    <row r="301" spans="1:11" ht="14.4" customHeight="1" x14ac:dyDescent="0.3">
      <c r="A301" s="695" t="s">
        <v>545</v>
      </c>
      <c r="B301" s="696" t="s">
        <v>1978</v>
      </c>
      <c r="C301" s="699" t="s">
        <v>558</v>
      </c>
      <c r="D301" s="720" t="s">
        <v>1981</v>
      </c>
      <c r="E301" s="699" t="s">
        <v>4057</v>
      </c>
      <c r="F301" s="720" t="s">
        <v>4058</v>
      </c>
      <c r="G301" s="699" t="s">
        <v>3819</v>
      </c>
      <c r="H301" s="699" t="s">
        <v>3820</v>
      </c>
      <c r="I301" s="711">
        <v>70.180000000000007</v>
      </c>
      <c r="J301" s="711">
        <v>100</v>
      </c>
      <c r="K301" s="712">
        <v>7018</v>
      </c>
    </row>
    <row r="302" spans="1:11" ht="14.4" customHeight="1" x14ac:dyDescent="0.3">
      <c r="A302" s="695" t="s">
        <v>545</v>
      </c>
      <c r="B302" s="696" t="s">
        <v>1978</v>
      </c>
      <c r="C302" s="699" t="s">
        <v>558</v>
      </c>
      <c r="D302" s="720" t="s">
        <v>1981</v>
      </c>
      <c r="E302" s="699" t="s">
        <v>4057</v>
      </c>
      <c r="F302" s="720" t="s">
        <v>4058</v>
      </c>
      <c r="G302" s="699" t="s">
        <v>3821</v>
      </c>
      <c r="H302" s="699" t="s">
        <v>3822</v>
      </c>
      <c r="I302" s="711">
        <v>17.989999999999998</v>
      </c>
      <c r="J302" s="711">
        <v>80</v>
      </c>
      <c r="K302" s="712">
        <v>1439.2000000000003</v>
      </c>
    </row>
    <row r="303" spans="1:11" ht="14.4" customHeight="1" x14ac:dyDescent="0.3">
      <c r="A303" s="695" t="s">
        <v>545</v>
      </c>
      <c r="B303" s="696" t="s">
        <v>1978</v>
      </c>
      <c r="C303" s="699" t="s">
        <v>558</v>
      </c>
      <c r="D303" s="720" t="s">
        <v>1981</v>
      </c>
      <c r="E303" s="699" t="s">
        <v>4057</v>
      </c>
      <c r="F303" s="720" t="s">
        <v>4058</v>
      </c>
      <c r="G303" s="699" t="s">
        <v>3823</v>
      </c>
      <c r="H303" s="699" t="s">
        <v>3824</v>
      </c>
      <c r="I303" s="711">
        <v>105.03</v>
      </c>
      <c r="J303" s="711">
        <v>70</v>
      </c>
      <c r="K303" s="712">
        <v>7351.9900000000007</v>
      </c>
    </row>
    <row r="304" spans="1:11" ht="14.4" customHeight="1" x14ac:dyDescent="0.3">
      <c r="A304" s="695" t="s">
        <v>545</v>
      </c>
      <c r="B304" s="696" t="s">
        <v>1978</v>
      </c>
      <c r="C304" s="699" t="s">
        <v>558</v>
      </c>
      <c r="D304" s="720" t="s">
        <v>1981</v>
      </c>
      <c r="E304" s="699" t="s">
        <v>4057</v>
      </c>
      <c r="F304" s="720" t="s">
        <v>4058</v>
      </c>
      <c r="G304" s="699" t="s">
        <v>3825</v>
      </c>
      <c r="H304" s="699" t="s">
        <v>3826</v>
      </c>
      <c r="I304" s="711">
        <v>105.02799999999999</v>
      </c>
      <c r="J304" s="711">
        <v>80</v>
      </c>
      <c r="K304" s="712">
        <v>8402.2800000000007</v>
      </c>
    </row>
    <row r="305" spans="1:11" ht="14.4" customHeight="1" x14ac:dyDescent="0.3">
      <c r="A305" s="695" t="s">
        <v>545</v>
      </c>
      <c r="B305" s="696" t="s">
        <v>1978</v>
      </c>
      <c r="C305" s="699" t="s">
        <v>558</v>
      </c>
      <c r="D305" s="720" t="s">
        <v>1981</v>
      </c>
      <c r="E305" s="699" t="s">
        <v>4057</v>
      </c>
      <c r="F305" s="720" t="s">
        <v>4058</v>
      </c>
      <c r="G305" s="699" t="s">
        <v>3827</v>
      </c>
      <c r="H305" s="699" t="s">
        <v>3828</v>
      </c>
      <c r="I305" s="711">
        <v>139.99</v>
      </c>
      <c r="J305" s="711">
        <v>20</v>
      </c>
      <c r="K305" s="712">
        <v>2799.8</v>
      </c>
    </row>
    <row r="306" spans="1:11" ht="14.4" customHeight="1" x14ac:dyDescent="0.3">
      <c r="A306" s="695" t="s">
        <v>545</v>
      </c>
      <c r="B306" s="696" t="s">
        <v>1978</v>
      </c>
      <c r="C306" s="699" t="s">
        <v>558</v>
      </c>
      <c r="D306" s="720" t="s">
        <v>1981</v>
      </c>
      <c r="E306" s="699" t="s">
        <v>4057</v>
      </c>
      <c r="F306" s="720" t="s">
        <v>4058</v>
      </c>
      <c r="G306" s="699" t="s">
        <v>3464</v>
      </c>
      <c r="H306" s="699" t="s">
        <v>3465</v>
      </c>
      <c r="I306" s="711">
        <v>77.784999999999997</v>
      </c>
      <c r="J306" s="711">
        <v>32</v>
      </c>
      <c r="K306" s="712">
        <v>2489.06</v>
      </c>
    </row>
    <row r="307" spans="1:11" ht="14.4" customHeight="1" x14ac:dyDescent="0.3">
      <c r="A307" s="695" t="s">
        <v>545</v>
      </c>
      <c r="B307" s="696" t="s">
        <v>1978</v>
      </c>
      <c r="C307" s="699" t="s">
        <v>558</v>
      </c>
      <c r="D307" s="720" t="s">
        <v>1981</v>
      </c>
      <c r="E307" s="699" t="s">
        <v>4057</v>
      </c>
      <c r="F307" s="720" t="s">
        <v>4058</v>
      </c>
      <c r="G307" s="699" t="s">
        <v>3829</v>
      </c>
      <c r="H307" s="699" t="s">
        <v>3830</v>
      </c>
      <c r="I307" s="711">
        <v>17.049999999999997</v>
      </c>
      <c r="J307" s="711">
        <v>110</v>
      </c>
      <c r="K307" s="712">
        <v>1903.1</v>
      </c>
    </row>
    <row r="308" spans="1:11" ht="14.4" customHeight="1" x14ac:dyDescent="0.3">
      <c r="A308" s="695" t="s">
        <v>545</v>
      </c>
      <c r="B308" s="696" t="s">
        <v>1978</v>
      </c>
      <c r="C308" s="699" t="s">
        <v>558</v>
      </c>
      <c r="D308" s="720" t="s">
        <v>1981</v>
      </c>
      <c r="E308" s="699" t="s">
        <v>4057</v>
      </c>
      <c r="F308" s="720" t="s">
        <v>4058</v>
      </c>
      <c r="G308" s="699" t="s">
        <v>3829</v>
      </c>
      <c r="H308" s="699" t="s">
        <v>3831</v>
      </c>
      <c r="I308" s="711">
        <v>14.08</v>
      </c>
      <c r="J308" s="711">
        <v>50</v>
      </c>
      <c r="K308" s="712">
        <v>704.7</v>
      </c>
    </row>
    <row r="309" spans="1:11" ht="14.4" customHeight="1" x14ac:dyDescent="0.3">
      <c r="A309" s="695" t="s">
        <v>545</v>
      </c>
      <c r="B309" s="696" t="s">
        <v>1978</v>
      </c>
      <c r="C309" s="699" t="s">
        <v>558</v>
      </c>
      <c r="D309" s="720" t="s">
        <v>1981</v>
      </c>
      <c r="E309" s="699" t="s">
        <v>4057</v>
      </c>
      <c r="F309" s="720" t="s">
        <v>4058</v>
      </c>
      <c r="G309" s="699" t="s">
        <v>3832</v>
      </c>
      <c r="H309" s="699" t="s">
        <v>3833</v>
      </c>
      <c r="I309" s="711">
        <v>29.98</v>
      </c>
      <c r="J309" s="711">
        <v>50</v>
      </c>
      <c r="K309" s="712">
        <v>1499</v>
      </c>
    </row>
    <row r="310" spans="1:11" ht="14.4" customHeight="1" x14ac:dyDescent="0.3">
      <c r="A310" s="695" t="s">
        <v>545</v>
      </c>
      <c r="B310" s="696" t="s">
        <v>1978</v>
      </c>
      <c r="C310" s="699" t="s">
        <v>558</v>
      </c>
      <c r="D310" s="720" t="s">
        <v>1981</v>
      </c>
      <c r="E310" s="699" t="s">
        <v>4057</v>
      </c>
      <c r="F310" s="720" t="s">
        <v>4058</v>
      </c>
      <c r="G310" s="699" t="s">
        <v>3834</v>
      </c>
      <c r="H310" s="699" t="s">
        <v>3835</v>
      </c>
      <c r="I310" s="711">
        <v>35.01</v>
      </c>
      <c r="J310" s="711">
        <v>40</v>
      </c>
      <c r="K310" s="712">
        <v>1400.24</v>
      </c>
    </row>
    <row r="311" spans="1:11" ht="14.4" customHeight="1" x14ac:dyDescent="0.3">
      <c r="A311" s="695" t="s">
        <v>545</v>
      </c>
      <c r="B311" s="696" t="s">
        <v>1978</v>
      </c>
      <c r="C311" s="699" t="s">
        <v>558</v>
      </c>
      <c r="D311" s="720" t="s">
        <v>1981</v>
      </c>
      <c r="E311" s="699" t="s">
        <v>4057</v>
      </c>
      <c r="F311" s="720" t="s">
        <v>4058</v>
      </c>
      <c r="G311" s="699" t="s">
        <v>3474</v>
      </c>
      <c r="H311" s="699" t="s">
        <v>3475</v>
      </c>
      <c r="I311" s="711">
        <v>618.08000000000004</v>
      </c>
      <c r="J311" s="711">
        <v>1</v>
      </c>
      <c r="K311" s="712">
        <v>618.08000000000004</v>
      </c>
    </row>
    <row r="312" spans="1:11" ht="14.4" customHeight="1" x14ac:dyDescent="0.3">
      <c r="A312" s="695" t="s">
        <v>545</v>
      </c>
      <c r="B312" s="696" t="s">
        <v>1978</v>
      </c>
      <c r="C312" s="699" t="s">
        <v>558</v>
      </c>
      <c r="D312" s="720" t="s">
        <v>1981</v>
      </c>
      <c r="E312" s="699" t="s">
        <v>4057</v>
      </c>
      <c r="F312" s="720" t="s">
        <v>4058</v>
      </c>
      <c r="G312" s="699" t="s">
        <v>3836</v>
      </c>
      <c r="H312" s="699" t="s">
        <v>3837</v>
      </c>
      <c r="I312" s="711">
        <v>16.969285714285714</v>
      </c>
      <c r="J312" s="711">
        <v>400</v>
      </c>
      <c r="K312" s="712">
        <v>6787.9000000000005</v>
      </c>
    </row>
    <row r="313" spans="1:11" ht="14.4" customHeight="1" x14ac:dyDescent="0.3">
      <c r="A313" s="695" t="s">
        <v>545</v>
      </c>
      <c r="B313" s="696" t="s">
        <v>1978</v>
      </c>
      <c r="C313" s="699" t="s">
        <v>558</v>
      </c>
      <c r="D313" s="720" t="s">
        <v>1981</v>
      </c>
      <c r="E313" s="699" t="s">
        <v>4057</v>
      </c>
      <c r="F313" s="720" t="s">
        <v>4058</v>
      </c>
      <c r="G313" s="699" t="s">
        <v>3476</v>
      </c>
      <c r="H313" s="699" t="s">
        <v>3477</v>
      </c>
      <c r="I313" s="711">
        <v>16.467058823529413</v>
      </c>
      <c r="J313" s="711">
        <v>520</v>
      </c>
      <c r="K313" s="712">
        <v>8600.4</v>
      </c>
    </row>
    <row r="314" spans="1:11" ht="14.4" customHeight="1" x14ac:dyDescent="0.3">
      <c r="A314" s="695" t="s">
        <v>545</v>
      </c>
      <c r="B314" s="696" t="s">
        <v>1978</v>
      </c>
      <c r="C314" s="699" t="s">
        <v>558</v>
      </c>
      <c r="D314" s="720" t="s">
        <v>1981</v>
      </c>
      <c r="E314" s="699" t="s">
        <v>4057</v>
      </c>
      <c r="F314" s="720" t="s">
        <v>4058</v>
      </c>
      <c r="G314" s="699" t="s">
        <v>3838</v>
      </c>
      <c r="H314" s="699" t="s">
        <v>3839</v>
      </c>
      <c r="I314" s="711">
        <v>17.327000000000005</v>
      </c>
      <c r="J314" s="711">
        <v>220</v>
      </c>
      <c r="K314" s="712">
        <v>3802.5</v>
      </c>
    </row>
    <row r="315" spans="1:11" ht="14.4" customHeight="1" x14ac:dyDescent="0.3">
      <c r="A315" s="695" t="s">
        <v>545</v>
      </c>
      <c r="B315" s="696" t="s">
        <v>1978</v>
      </c>
      <c r="C315" s="699" t="s">
        <v>558</v>
      </c>
      <c r="D315" s="720" t="s">
        <v>1981</v>
      </c>
      <c r="E315" s="699" t="s">
        <v>4057</v>
      </c>
      <c r="F315" s="720" t="s">
        <v>4058</v>
      </c>
      <c r="G315" s="699" t="s">
        <v>3840</v>
      </c>
      <c r="H315" s="699" t="s">
        <v>3841</v>
      </c>
      <c r="I315" s="711">
        <v>17.103333333333335</v>
      </c>
      <c r="J315" s="711">
        <v>50</v>
      </c>
      <c r="K315" s="712">
        <v>855.2</v>
      </c>
    </row>
    <row r="316" spans="1:11" ht="14.4" customHeight="1" x14ac:dyDescent="0.3">
      <c r="A316" s="695" t="s">
        <v>545</v>
      </c>
      <c r="B316" s="696" t="s">
        <v>1978</v>
      </c>
      <c r="C316" s="699" t="s">
        <v>558</v>
      </c>
      <c r="D316" s="720" t="s">
        <v>1981</v>
      </c>
      <c r="E316" s="699" t="s">
        <v>4057</v>
      </c>
      <c r="F316" s="720" t="s">
        <v>4058</v>
      </c>
      <c r="G316" s="699" t="s">
        <v>3842</v>
      </c>
      <c r="H316" s="699" t="s">
        <v>3843</v>
      </c>
      <c r="I316" s="711">
        <v>17.059999999999999</v>
      </c>
      <c r="J316" s="711">
        <v>70</v>
      </c>
      <c r="K316" s="712">
        <v>1194.1999999999998</v>
      </c>
    </row>
    <row r="317" spans="1:11" ht="14.4" customHeight="1" x14ac:dyDescent="0.3">
      <c r="A317" s="695" t="s">
        <v>545</v>
      </c>
      <c r="B317" s="696" t="s">
        <v>1978</v>
      </c>
      <c r="C317" s="699" t="s">
        <v>558</v>
      </c>
      <c r="D317" s="720" t="s">
        <v>1981</v>
      </c>
      <c r="E317" s="699" t="s">
        <v>4057</v>
      </c>
      <c r="F317" s="720" t="s">
        <v>4058</v>
      </c>
      <c r="G317" s="699" t="s">
        <v>3480</v>
      </c>
      <c r="H317" s="699" t="s">
        <v>3481</v>
      </c>
      <c r="I317" s="711">
        <v>16.943888888888889</v>
      </c>
      <c r="J317" s="711">
        <v>830</v>
      </c>
      <c r="K317" s="712">
        <v>14063.9</v>
      </c>
    </row>
    <row r="318" spans="1:11" ht="14.4" customHeight="1" x14ac:dyDescent="0.3">
      <c r="A318" s="695" t="s">
        <v>545</v>
      </c>
      <c r="B318" s="696" t="s">
        <v>1978</v>
      </c>
      <c r="C318" s="699" t="s">
        <v>558</v>
      </c>
      <c r="D318" s="720" t="s">
        <v>1981</v>
      </c>
      <c r="E318" s="699" t="s">
        <v>4057</v>
      </c>
      <c r="F318" s="720" t="s">
        <v>4058</v>
      </c>
      <c r="G318" s="699" t="s">
        <v>3844</v>
      </c>
      <c r="H318" s="699" t="s">
        <v>3845</v>
      </c>
      <c r="I318" s="711">
        <v>14.46</v>
      </c>
      <c r="J318" s="711">
        <v>50</v>
      </c>
      <c r="K318" s="712">
        <v>723</v>
      </c>
    </row>
    <row r="319" spans="1:11" ht="14.4" customHeight="1" x14ac:dyDescent="0.3">
      <c r="A319" s="695" t="s">
        <v>545</v>
      </c>
      <c r="B319" s="696" t="s">
        <v>1978</v>
      </c>
      <c r="C319" s="699" t="s">
        <v>558</v>
      </c>
      <c r="D319" s="720" t="s">
        <v>1981</v>
      </c>
      <c r="E319" s="699" t="s">
        <v>4057</v>
      </c>
      <c r="F319" s="720" t="s">
        <v>4058</v>
      </c>
      <c r="G319" s="699" t="s">
        <v>3846</v>
      </c>
      <c r="H319" s="699" t="s">
        <v>3847</v>
      </c>
      <c r="I319" s="711">
        <v>403.04</v>
      </c>
      <c r="J319" s="711">
        <v>240</v>
      </c>
      <c r="K319" s="712">
        <v>96729.31</v>
      </c>
    </row>
    <row r="320" spans="1:11" ht="14.4" customHeight="1" x14ac:dyDescent="0.3">
      <c r="A320" s="695" t="s">
        <v>545</v>
      </c>
      <c r="B320" s="696" t="s">
        <v>1978</v>
      </c>
      <c r="C320" s="699" t="s">
        <v>558</v>
      </c>
      <c r="D320" s="720" t="s">
        <v>1981</v>
      </c>
      <c r="E320" s="699" t="s">
        <v>4057</v>
      </c>
      <c r="F320" s="720" t="s">
        <v>4058</v>
      </c>
      <c r="G320" s="699" t="s">
        <v>3848</v>
      </c>
      <c r="H320" s="699" t="s">
        <v>3849</v>
      </c>
      <c r="I320" s="711">
        <v>33.881999999999998</v>
      </c>
      <c r="J320" s="711">
        <v>9</v>
      </c>
      <c r="K320" s="712">
        <v>304.94</v>
      </c>
    </row>
    <row r="321" spans="1:11" ht="14.4" customHeight="1" x14ac:dyDescent="0.3">
      <c r="A321" s="695" t="s">
        <v>545</v>
      </c>
      <c r="B321" s="696" t="s">
        <v>1978</v>
      </c>
      <c r="C321" s="699" t="s">
        <v>558</v>
      </c>
      <c r="D321" s="720" t="s">
        <v>1981</v>
      </c>
      <c r="E321" s="699" t="s">
        <v>4057</v>
      </c>
      <c r="F321" s="720" t="s">
        <v>4058</v>
      </c>
      <c r="G321" s="699" t="s">
        <v>3850</v>
      </c>
      <c r="H321" s="699" t="s">
        <v>3851</v>
      </c>
      <c r="I321" s="711">
        <v>35.01</v>
      </c>
      <c r="J321" s="711">
        <v>20</v>
      </c>
      <c r="K321" s="712">
        <v>700.12</v>
      </c>
    </row>
    <row r="322" spans="1:11" ht="14.4" customHeight="1" x14ac:dyDescent="0.3">
      <c r="A322" s="695" t="s">
        <v>545</v>
      </c>
      <c r="B322" s="696" t="s">
        <v>1978</v>
      </c>
      <c r="C322" s="699" t="s">
        <v>558</v>
      </c>
      <c r="D322" s="720" t="s">
        <v>1981</v>
      </c>
      <c r="E322" s="699" t="s">
        <v>4057</v>
      </c>
      <c r="F322" s="720" t="s">
        <v>4058</v>
      </c>
      <c r="G322" s="699" t="s">
        <v>3310</v>
      </c>
      <c r="H322" s="699" t="s">
        <v>3311</v>
      </c>
      <c r="I322" s="711">
        <v>1.5973333333333339</v>
      </c>
      <c r="J322" s="711">
        <v>11400</v>
      </c>
      <c r="K322" s="712">
        <v>18242</v>
      </c>
    </row>
    <row r="323" spans="1:11" ht="14.4" customHeight="1" x14ac:dyDescent="0.3">
      <c r="A323" s="695" t="s">
        <v>545</v>
      </c>
      <c r="B323" s="696" t="s">
        <v>1978</v>
      </c>
      <c r="C323" s="699" t="s">
        <v>558</v>
      </c>
      <c r="D323" s="720" t="s">
        <v>1981</v>
      </c>
      <c r="E323" s="699" t="s">
        <v>4057</v>
      </c>
      <c r="F323" s="720" t="s">
        <v>4058</v>
      </c>
      <c r="G323" s="699" t="s">
        <v>3312</v>
      </c>
      <c r="H323" s="699" t="s">
        <v>3313</v>
      </c>
      <c r="I323" s="711">
        <v>5.129999999999999</v>
      </c>
      <c r="J323" s="711">
        <v>5040</v>
      </c>
      <c r="K323" s="712">
        <v>25855.199999999997</v>
      </c>
    </row>
    <row r="324" spans="1:11" ht="14.4" customHeight="1" x14ac:dyDescent="0.3">
      <c r="A324" s="695" t="s">
        <v>545</v>
      </c>
      <c r="B324" s="696" t="s">
        <v>1978</v>
      </c>
      <c r="C324" s="699" t="s">
        <v>558</v>
      </c>
      <c r="D324" s="720" t="s">
        <v>1981</v>
      </c>
      <c r="E324" s="699" t="s">
        <v>4057</v>
      </c>
      <c r="F324" s="720" t="s">
        <v>4058</v>
      </c>
      <c r="G324" s="699" t="s">
        <v>3852</v>
      </c>
      <c r="H324" s="699" t="s">
        <v>3853</v>
      </c>
      <c r="I324" s="711">
        <v>20.260000000000002</v>
      </c>
      <c r="J324" s="711">
        <v>10</v>
      </c>
      <c r="K324" s="712">
        <v>202.6</v>
      </c>
    </row>
    <row r="325" spans="1:11" ht="14.4" customHeight="1" x14ac:dyDescent="0.3">
      <c r="A325" s="695" t="s">
        <v>545</v>
      </c>
      <c r="B325" s="696" t="s">
        <v>1978</v>
      </c>
      <c r="C325" s="699" t="s">
        <v>558</v>
      </c>
      <c r="D325" s="720" t="s">
        <v>1981</v>
      </c>
      <c r="E325" s="699" t="s">
        <v>4057</v>
      </c>
      <c r="F325" s="720" t="s">
        <v>4058</v>
      </c>
      <c r="G325" s="699" t="s">
        <v>3528</v>
      </c>
      <c r="H325" s="699" t="s">
        <v>3529</v>
      </c>
      <c r="I325" s="711">
        <v>7.9499999999999984</v>
      </c>
      <c r="J325" s="711">
        <v>2420</v>
      </c>
      <c r="K325" s="712">
        <v>19239</v>
      </c>
    </row>
    <row r="326" spans="1:11" ht="14.4" customHeight="1" x14ac:dyDescent="0.3">
      <c r="A326" s="695" t="s">
        <v>545</v>
      </c>
      <c r="B326" s="696" t="s">
        <v>1978</v>
      </c>
      <c r="C326" s="699" t="s">
        <v>558</v>
      </c>
      <c r="D326" s="720" t="s">
        <v>1981</v>
      </c>
      <c r="E326" s="699" t="s">
        <v>4057</v>
      </c>
      <c r="F326" s="720" t="s">
        <v>4058</v>
      </c>
      <c r="G326" s="699" t="s">
        <v>3542</v>
      </c>
      <c r="H326" s="699" t="s">
        <v>3543</v>
      </c>
      <c r="I326" s="711">
        <v>23.146363636363638</v>
      </c>
      <c r="J326" s="711">
        <v>800</v>
      </c>
      <c r="K326" s="712">
        <v>18517.859999999997</v>
      </c>
    </row>
    <row r="327" spans="1:11" ht="14.4" customHeight="1" x14ac:dyDescent="0.3">
      <c r="A327" s="695" t="s">
        <v>545</v>
      </c>
      <c r="B327" s="696" t="s">
        <v>1978</v>
      </c>
      <c r="C327" s="699" t="s">
        <v>558</v>
      </c>
      <c r="D327" s="720" t="s">
        <v>1981</v>
      </c>
      <c r="E327" s="699" t="s">
        <v>4057</v>
      </c>
      <c r="F327" s="720" t="s">
        <v>4058</v>
      </c>
      <c r="G327" s="699" t="s">
        <v>3314</v>
      </c>
      <c r="H327" s="699" t="s">
        <v>3315</v>
      </c>
      <c r="I327" s="711">
        <v>17.98</v>
      </c>
      <c r="J327" s="711">
        <v>150</v>
      </c>
      <c r="K327" s="712">
        <v>2697</v>
      </c>
    </row>
    <row r="328" spans="1:11" ht="14.4" customHeight="1" x14ac:dyDescent="0.3">
      <c r="A328" s="695" t="s">
        <v>545</v>
      </c>
      <c r="B328" s="696" t="s">
        <v>1978</v>
      </c>
      <c r="C328" s="699" t="s">
        <v>558</v>
      </c>
      <c r="D328" s="720" t="s">
        <v>1981</v>
      </c>
      <c r="E328" s="699" t="s">
        <v>4057</v>
      </c>
      <c r="F328" s="720" t="s">
        <v>4058</v>
      </c>
      <c r="G328" s="699" t="s">
        <v>3548</v>
      </c>
      <c r="H328" s="699" t="s">
        <v>3549</v>
      </c>
      <c r="I328" s="711">
        <v>17.98</v>
      </c>
      <c r="J328" s="711">
        <v>700</v>
      </c>
      <c r="K328" s="712">
        <v>12586</v>
      </c>
    </row>
    <row r="329" spans="1:11" ht="14.4" customHeight="1" x14ac:dyDescent="0.3">
      <c r="A329" s="695" t="s">
        <v>545</v>
      </c>
      <c r="B329" s="696" t="s">
        <v>1978</v>
      </c>
      <c r="C329" s="699" t="s">
        <v>558</v>
      </c>
      <c r="D329" s="720" t="s">
        <v>1981</v>
      </c>
      <c r="E329" s="699" t="s">
        <v>4057</v>
      </c>
      <c r="F329" s="720" t="s">
        <v>4058</v>
      </c>
      <c r="G329" s="699" t="s">
        <v>3854</v>
      </c>
      <c r="H329" s="699" t="s">
        <v>3855</v>
      </c>
      <c r="I329" s="711">
        <v>12.073214285714284</v>
      </c>
      <c r="J329" s="711">
        <v>3680</v>
      </c>
      <c r="K329" s="712">
        <v>44432.1</v>
      </c>
    </row>
    <row r="330" spans="1:11" ht="14.4" customHeight="1" x14ac:dyDescent="0.3">
      <c r="A330" s="695" t="s">
        <v>545</v>
      </c>
      <c r="B330" s="696" t="s">
        <v>1978</v>
      </c>
      <c r="C330" s="699" t="s">
        <v>558</v>
      </c>
      <c r="D330" s="720" t="s">
        <v>1981</v>
      </c>
      <c r="E330" s="699" t="s">
        <v>4057</v>
      </c>
      <c r="F330" s="720" t="s">
        <v>4058</v>
      </c>
      <c r="G330" s="699" t="s">
        <v>3856</v>
      </c>
      <c r="H330" s="699" t="s">
        <v>3857</v>
      </c>
      <c r="I330" s="711">
        <v>17.98</v>
      </c>
      <c r="J330" s="711">
        <v>150</v>
      </c>
      <c r="K330" s="712">
        <v>2697.12</v>
      </c>
    </row>
    <row r="331" spans="1:11" ht="14.4" customHeight="1" x14ac:dyDescent="0.3">
      <c r="A331" s="695" t="s">
        <v>545</v>
      </c>
      <c r="B331" s="696" t="s">
        <v>1978</v>
      </c>
      <c r="C331" s="699" t="s">
        <v>558</v>
      </c>
      <c r="D331" s="720" t="s">
        <v>1981</v>
      </c>
      <c r="E331" s="699" t="s">
        <v>4057</v>
      </c>
      <c r="F331" s="720" t="s">
        <v>4058</v>
      </c>
      <c r="G331" s="699" t="s">
        <v>3554</v>
      </c>
      <c r="H331" s="699" t="s">
        <v>3555</v>
      </c>
      <c r="I331" s="711">
        <v>17.98</v>
      </c>
      <c r="J331" s="711">
        <v>550</v>
      </c>
      <c r="K331" s="712">
        <v>9889</v>
      </c>
    </row>
    <row r="332" spans="1:11" ht="14.4" customHeight="1" x14ac:dyDescent="0.3">
      <c r="A332" s="695" t="s">
        <v>545</v>
      </c>
      <c r="B332" s="696" t="s">
        <v>1978</v>
      </c>
      <c r="C332" s="699" t="s">
        <v>558</v>
      </c>
      <c r="D332" s="720" t="s">
        <v>1981</v>
      </c>
      <c r="E332" s="699" t="s">
        <v>4057</v>
      </c>
      <c r="F332" s="720" t="s">
        <v>4058</v>
      </c>
      <c r="G332" s="699" t="s">
        <v>3858</v>
      </c>
      <c r="H332" s="699" t="s">
        <v>3859</v>
      </c>
      <c r="I332" s="711">
        <v>38.501666666666665</v>
      </c>
      <c r="J332" s="711">
        <v>300</v>
      </c>
      <c r="K332" s="712">
        <v>11550.43</v>
      </c>
    </row>
    <row r="333" spans="1:11" ht="14.4" customHeight="1" x14ac:dyDescent="0.3">
      <c r="A333" s="695" t="s">
        <v>545</v>
      </c>
      <c r="B333" s="696" t="s">
        <v>1978</v>
      </c>
      <c r="C333" s="699" t="s">
        <v>558</v>
      </c>
      <c r="D333" s="720" t="s">
        <v>1981</v>
      </c>
      <c r="E333" s="699" t="s">
        <v>4057</v>
      </c>
      <c r="F333" s="720" t="s">
        <v>4058</v>
      </c>
      <c r="G333" s="699" t="s">
        <v>3860</v>
      </c>
      <c r="H333" s="699" t="s">
        <v>3861</v>
      </c>
      <c r="I333" s="711">
        <v>2.3975</v>
      </c>
      <c r="J333" s="711">
        <v>480</v>
      </c>
      <c r="K333" s="712">
        <v>1150.5</v>
      </c>
    </row>
    <row r="334" spans="1:11" ht="14.4" customHeight="1" x14ac:dyDescent="0.3">
      <c r="A334" s="695" t="s">
        <v>545</v>
      </c>
      <c r="B334" s="696" t="s">
        <v>1978</v>
      </c>
      <c r="C334" s="699" t="s">
        <v>558</v>
      </c>
      <c r="D334" s="720" t="s">
        <v>1981</v>
      </c>
      <c r="E334" s="699" t="s">
        <v>4057</v>
      </c>
      <c r="F334" s="720" t="s">
        <v>4058</v>
      </c>
      <c r="G334" s="699" t="s">
        <v>3862</v>
      </c>
      <c r="H334" s="699" t="s">
        <v>3863</v>
      </c>
      <c r="I334" s="711">
        <v>17.98</v>
      </c>
      <c r="J334" s="711">
        <v>50</v>
      </c>
      <c r="K334" s="712">
        <v>899.03</v>
      </c>
    </row>
    <row r="335" spans="1:11" ht="14.4" customHeight="1" x14ac:dyDescent="0.3">
      <c r="A335" s="695" t="s">
        <v>545</v>
      </c>
      <c r="B335" s="696" t="s">
        <v>1978</v>
      </c>
      <c r="C335" s="699" t="s">
        <v>558</v>
      </c>
      <c r="D335" s="720" t="s">
        <v>1981</v>
      </c>
      <c r="E335" s="699" t="s">
        <v>4057</v>
      </c>
      <c r="F335" s="720" t="s">
        <v>4058</v>
      </c>
      <c r="G335" s="699" t="s">
        <v>3316</v>
      </c>
      <c r="H335" s="699" t="s">
        <v>3317</v>
      </c>
      <c r="I335" s="711">
        <v>12.105000000000002</v>
      </c>
      <c r="J335" s="711">
        <v>220</v>
      </c>
      <c r="K335" s="712">
        <v>2663.0999999999995</v>
      </c>
    </row>
    <row r="336" spans="1:11" ht="14.4" customHeight="1" x14ac:dyDescent="0.3">
      <c r="A336" s="695" t="s">
        <v>545</v>
      </c>
      <c r="B336" s="696" t="s">
        <v>1978</v>
      </c>
      <c r="C336" s="699" t="s">
        <v>558</v>
      </c>
      <c r="D336" s="720" t="s">
        <v>1981</v>
      </c>
      <c r="E336" s="699" t="s">
        <v>4057</v>
      </c>
      <c r="F336" s="720" t="s">
        <v>4058</v>
      </c>
      <c r="G336" s="699" t="s">
        <v>3864</v>
      </c>
      <c r="H336" s="699" t="s">
        <v>3865</v>
      </c>
      <c r="I336" s="711">
        <v>121</v>
      </c>
      <c r="J336" s="711">
        <v>330</v>
      </c>
      <c r="K336" s="712">
        <v>39930</v>
      </c>
    </row>
    <row r="337" spans="1:11" ht="14.4" customHeight="1" x14ac:dyDescent="0.3">
      <c r="A337" s="695" t="s">
        <v>545</v>
      </c>
      <c r="B337" s="696" t="s">
        <v>1978</v>
      </c>
      <c r="C337" s="699" t="s">
        <v>558</v>
      </c>
      <c r="D337" s="720" t="s">
        <v>1981</v>
      </c>
      <c r="E337" s="699" t="s">
        <v>4057</v>
      </c>
      <c r="F337" s="720" t="s">
        <v>4058</v>
      </c>
      <c r="G337" s="699" t="s">
        <v>3866</v>
      </c>
      <c r="H337" s="699" t="s">
        <v>3867</v>
      </c>
      <c r="I337" s="711">
        <v>121</v>
      </c>
      <c r="J337" s="711">
        <v>260</v>
      </c>
      <c r="K337" s="712">
        <v>31460</v>
      </c>
    </row>
    <row r="338" spans="1:11" ht="14.4" customHeight="1" x14ac:dyDescent="0.3">
      <c r="A338" s="695" t="s">
        <v>545</v>
      </c>
      <c r="B338" s="696" t="s">
        <v>1978</v>
      </c>
      <c r="C338" s="699" t="s">
        <v>558</v>
      </c>
      <c r="D338" s="720" t="s">
        <v>1981</v>
      </c>
      <c r="E338" s="699" t="s">
        <v>4057</v>
      </c>
      <c r="F338" s="720" t="s">
        <v>4058</v>
      </c>
      <c r="G338" s="699" t="s">
        <v>3566</v>
      </c>
      <c r="H338" s="699" t="s">
        <v>3567</v>
      </c>
      <c r="I338" s="711">
        <v>5.18</v>
      </c>
      <c r="J338" s="711">
        <v>50</v>
      </c>
      <c r="K338" s="712">
        <v>259.39999999999998</v>
      </c>
    </row>
    <row r="339" spans="1:11" ht="14.4" customHeight="1" x14ac:dyDescent="0.3">
      <c r="A339" s="695" t="s">
        <v>545</v>
      </c>
      <c r="B339" s="696" t="s">
        <v>1978</v>
      </c>
      <c r="C339" s="699" t="s">
        <v>558</v>
      </c>
      <c r="D339" s="720" t="s">
        <v>1981</v>
      </c>
      <c r="E339" s="699" t="s">
        <v>4057</v>
      </c>
      <c r="F339" s="720" t="s">
        <v>4058</v>
      </c>
      <c r="G339" s="699" t="s">
        <v>3868</v>
      </c>
      <c r="H339" s="699" t="s">
        <v>3869</v>
      </c>
      <c r="I339" s="711">
        <v>120.00238095238096</v>
      </c>
      <c r="J339" s="711">
        <v>440</v>
      </c>
      <c r="K339" s="712">
        <v>52801.33</v>
      </c>
    </row>
    <row r="340" spans="1:11" ht="14.4" customHeight="1" x14ac:dyDescent="0.3">
      <c r="A340" s="695" t="s">
        <v>545</v>
      </c>
      <c r="B340" s="696" t="s">
        <v>1978</v>
      </c>
      <c r="C340" s="699" t="s">
        <v>558</v>
      </c>
      <c r="D340" s="720" t="s">
        <v>1981</v>
      </c>
      <c r="E340" s="699" t="s">
        <v>4057</v>
      </c>
      <c r="F340" s="720" t="s">
        <v>4058</v>
      </c>
      <c r="G340" s="699" t="s">
        <v>3318</v>
      </c>
      <c r="H340" s="699" t="s">
        <v>3319</v>
      </c>
      <c r="I340" s="711">
        <v>0.47416666666666663</v>
      </c>
      <c r="J340" s="711">
        <v>1300</v>
      </c>
      <c r="K340" s="712">
        <v>617</v>
      </c>
    </row>
    <row r="341" spans="1:11" ht="14.4" customHeight="1" x14ac:dyDescent="0.3">
      <c r="A341" s="695" t="s">
        <v>545</v>
      </c>
      <c r="B341" s="696" t="s">
        <v>1978</v>
      </c>
      <c r="C341" s="699" t="s">
        <v>558</v>
      </c>
      <c r="D341" s="720" t="s">
        <v>1981</v>
      </c>
      <c r="E341" s="699" t="s">
        <v>4057</v>
      </c>
      <c r="F341" s="720" t="s">
        <v>4058</v>
      </c>
      <c r="G341" s="699" t="s">
        <v>3590</v>
      </c>
      <c r="H341" s="699" t="s">
        <v>3591</v>
      </c>
      <c r="I341" s="711">
        <v>4.0271428571428576</v>
      </c>
      <c r="J341" s="711">
        <v>4550</v>
      </c>
      <c r="K341" s="712">
        <v>18326.5</v>
      </c>
    </row>
    <row r="342" spans="1:11" ht="14.4" customHeight="1" x14ac:dyDescent="0.3">
      <c r="A342" s="695" t="s">
        <v>545</v>
      </c>
      <c r="B342" s="696" t="s">
        <v>1978</v>
      </c>
      <c r="C342" s="699" t="s">
        <v>558</v>
      </c>
      <c r="D342" s="720" t="s">
        <v>1981</v>
      </c>
      <c r="E342" s="699" t="s">
        <v>4057</v>
      </c>
      <c r="F342" s="720" t="s">
        <v>4058</v>
      </c>
      <c r="G342" s="699" t="s">
        <v>3592</v>
      </c>
      <c r="H342" s="699" t="s">
        <v>3593</v>
      </c>
      <c r="I342" s="711">
        <v>2.6</v>
      </c>
      <c r="J342" s="711">
        <v>190</v>
      </c>
      <c r="K342" s="712">
        <v>494</v>
      </c>
    </row>
    <row r="343" spans="1:11" ht="14.4" customHeight="1" x14ac:dyDescent="0.3">
      <c r="A343" s="695" t="s">
        <v>545</v>
      </c>
      <c r="B343" s="696" t="s">
        <v>1978</v>
      </c>
      <c r="C343" s="699" t="s">
        <v>558</v>
      </c>
      <c r="D343" s="720" t="s">
        <v>1981</v>
      </c>
      <c r="E343" s="699" t="s">
        <v>4057</v>
      </c>
      <c r="F343" s="720" t="s">
        <v>4058</v>
      </c>
      <c r="G343" s="699" t="s">
        <v>3594</v>
      </c>
      <c r="H343" s="699" t="s">
        <v>3595</v>
      </c>
      <c r="I343" s="711">
        <v>2.6037500000000002</v>
      </c>
      <c r="J343" s="711">
        <v>420</v>
      </c>
      <c r="K343" s="712">
        <v>1093.7</v>
      </c>
    </row>
    <row r="344" spans="1:11" ht="14.4" customHeight="1" x14ac:dyDescent="0.3">
      <c r="A344" s="695" t="s">
        <v>545</v>
      </c>
      <c r="B344" s="696" t="s">
        <v>1978</v>
      </c>
      <c r="C344" s="699" t="s">
        <v>558</v>
      </c>
      <c r="D344" s="720" t="s">
        <v>1981</v>
      </c>
      <c r="E344" s="699" t="s">
        <v>4057</v>
      </c>
      <c r="F344" s="720" t="s">
        <v>4058</v>
      </c>
      <c r="G344" s="699" t="s">
        <v>3596</v>
      </c>
      <c r="H344" s="699" t="s">
        <v>3597</v>
      </c>
      <c r="I344" s="711">
        <v>2.6022222222222222</v>
      </c>
      <c r="J344" s="711">
        <v>470</v>
      </c>
      <c r="K344" s="712">
        <v>1223.2</v>
      </c>
    </row>
    <row r="345" spans="1:11" ht="14.4" customHeight="1" x14ac:dyDescent="0.3">
      <c r="A345" s="695" t="s">
        <v>545</v>
      </c>
      <c r="B345" s="696" t="s">
        <v>1978</v>
      </c>
      <c r="C345" s="699" t="s">
        <v>558</v>
      </c>
      <c r="D345" s="720" t="s">
        <v>1981</v>
      </c>
      <c r="E345" s="699" t="s">
        <v>4057</v>
      </c>
      <c r="F345" s="720" t="s">
        <v>4058</v>
      </c>
      <c r="G345" s="699" t="s">
        <v>3870</v>
      </c>
      <c r="H345" s="699" t="s">
        <v>3871</v>
      </c>
      <c r="I345" s="711">
        <v>2.6</v>
      </c>
      <c r="J345" s="711">
        <v>100</v>
      </c>
      <c r="K345" s="712">
        <v>260</v>
      </c>
    </row>
    <row r="346" spans="1:11" ht="14.4" customHeight="1" x14ac:dyDescent="0.3">
      <c r="A346" s="695" t="s">
        <v>545</v>
      </c>
      <c r="B346" s="696" t="s">
        <v>1978</v>
      </c>
      <c r="C346" s="699" t="s">
        <v>558</v>
      </c>
      <c r="D346" s="720" t="s">
        <v>1981</v>
      </c>
      <c r="E346" s="699" t="s">
        <v>4057</v>
      </c>
      <c r="F346" s="720" t="s">
        <v>4058</v>
      </c>
      <c r="G346" s="699" t="s">
        <v>3872</v>
      </c>
      <c r="H346" s="699" t="s">
        <v>3873</v>
      </c>
      <c r="I346" s="711">
        <v>30.25</v>
      </c>
      <c r="J346" s="711">
        <v>10</v>
      </c>
      <c r="K346" s="712">
        <v>302.5</v>
      </c>
    </row>
    <row r="347" spans="1:11" ht="14.4" customHeight="1" x14ac:dyDescent="0.3">
      <c r="A347" s="695" t="s">
        <v>545</v>
      </c>
      <c r="B347" s="696" t="s">
        <v>1978</v>
      </c>
      <c r="C347" s="699" t="s">
        <v>558</v>
      </c>
      <c r="D347" s="720" t="s">
        <v>1981</v>
      </c>
      <c r="E347" s="699" t="s">
        <v>4057</v>
      </c>
      <c r="F347" s="720" t="s">
        <v>4058</v>
      </c>
      <c r="G347" s="699" t="s">
        <v>3874</v>
      </c>
      <c r="H347" s="699" t="s">
        <v>3875</v>
      </c>
      <c r="I347" s="711">
        <v>105.03</v>
      </c>
      <c r="J347" s="711">
        <v>10</v>
      </c>
      <c r="K347" s="712">
        <v>1050.28</v>
      </c>
    </row>
    <row r="348" spans="1:11" ht="14.4" customHeight="1" x14ac:dyDescent="0.3">
      <c r="A348" s="695" t="s">
        <v>545</v>
      </c>
      <c r="B348" s="696" t="s">
        <v>1978</v>
      </c>
      <c r="C348" s="699" t="s">
        <v>558</v>
      </c>
      <c r="D348" s="720" t="s">
        <v>1981</v>
      </c>
      <c r="E348" s="699" t="s">
        <v>4057</v>
      </c>
      <c r="F348" s="720" t="s">
        <v>4058</v>
      </c>
      <c r="G348" s="699" t="s">
        <v>3876</v>
      </c>
      <c r="H348" s="699" t="s">
        <v>3877</v>
      </c>
      <c r="I348" s="711">
        <v>41</v>
      </c>
      <c r="J348" s="711">
        <v>40</v>
      </c>
      <c r="K348" s="712">
        <v>1639.9</v>
      </c>
    </row>
    <row r="349" spans="1:11" ht="14.4" customHeight="1" x14ac:dyDescent="0.3">
      <c r="A349" s="695" t="s">
        <v>545</v>
      </c>
      <c r="B349" s="696" t="s">
        <v>1978</v>
      </c>
      <c r="C349" s="699" t="s">
        <v>558</v>
      </c>
      <c r="D349" s="720" t="s">
        <v>1981</v>
      </c>
      <c r="E349" s="699" t="s">
        <v>4057</v>
      </c>
      <c r="F349" s="720" t="s">
        <v>4058</v>
      </c>
      <c r="G349" s="699" t="s">
        <v>3878</v>
      </c>
      <c r="H349" s="699" t="s">
        <v>3879</v>
      </c>
      <c r="I349" s="711">
        <v>197.96</v>
      </c>
      <c r="J349" s="711">
        <v>10</v>
      </c>
      <c r="K349" s="712">
        <v>1979.6</v>
      </c>
    </row>
    <row r="350" spans="1:11" ht="14.4" customHeight="1" x14ac:dyDescent="0.3">
      <c r="A350" s="695" t="s">
        <v>545</v>
      </c>
      <c r="B350" s="696" t="s">
        <v>1978</v>
      </c>
      <c r="C350" s="699" t="s">
        <v>558</v>
      </c>
      <c r="D350" s="720" t="s">
        <v>1981</v>
      </c>
      <c r="E350" s="699" t="s">
        <v>4057</v>
      </c>
      <c r="F350" s="720" t="s">
        <v>4058</v>
      </c>
      <c r="G350" s="699" t="s">
        <v>3880</v>
      </c>
      <c r="H350" s="699" t="s">
        <v>3881</v>
      </c>
      <c r="I350" s="711">
        <v>38</v>
      </c>
      <c r="J350" s="711">
        <v>20</v>
      </c>
      <c r="K350" s="712">
        <v>759.92</v>
      </c>
    </row>
    <row r="351" spans="1:11" ht="14.4" customHeight="1" x14ac:dyDescent="0.3">
      <c r="A351" s="695" t="s">
        <v>545</v>
      </c>
      <c r="B351" s="696" t="s">
        <v>1978</v>
      </c>
      <c r="C351" s="699" t="s">
        <v>558</v>
      </c>
      <c r="D351" s="720" t="s">
        <v>1981</v>
      </c>
      <c r="E351" s="699" t="s">
        <v>4057</v>
      </c>
      <c r="F351" s="720" t="s">
        <v>4058</v>
      </c>
      <c r="G351" s="699" t="s">
        <v>3882</v>
      </c>
      <c r="H351" s="699" t="s">
        <v>3883</v>
      </c>
      <c r="I351" s="711">
        <v>618.08000000000004</v>
      </c>
      <c r="J351" s="711">
        <v>1</v>
      </c>
      <c r="K351" s="712">
        <v>618.08000000000004</v>
      </c>
    </row>
    <row r="352" spans="1:11" ht="14.4" customHeight="1" x14ac:dyDescent="0.3">
      <c r="A352" s="695" t="s">
        <v>545</v>
      </c>
      <c r="B352" s="696" t="s">
        <v>1978</v>
      </c>
      <c r="C352" s="699" t="s">
        <v>558</v>
      </c>
      <c r="D352" s="720" t="s">
        <v>1981</v>
      </c>
      <c r="E352" s="699" t="s">
        <v>4057</v>
      </c>
      <c r="F352" s="720" t="s">
        <v>4058</v>
      </c>
      <c r="G352" s="699" t="s">
        <v>3884</v>
      </c>
      <c r="H352" s="699" t="s">
        <v>3885</v>
      </c>
      <c r="I352" s="711">
        <v>434.28</v>
      </c>
      <c r="J352" s="711">
        <v>10</v>
      </c>
      <c r="K352" s="712">
        <v>4342.8</v>
      </c>
    </row>
    <row r="353" spans="1:11" ht="14.4" customHeight="1" x14ac:dyDescent="0.3">
      <c r="A353" s="695" t="s">
        <v>545</v>
      </c>
      <c r="B353" s="696" t="s">
        <v>1978</v>
      </c>
      <c r="C353" s="699" t="s">
        <v>558</v>
      </c>
      <c r="D353" s="720" t="s">
        <v>1981</v>
      </c>
      <c r="E353" s="699" t="s">
        <v>4057</v>
      </c>
      <c r="F353" s="720" t="s">
        <v>4058</v>
      </c>
      <c r="G353" s="699" t="s">
        <v>3886</v>
      </c>
      <c r="H353" s="699" t="s">
        <v>3887</v>
      </c>
      <c r="I353" s="711">
        <v>434.39999999999992</v>
      </c>
      <c r="J353" s="711">
        <v>7</v>
      </c>
      <c r="K353" s="712">
        <v>3040.8</v>
      </c>
    </row>
    <row r="354" spans="1:11" ht="14.4" customHeight="1" x14ac:dyDescent="0.3">
      <c r="A354" s="695" t="s">
        <v>545</v>
      </c>
      <c r="B354" s="696" t="s">
        <v>1978</v>
      </c>
      <c r="C354" s="699" t="s">
        <v>558</v>
      </c>
      <c r="D354" s="720" t="s">
        <v>1981</v>
      </c>
      <c r="E354" s="699" t="s">
        <v>4057</v>
      </c>
      <c r="F354" s="720" t="s">
        <v>4058</v>
      </c>
      <c r="G354" s="699" t="s">
        <v>3888</v>
      </c>
      <c r="H354" s="699" t="s">
        <v>3889</v>
      </c>
      <c r="I354" s="711">
        <v>422.3</v>
      </c>
      <c r="J354" s="711">
        <v>4</v>
      </c>
      <c r="K354" s="712">
        <v>1689.2</v>
      </c>
    </row>
    <row r="355" spans="1:11" ht="14.4" customHeight="1" x14ac:dyDescent="0.3">
      <c r="A355" s="695" t="s">
        <v>545</v>
      </c>
      <c r="B355" s="696" t="s">
        <v>1978</v>
      </c>
      <c r="C355" s="699" t="s">
        <v>558</v>
      </c>
      <c r="D355" s="720" t="s">
        <v>1981</v>
      </c>
      <c r="E355" s="699" t="s">
        <v>4057</v>
      </c>
      <c r="F355" s="720" t="s">
        <v>4058</v>
      </c>
      <c r="G355" s="699" t="s">
        <v>3890</v>
      </c>
      <c r="H355" s="699" t="s">
        <v>3891</v>
      </c>
      <c r="I355" s="711">
        <v>197.96</v>
      </c>
      <c r="J355" s="711">
        <v>20</v>
      </c>
      <c r="K355" s="712">
        <v>3959.16</v>
      </c>
    </row>
    <row r="356" spans="1:11" ht="14.4" customHeight="1" x14ac:dyDescent="0.3">
      <c r="A356" s="695" t="s">
        <v>545</v>
      </c>
      <c r="B356" s="696" t="s">
        <v>1978</v>
      </c>
      <c r="C356" s="699" t="s">
        <v>558</v>
      </c>
      <c r="D356" s="720" t="s">
        <v>1981</v>
      </c>
      <c r="E356" s="699" t="s">
        <v>4057</v>
      </c>
      <c r="F356" s="720" t="s">
        <v>4058</v>
      </c>
      <c r="G356" s="699" t="s">
        <v>3892</v>
      </c>
      <c r="H356" s="699" t="s">
        <v>3893</v>
      </c>
      <c r="I356" s="711">
        <v>104.06</v>
      </c>
      <c r="J356" s="711">
        <v>10</v>
      </c>
      <c r="K356" s="712">
        <v>1040.5999999999999</v>
      </c>
    </row>
    <row r="357" spans="1:11" ht="14.4" customHeight="1" x14ac:dyDescent="0.3">
      <c r="A357" s="695" t="s">
        <v>545</v>
      </c>
      <c r="B357" s="696" t="s">
        <v>1978</v>
      </c>
      <c r="C357" s="699" t="s">
        <v>558</v>
      </c>
      <c r="D357" s="720" t="s">
        <v>1981</v>
      </c>
      <c r="E357" s="699" t="s">
        <v>4057</v>
      </c>
      <c r="F357" s="720" t="s">
        <v>4058</v>
      </c>
      <c r="G357" s="699" t="s">
        <v>3894</v>
      </c>
      <c r="H357" s="699" t="s">
        <v>3895</v>
      </c>
      <c r="I357" s="711">
        <v>49.98</v>
      </c>
      <c r="J357" s="711">
        <v>10</v>
      </c>
      <c r="K357" s="712">
        <v>499.8</v>
      </c>
    </row>
    <row r="358" spans="1:11" ht="14.4" customHeight="1" x14ac:dyDescent="0.3">
      <c r="A358" s="695" t="s">
        <v>545</v>
      </c>
      <c r="B358" s="696" t="s">
        <v>1978</v>
      </c>
      <c r="C358" s="699" t="s">
        <v>558</v>
      </c>
      <c r="D358" s="720" t="s">
        <v>1981</v>
      </c>
      <c r="E358" s="699" t="s">
        <v>4057</v>
      </c>
      <c r="F358" s="720" t="s">
        <v>4058</v>
      </c>
      <c r="G358" s="699" t="s">
        <v>3896</v>
      </c>
      <c r="H358" s="699" t="s">
        <v>3897</v>
      </c>
      <c r="I358" s="711">
        <v>49.98</v>
      </c>
      <c r="J358" s="711">
        <v>10</v>
      </c>
      <c r="K358" s="712">
        <v>499.8</v>
      </c>
    </row>
    <row r="359" spans="1:11" ht="14.4" customHeight="1" x14ac:dyDescent="0.3">
      <c r="A359" s="695" t="s">
        <v>545</v>
      </c>
      <c r="B359" s="696" t="s">
        <v>1978</v>
      </c>
      <c r="C359" s="699" t="s">
        <v>558</v>
      </c>
      <c r="D359" s="720" t="s">
        <v>1981</v>
      </c>
      <c r="E359" s="699" t="s">
        <v>4057</v>
      </c>
      <c r="F359" s="720" t="s">
        <v>4058</v>
      </c>
      <c r="G359" s="699" t="s">
        <v>3898</v>
      </c>
      <c r="H359" s="699" t="s">
        <v>3899</v>
      </c>
      <c r="I359" s="711">
        <v>49.97</v>
      </c>
      <c r="J359" s="711">
        <v>25</v>
      </c>
      <c r="K359" s="712">
        <v>1249.25</v>
      </c>
    </row>
    <row r="360" spans="1:11" ht="14.4" customHeight="1" x14ac:dyDescent="0.3">
      <c r="A360" s="695" t="s">
        <v>545</v>
      </c>
      <c r="B360" s="696" t="s">
        <v>1978</v>
      </c>
      <c r="C360" s="699" t="s">
        <v>558</v>
      </c>
      <c r="D360" s="720" t="s">
        <v>1981</v>
      </c>
      <c r="E360" s="699" t="s">
        <v>4057</v>
      </c>
      <c r="F360" s="720" t="s">
        <v>4058</v>
      </c>
      <c r="G360" s="699" t="s">
        <v>3900</v>
      </c>
      <c r="H360" s="699" t="s">
        <v>3901</v>
      </c>
      <c r="I360" s="711">
        <v>49.97</v>
      </c>
      <c r="J360" s="711">
        <v>20</v>
      </c>
      <c r="K360" s="712">
        <v>999.4</v>
      </c>
    </row>
    <row r="361" spans="1:11" ht="14.4" customHeight="1" x14ac:dyDescent="0.3">
      <c r="A361" s="695" t="s">
        <v>545</v>
      </c>
      <c r="B361" s="696" t="s">
        <v>1978</v>
      </c>
      <c r="C361" s="699" t="s">
        <v>558</v>
      </c>
      <c r="D361" s="720" t="s">
        <v>1981</v>
      </c>
      <c r="E361" s="699" t="s">
        <v>4057</v>
      </c>
      <c r="F361" s="720" t="s">
        <v>4058</v>
      </c>
      <c r="G361" s="699" t="s">
        <v>3902</v>
      </c>
      <c r="H361" s="699" t="s">
        <v>3903</v>
      </c>
      <c r="I361" s="711">
        <v>49.973333333333329</v>
      </c>
      <c r="J361" s="711">
        <v>30</v>
      </c>
      <c r="K361" s="712">
        <v>1499.15</v>
      </c>
    </row>
    <row r="362" spans="1:11" ht="14.4" customHeight="1" x14ac:dyDescent="0.3">
      <c r="A362" s="695" t="s">
        <v>545</v>
      </c>
      <c r="B362" s="696" t="s">
        <v>1978</v>
      </c>
      <c r="C362" s="699" t="s">
        <v>558</v>
      </c>
      <c r="D362" s="720" t="s">
        <v>1981</v>
      </c>
      <c r="E362" s="699" t="s">
        <v>4057</v>
      </c>
      <c r="F362" s="720" t="s">
        <v>4058</v>
      </c>
      <c r="G362" s="699" t="s">
        <v>3904</v>
      </c>
      <c r="H362" s="699" t="s">
        <v>3905</v>
      </c>
      <c r="I362" s="711">
        <v>49.97</v>
      </c>
      <c r="J362" s="711">
        <v>25</v>
      </c>
      <c r="K362" s="712">
        <v>1249.25</v>
      </c>
    </row>
    <row r="363" spans="1:11" ht="14.4" customHeight="1" x14ac:dyDescent="0.3">
      <c r="A363" s="695" t="s">
        <v>545</v>
      </c>
      <c r="B363" s="696" t="s">
        <v>1978</v>
      </c>
      <c r="C363" s="699" t="s">
        <v>558</v>
      </c>
      <c r="D363" s="720" t="s">
        <v>1981</v>
      </c>
      <c r="E363" s="699" t="s">
        <v>4057</v>
      </c>
      <c r="F363" s="720" t="s">
        <v>4058</v>
      </c>
      <c r="G363" s="699" t="s">
        <v>3906</v>
      </c>
      <c r="H363" s="699" t="s">
        <v>3907</v>
      </c>
      <c r="I363" s="711">
        <v>49.97</v>
      </c>
      <c r="J363" s="711">
        <v>10</v>
      </c>
      <c r="K363" s="712">
        <v>499.7</v>
      </c>
    </row>
    <row r="364" spans="1:11" ht="14.4" customHeight="1" x14ac:dyDescent="0.3">
      <c r="A364" s="695" t="s">
        <v>545</v>
      </c>
      <c r="B364" s="696" t="s">
        <v>1978</v>
      </c>
      <c r="C364" s="699" t="s">
        <v>558</v>
      </c>
      <c r="D364" s="720" t="s">
        <v>1981</v>
      </c>
      <c r="E364" s="699" t="s">
        <v>4057</v>
      </c>
      <c r="F364" s="720" t="s">
        <v>4058</v>
      </c>
      <c r="G364" s="699" t="s">
        <v>3908</v>
      </c>
      <c r="H364" s="699" t="s">
        <v>3909</v>
      </c>
      <c r="I364" s="711">
        <v>9.44</v>
      </c>
      <c r="J364" s="711">
        <v>5</v>
      </c>
      <c r="K364" s="712">
        <v>47.2</v>
      </c>
    </row>
    <row r="365" spans="1:11" ht="14.4" customHeight="1" x14ac:dyDescent="0.3">
      <c r="A365" s="695" t="s">
        <v>545</v>
      </c>
      <c r="B365" s="696" t="s">
        <v>1978</v>
      </c>
      <c r="C365" s="699" t="s">
        <v>558</v>
      </c>
      <c r="D365" s="720" t="s">
        <v>1981</v>
      </c>
      <c r="E365" s="699" t="s">
        <v>4057</v>
      </c>
      <c r="F365" s="720" t="s">
        <v>4058</v>
      </c>
      <c r="G365" s="699" t="s">
        <v>3910</v>
      </c>
      <c r="H365" s="699" t="s">
        <v>3911</v>
      </c>
      <c r="I365" s="711">
        <v>13.32</v>
      </c>
      <c r="J365" s="711">
        <v>10</v>
      </c>
      <c r="K365" s="712">
        <v>133.19999999999999</v>
      </c>
    </row>
    <row r="366" spans="1:11" ht="14.4" customHeight="1" x14ac:dyDescent="0.3">
      <c r="A366" s="695" t="s">
        <v>545</v>
      </c>
      <c r="B366" s="696" t="s">
        <v>1978</v>
      </c>
      <c r="C366" s="699" t="s">
        <v>558</v>
      </c>
      <c r="D366" s="720" t="s">
        <v>1981</v>
      </c>
      <c r="E366" s="699" t="s">
        <v>4057</v>
      </c>
      <c r="F366" s="720" t="s">
        <v>4058</v>
      </c>
      <c r="G366" s="699" t="s">
        <v>3912</v>
      </c>
      <c r="H366" s="699" t="s">
        <v>3913</v>
      </c>
      <c r="I366" s="711">
        <v>13.315000000000001</v>
      </c>
      <c r="J366" s="711">
        <v>15</v>
      </c>
      <c r="K366" s="712">
        <v>199.75</v>
      </c>
    </row>
    <row r="367" spans="1:11" ht="14.4" customHeight="1" x14ac:dyDescent="0.3">
      <c r="A367" s="695" t="s">
        <v>545</v>
      </c>
      <c r="B367" s="696" t="s">
        <v>1978</v>
      </c>
      <c r="C367" s="699" t="s">
        <v>558</v>
      </c>
      <c r="D367" s="720" t="s">
        <v>1981</v>
      </c>
      <c r="E367" s="699" t="s">
        <v>4057</v>
      </c>
      <c r="F367" s="720" t="s">
        <v>4058</v>
      </c>
      <c r="G367" s="699" t="s">
        <v>3914</v>
      </c>
      <c r="H367" s="699" t="s">
        <v>3915</v>
      </c>
      <c r="I367" s="711">
        <v>24.199999999999996</v>
      </c>
      <c r="J367" s="711">
        <v>700</v>
      </c>
      <c r="K367" s="712">
        <v>16940</v>
      </c>
    </row>
    <row r="368" spans="1:11" ht="14.4" customHeight="1" x14ac:dyDescent="0.3">
      <c r="A368" s="695" t="s">
        <v>545</v>
      </c>
      <c r="B368" s="696" t="s">
        <v>1978</v>
      </c>
      <c r="C368" s="699" t="s">
        <v>558</v>
      </c>
      <c r="D368" s="720" t="s">
        <v>1981</v>
      </c>
      <c r="E368" s="699" t="s">
        <v>4057</v>
      </c>
      <c r="F368" s="720" t="s">
        <v>4058</v>
      </c>
      <c r="G368" s="699" t="s">
        <v>3916</v>
      </c>
      <c r="H368" s="699" t="s">
        <v>3917</v>
      </c>
      <c r="I368" s="711">
        <v>24.199999999999992</v>
      </c>
      <c r="J368" s="711">
        <v>1750</v>
      </c>
      <c r="K368" s="712">
        <v>42350</v>
      </c>
    </row>
    <row r="369" spans="1:11" ht="14.4" customHeight="1" x14ac:dyDescent="0.3">
      <c r="A369" s="695" t="s">
        <v>545</v>
      </c>
      <c r="B369" s="696" t="s">
        <v>1978</v>
      </c>
      <c r="C369" s="699" t="s">
        <v>558</v>
      </c>
      <c r="D369" s="720" t="s">
        <v>1981</v>
      </c>
      <c r="E369" s="699" t="s">
        <v>4057</v>
      </c>
      <c r="F369" s="720" t="s">
        <v>4058</v>
      </c>
      <c r="G369" s="699" t="s">
        <v>3918</v>
      </c>
      <c r="H369" s="699" t="s">
        <v>3919</v>
      </c>
      <c r="I369" s="711">
        <v>24.2</v>
      </c>
      <c r="J369" s="711">
        <v>300</v>
      </c>
      <c r="K369" s="712">
        <v>7260</v>
      </c>
    </row>
    <row r="370" spans="1:11" ht="14.4" customHeight="1" x14ac:dyDescent="0.3">
      <c r="A370" s="695" t="s">
        <v>545</v>
      </c>
      <c r="B370" s="696" t="s">
        <v>1978</v>
      </c>
      <c r="C370" s="699" t="s">
        <v>558</v>
      </c>
      <c r="D370" s="720" t="s">
        <v>1981</v>
      </c>
      <c r="E370" s="699" t="s">
        <v>4057</v>
      </c>
      <c r="F370" s="720" t="s">
        <v>4058</v>
      </c>
      <c r="G370" s="699" t="s">
        <v>3920</v>
      </c>
      <c r="H370" s="699" t="s">
        <v>3921</v>
      </c>
      <c r="I370" s="711">
        <v>72.150000000000006</v>
      </c>
      <c r="J370" s="711">
        <v>25</v>
      </c>
      <c r="K370" s="712">
        <v>1803.81</v>
      </c>
    </row>
    <row r="371" spans="1:11" ht="14.4" customHeight="1" x14ac:dyDescent="0.3">
      <c r="A371" s="695" t="s">
        <v>545</v>
      </c>
      <c r="B371" s="696" t="s">
        <v>1978</v>
      </c>
      <c r="C371" s="699" t="s">
        <v>558</v>
      </c>
      <c r="D371" s="720" t="s">
        <v>1981</v>
      </c>
      <c r="E371" s="699" t="s">
        <v>4057</v>
      </c>
      <c r="F371" s="720" t="s">
        <v>4058</v>
      </c>
      <c r="G371" s="699" t="s">
        <v>3922</v>
      </c>
      <c r="H371" s="699" t="s">
        <v>3923</v>
      </c>
      <c r="I371" s="711">
        <v>13.31</v>
      </c>
      <c r="J371" s="711">
        <v>5</v>
      </c>
      <c r="K371" s="712">
        <v>66.55</v>
      </c>
    </row>
    <row r="372" spans="1:11" ht="14.4" customHeight="1" x14ac:dyDescent="0.3">
      <c r="A372" s="695" t="s">
        <v>545</v>
      </c>
      <c r="B372" s="696" t="s">
        <v>1978</v>
      </c>
      <c r="C372" s="699" t="s">
        <v>558</v>
      </c>
      <c r="D372" s="720" t="s">
        <v>1981</v>
      </c>
      <c r="E372" s="699" t="s">
        <v>4057</v>
      </c>
      <c r="F372" s="720" t="s">
        <v>4058</v>
      </c>
      <c r="G372" s="699" t="s">
        <v>3924</v>
      </c>
      <c r="H372" s="699" t="s">
        <v>3925</v>
      </c>
      <c r="I372" s="711">
        <v>197.96</v>
      </c>
      <c r="J372" s="711">
        <v>10</v>
      </c>
      <c r="K372" s="712">
        <v>1979.6</v>
      </c>
    </row>
    <row r="373" spans="1:11" ht="14.4" customHeight="1" x14ac:dyDescent="0.3">
      <c r="A373" s="695" t="s">
        <v>545</v>
      </c>
      <c r="B373" s="696" t="s">
        <v>1978</v>
      </c>
      <c r="C373" s="699" t="s">
        <v>558</v>
      </c>
      <c r="D373" s="720" t="s">
        <v>1981</v>
      </c>
      <c r="E373" s="699" t="s">
        <v>4057</v>
      </c>
      <c r="F373" s="720" t="s">
        <v>4058</v>
      </c>
      <c r="G373" s="699" t="s">
        <v>3926</v>
      </c>
      <c r="H373" s="699" t="s">
        <v>3927</v>
      </c>
      <c r="I373" s="711">
        <v>9.44</v>
      </c>
      <c r="J373" s="711">
        <v>10</v>
      </c>
      <c r="K373" s="712">
        <v>94.4</v>
      </c>
    </row>
    <row r="374" spans="1:11" ht="14.4" customHeight="1" x14ac:dyDescent="0.3">
      <c r="A374" s="695" t="s">
        <v>545</v>
      </c>
      <c r="B374" s="696" t="s">
        <v>1978</v>
      </c>
      <c r="C374" s="699" t="s">
        <v>558</v>
      </c>
      <c r="D374" s="720" t="s">
        <v>1981</v>
      </c>
      <c r="E374" s="699" t="s">
        <v>4057</v>
      </c>
      <c r="F374" s="720" t="s">
        <v>4058</v>
      </c>
      <c r="G374" s="699" t="s">
        <v>3928</v>
      </c>
      <c r="H374" s="699" t="s">
        <v>3929</v>
      </c>
      <c r="I374" s="711">
        <v>77.44</v>
      </c>
      <c r="J374" s="711">
        <v>10</v>
      </c>
      <c r="K374" s="712">
        <v>774.4</v>
      </c>
    </row>
    <row r="375" spans="1:11" ht="14.4" customHeight="1" x14ac:dyDescent="0.3">
      <c r="A375" s="695" t="s">
        <v>545</v>
      </c>
      <c r="B375" s="696" t="s">
        <v>1978</v>
      </c>
      <c r="C375" s="699" t="s">
        <v>558</v>
      </c>
      <c r="D375" s="720" t="s">
        <v>1981</v>
      </c>
      <c r="E375" s="699" t="s">
        <v>4057</v>
      </c>
      <c r="F375" s="720" t="s">
        <v>4058</v>
      </c>
      <c r="G375" s="699" t="s">
        <v>3930</v>
      </c>
      <c r="H375" s="699" t="s">
        <v>3931</v>
      </c>
      <c r="I375" s="711">
        <v>105.03</v>
      </c>
      <c r="J375" s="711">
        <v>20</v>
      </c>
      <c r="K375" s="712">
        <v>2100.58</v>
      </c>
    </row>
    <row r="376" spans="1:11" ht="14.4" customHeight="1" x14ac:dyDescent="0.3">
      <c r="A376" s="695" t="s">
        <v>545</v>
      </c>
      <c r="B376" s="696" t="s">
        <v>1978</v>
      </c>
      <c r="C376" s="699" t="s">
        <v>558</v>
      </c>
      <c r="D376" s="720" t="s">
        <v>1981</v>
      </c>
      <c r="E376" s="699" t="s">
        <v>4057</v>
      </c>
      <c r="F376" s="720" t="s">
        <v>4058</v>
      </c>
      <c r="G376" s="699" t="s">
        <v>3932</v>
      </c>
      <c r="H376" s="699" t="s">
        <v>3933</v>
      </c>
      <c r="I376" s="711">
        <v>105.03</v>
      </c>
      <c r="J376" s="711">
        <v>10</v>
      </c>
      <c r="K376" s="712">
        <v>1050.28</v>
      </c>
    </row>
    <row r="377" spans="1:11" ht="14.4" customHeight="1" x14ac:dyDescent="0.3">
      <c r="A377" s="695" t="s">
        <v>545</v>
      </c>
      <c r="B377" s="696" t="s">
        <v>1978</v>
      </c>
      <c r="C377" s="699" t="s">
        <v>558</v>
      </c>
      <c r="D377" s="720" t="s">
        <v>1981</v>
      </c>
      <c r="E377" s="699" t="s">
        <v>4057</v>
      </c>
      <c r="F377" s="720" t="s">
        <v>4058</v>
      </c>
      <c r="G377" s="699" t="s">
        <v>3934</v>
      </c>
      <c r="H377" s="699" t="s">
        <v>3935</v>
      </c>
      <c r="I377" s="711">
        <v>197.96</v>
      </c>
      <c r="J377" s="711">
        <v>30</v>
      </c>
      <c r="K377" s="712">
        <v>5938.76</v>
      </c>
    </row>
    <row r="378" spans="1:11" ht="14.4" customHeight="1" x14ac:dyDescent="0.3">
      <c r="A378" s="695" t="s">
        <v>545</v>
      </c>
      <c r="B378" s="696" t="s">
        <v>1978</v>
      </c>
      <c r="C378" s="699" t="s">
        <v>558</v>
      </c>
      <c r="D378" s="720" t="s">
        <v>1981</v>
      </c>
      <c r="E378" s="699" t="s">
        <v>4057</v>
      </c>
      <c r="F378" s="720" t="s">
        <v>4058</v>
      </c>
      <c r="G378" s="699" t="s">
        <v>3936</v>
      </c>
      <c r="H378" s="699" t="s">
        <v>3937</v>
      </c>
      <c r="I378" s="711">
        <v>21.02</v>
      </c>
      <c r="J378" s="711">
        <v>50</v>
      </c>
      <c r="K378" s="712">
        <v>1050.8900000000001</v>
      </c>
    </row>
    <row r="379" spans="1:11" ht="14.4" customHeight="1" x14ac:dyDescent="0.3">
      <c r="A379" s="695" t="s">
        <v>545</v>
      </c>
      <c r="B379" s="696" t="s">
        <v>1978</v>
      </c>
      <c r="C379" s="699" t="s">
        <v>558</v>
      </c>
      <c r="D379" s="720" t="s">
        <v>1981</v>
      </c>
      <c r="E379" s="699" t="s">
        <v>4057</v>
      </c>
      <c r="F379" s="720" t="s">
        <v>4058</v>
      </c>
      <c r="G379" s="699" t="s">
        <v>3938</v>
      </c>
      <c r="H379" s="699" t="s">
        <v>3939</v>
      </c>
      <c r="I379" s="711">
        <v>2.6033333333333335</v>
      </c>
      <c r="J379" s="711">
        <v>110</v>
      </c>
      <c r="K379" s="712">
        <v>286.5</v>
      </c>
    </row>
    <row r="380" spans="1:11" ht="14.4" customHeight="1" x14ac:dyDescent="0.3">
      <c r="A380" s="695" t="s">
        <v>545</v>
      </c>
      <c r="B380" s="696" t="s">
        <v>1978</v>
      </c>
      <c r="C380" s="699" t="s">
        <v>558</v>
      </c>
      <c r="D380" s="720" t="s">
        <v>1981</v>
      </c>
      <c r="E380" s="699" t="s">
        <v>4057</v>
      </c>
      <c r="F380" s="720" t="s">
        <v>4058</v>
      </c>
      <c r="G380" s="699" t="s">
        <v>3940</v>
      </c>
      <c r="H380" s="699" t="s">
        <v>3941</v>
      </c>
      <c r="I380" s="711">
        <v>17.329999999999998</v>
      </c>
      <c r="J380" s="711">
        <v>50</v>
      </c>
      <c r="K380" s="712">
        <v>866.5</v>
      </c>
    </row>
    <row r="381" spans="1:11" ht="14.4" customHeight="1" x14ac:dyDescent="0.3">
      <c r="A381" s="695" t="s">
        <v>545</v>
      </c>
      <c r="B381" s="696" t="s">
        <v>1978</v>
      </c>
      <c r="C381" s="699" t="s">
        <v>558</v>
      </c>
      <c r="D381" s="720" t="s">
        <v>1981</v>
      </c>
      <c r="E381" s="699" t="s">
        <v>4057</v>
      </c>
      <c r="F381" s="720" t="s">
        <v>4058</v>
      </c>
      <c r="G381" s="699" t="s">
        <v>3658</v>
      </c>
      <c r="H381" s="699" t="s">
        <v>3659</v>
      </c>
      <c r="I381" s="711">
        <v>8.4700000000000006</v>
      </c>
      <c r="J381" s="711">
        <v>200</v>
      </c>
      <c r="K381" s="712">
        <v>1694</v>
      </c>
    </row>
    <row r="382" spans="1:11" ht="14.4" customHeight="1" x14ac:dyDescent="0.3">
      <c r="A382" s="695" t="s">
        <v>545</v>
      </c>
      <c r="B382" s="696" t="s">
        <v>1978</v>
      </c>
      <c r="C382" s="699" t="s">
        <v>558</v>
      </c>
      <c r="D382" s="720" t="s">
        <v>1981</v>
      </c>
      <c r="E382" s="699" t="s">
        <v>4057</v>
      </c>
      <c r="F382" s="720" t="s">
        <v>4058</v>
      </c>
      <c r="G382" s="699" t="s">
        <v>3942</v>
      </c>
      <c r="H382" s="699" t="s">
        <v>3943</v>
      </c>
      <c r="I382" s="711">
        <v>198.98</v>
      </c>
      <c r="J382" s="711">
        <v>10</v>
      </c>
      <c r="K382" s="712">
        <v>1989.8</v>
      </c>
    </row>
    <row r="383" spans="1:11" ht="14.4" customHeight="1" x14ac:dyDescent="0.3">
      <c r="A383" s="695" t="s">
        <v>545</v>
      </c>
      <c r="B383" s="696" t="s">
        <v>1978</v>
      </c>
      <c r="C383" s="699" t="s">
        <v>558</v>
      </c>
      <c r="D383" s="720" t="s">
        <v>1981</v>
      </c>
      <c r="E383" s="699" t="s">
        <v>4057</v>
      </c>
      <c r="F383" s="720" t="s">
        <v>4058</v>
      </c>
      <c r="G383" s="699" t="s">
        <v>3944</v>
      </c>
      <c r="H383" s="699" t="s">
        <v>3945</v>
      </c>
      <c r="I383" s="711">
        <v>9.44</v>
      </c>
      <c r="J383" s="711">
        <v>10</v>
      </c>
      <c r="K383" s="712">
        <v>94.4</v>
      </c>
    </row>
    <row r="384" spans="1:11" ht="14.4" customHeight="1" x14ac:dyDescent="0.3">
      <c r="A384" s="695" t="s">
        <v>545</v>
      </c>
      <c r="B384" s="696" t="s">
        <v>1978</v>
      </c>
      <c r="C384" s="699" t="s">
        <v>558</v>
      </c>
      <c r="D384" s="720" t="s">
        <v>1981</v>
      </c>
      <c r="E384" s="699" t="s">
        <v>4057</v>
      </c>
      <c r="F384" s="720" t="s">
        <v>4058</v>
      </c>
      <c r="G384" s="699" t="s">
        <v>3946</v>
      </c>
      <c r="H384" s="699" t="s">
        <v>3947</v>
      </c>
      <c r="I384" s="711">
        <v>30.25</v>
      </c>
      <c r="J384" s="711">
        <v>10</v>
      </c>
      <c r="K384" s="712">
        <v>302.5</v>
      </c>
    </row>
    <row r="385" spans="1:11" ht="14.4" customHeight="1" x14ac:dyDescent="0.3">
      <c r="A385" s="695" t="s">
        <v>545</v>
      </c>
      <c r="B385" s="696" t="s">
        <v>1978</v>
      </c>
      <c r="C385" s="699" t="s">
        <v>558</v>
      </c>
      <c r="D385" s="720" t="s">
        <v>1981</v>
      </c>
      <c r="E385" s="699" t="s">
        <v>4057</v>
      </c>
      <c r="F385" s="720" t="s">
        <v>4058</v>
      </c>
      <c r="G385" s="699" t="s">
        <v>3948</v>
      </c>
      <c r="H385" s="699" t="s">
        <v>3949</v>
      </c>
      <c r="I385" s="711">
        <v>197.96</v>
      </c>
      <c r="J385" s="711">
        <v>20</v>
      </c>
      <c r="K385" s="712">
        <v>3959.2</v>
      </c>
    </row>
    <row r="386" spans="1:11" ht="14.4" customHeight="1" x14ac:dyDescent="0.3">
      <c r="A386" s="695" t="s">
        <v>545</v>
      </c>
      <c r="B386" s="696" t="s">
        <v>1978</v>
      </c>
      <c r="C386" s="699" t="s">
        <v>558</v>
      </c>
      <c r="D386" s="720" t="s">
        <v>1981</v>
      </c>
      <c r="E386" s="699" t="s">
        <v>4057</v>
      </c>
      <c r="F386" s="720" t="s">
        <v>4058</v>
      </c>
      <c r="G386" s="699" t="s">
        <v>3950</v>
      </c>
      <c r="H386" s="699" t="s">
        <v>3951</v>
      </c>
      <c r="I386" s="711">
        <v>24.2</v>
      </c>
      <c r="J386" s="711">
        <v>50</v>
      </c>
      <c r="K386" s="712">
        <v>1210</v>
      </c>
    </row>
    <row r="387" spans="1:11" ht="14.4" customHeight="1" x14ac:dyDescent="0.3">
      <c r="A387" s="695" t="s">
        <v>545</v>
      </c>
      <c r="B387" s="696" t="s">
        <v>1978</v>
      </c>
      <c r="C387" s="699" t="s">
        <v>558</v>
      </c>
      <c r="D387" s="720" t="s">
        <v>1981</v>
      </c>
      <c r="E387" s="699" t="s">
        <v>4057</v>
      </c>
      <c r="F387" s="720" t="s">
        <v>4058</v>
      </c>
      <c r="G387" s="699" t="s">
        <v>3952</v>
      </c>
      <c r="H387" s="699" t="s">
        <v>3953</v>
      </c>
      <c r="I387" s="711">
        <v>101.64</v>
      </c>
      <c r="J387" s="711">
        <v>10</v>
      </c>
      <c r="K387" s="712">
        <v>1016.4</v>
      </c>
    </row>
    <row r="388" spans="1:11" ht="14.4" customHeight="1" x14ac:dyDescent="0.3">
      <c r="A388" s="695" t="s">
        <v>545</v>
      </c>
      <c r="B388" s="696" t="s">
        <v>1978</v>
      </c>
      <c r="C388" s="699" t="s">
        <v>558</v>
      </c>
      <c r="D388" s="720" t="s">
        <v>1981</v>
      </c>
      <c r="E388" s="699" t="s">
        <v>4057</v>
      </c>
      <c r="F388" s="720" t="s">
        <v>4058</v>
      </c>
      <c r="G388" s="699" t="s">
        <v>3954</v>
      </c>
      <c r="H388" s="699" t="s">
        <v>3955</v>
      </c>
      <c r="I388" s="711">
        <v>9.43</v>
      </c>
      <c r="J388" s="711">
        <v>10</v>
      </c>
      <c r="K388" s="712">
        <v>94.3</v>
      </c>
    </row>
    <row r="389" spans="1:11" ht="14.4" customHeight="1" x14ac:dyDescent="0.3">
      <c r="A389" s="695" t="s">
        <v>545</v>
      </c>
      <c r="B389" s="696" t="s">
        <v>1978</v>
      </c>
      <c r="C389" s="699" t="s">
        <v>558</v>
      </c>
      <c r="D389" s="720" t="s">
        <v>1981</v>
      </c>
      <c r="E389" s="699" t="s">
        <v>4057</v>
      </c>
      <c r="F389" s="720" t="s">
        <v>4058</v>
      </c>
      <c r="G389" s="699" t="s">
        <v>3956</v>
      </c>
      <c r="H389" s="699" t="s">
        <v>3957</v>
      </c>
      <c r="I389" s="711">
        <v>13.31</v>
      </c>
      <c r="J389" s="711">
        <v>10</v>
      </c>
      <c r="K389" s="712">
        <v>133.1</v>
      </c>
    </row>
    <row r="390" spans="1:11" ht="14.4" customHeight="1" x14ac:dyDescent="0.3">
      <c r="A390" s="695" t="s">
        <v>545</v>
      </c>
      <c r="B390" s="696" t="s">
        <v>1978</v>
      </c>
      <c r="C390" s="699" t="s">
        <v>558</v>
      </c>
      <c r="D390" s="720" t="s">
        <v>1981</v>
      </c>
      <c r="E390" s="699" t="s">
        <v>4057</v>
      </c>
      <c r="F390" s="720" t="s">
        <v>4058</v>
      </c>
      <c r="G390" s="699" t="s">
        <v>3958</v>
      </c>
      <c r="H390" s="699" t="s">
        <v>3959</v>
      </c>
      <c r="I390" s="711">
        <v>26.4</v>
      </c>
      <c r="J390" s="711">
        <v>10</v>
      </c>
      <c r="K390" s="712">
        <v>264.02</v>
      </c>
    </row>
    <row r="391" spans="1:11" ht="14.4" customHeight="1" x14ac:dyDescent="0.3">
      <c r="A391" s="695" t="s">
        <v>545</v>
      </c>
      <c r="B391" s="696" t="s">
        <v>1978</v>
      </c>
      <c r="C391" s="699" t="s">
        <v>558</v>
      </c>
      <c r="D391" s="720" t="s">
        <v>1981</v>
      </c>
      <c r="E391" s="699" t="s">
        <v>4057</v>
      </c>
      <c r="F391" s="720" t="s">
        <v>4058</v>
      </c>
      <c r="G391" s="699" t="s">
        <v>3690</v>
      </c>
      <c r="H391" s="699" t="s">
        <v>3691</v>
      </c>
      <c r="I391" s="711">
        <v>56.51</v>
      </c>
      <c r="J391" s="711">
        <v>18</v>
      </c>
      <c r="K391" s="712">
        <v>1017.18</v>
      </c>
    </row>
    <row r="392" spans="1:11" ht="14.4" customHeight="1" x14ac:dyDescent="0.3">
      <c r="A392" s="695" t="s">
        <v>545</v>
      </c>
      <c r="B392" s="696" t="s">
        <v>1978</v>
      </c>
      <c r="C392" s="699" t="s">
        <v>558</v>
      </c>
      <c r="D392" s="720" t="s">
        <v>1981</v>
      </c>
      <c r="E392" s="699" t="s">
        <v>4057</v>
      </c>
      <c r="F392" s="720" t="s">
        <v>4058</v>
      </c>
      <c r="G392" s="699" t="s">
        <v>3960</v>
      </c>
      <c r="H392" s="699" t="s">
        <v>3961</v>
      </c>
      <c r="I392" s="711">
        <v>66.209999999999994</v>
      </c>
      <c r="J392" s="711">
        <v>50</v>
      </c>
      <c r="K392" s="712">
        <v>3310.5</v>
      </c>
    </row>
    <row r="393" spans="1:11" ht="14.4" customHeight="1" x14ac:dyDescent="0.3">
      <c r="A393" s="695" t="s">
        <v>545</v>
      </c>
      <c r="B393" s="696" t="s">
        <v>1978</v>
      </c>
      <c r="C393" s="699" t="s">
        <v>558</v>
      </c>
      <c r="D393" s="720" t="s">
        <v>1981</v>
      </c>
      <c r="E393" s="699" t="s">
        <v>4069</v>
      </c>
      <c r="F393" s="720" t="s">
        <v>4070</v>
      </c>
      <c r="G393" s="699" t="s">
        <v>3962</v>
      </c>
      <c r="H393" s="699" t="s">
        <v>3963</v>
      </c>
      <c r="I393" s="711">
        <v>8.1666666666666679</v>
      </c>
      <c r="J393" s="711">
        <v>2600</v>
      </c>
      <c r="K393" s="712">
        <v>21235</v>
      </c>
    </row>
    <row r="394" spans="1:11" ht="14.4" customHeight="1" x14ac:dyDescent="0.3">
      <c r="A394" s="695" t="s">
        <v>545</v>
      </c>
      <c r="B394" s="696" t="s">
        <v>1978</v>
      </c>
      <c r="C394" s="699" t="s">
        <v>558</v>
      </c>
      <c r="D394" s="720" t="s">
        <v>1981</v>
      </c>
      <c r="E394" s="699" t="s">
        <v>4069</v>
      </c>
      <c r="F394" s="720" t="s">
        <v>4070</v>
      </c>
      <c r="G394" s="699" t="s">
        <v>3962</v>
      </c>
      <c r="H394" s="699" t="s">
        <v>3964</v>
      </c>
      <c r="I394" s="711">
        <v>8.1660000000000004</v>
      </c>
      <c r="J394" s="711">
        <v>1780</v>
      </c>
      <c r="K394" s="712">
        <v>14535.8</v>
      </c>
    </row>
    <row r="395" spans="1:11" ht="14.4" customHeight="1" x14ac:dyDescent="0.3">
      <c r="A395" s="695" t="s">
        <v>545</v>
      </c>
      <c r="B395" s="696" t="s">
        <v>1978</v>
      </c>
      <c r="C395" s="699" t="s">
        <v>558</v>
      </c>
      <c r="D395" s="720" t="s">
        <v>1981</v>
      </c>
      <c r="E395" s="699" t="s">
        <v>4069</v>
      </c>
      <c r="F395" s="720" t="s">
        <v>4070</v>
      </c>
      <c r="G395" s="699" t="s">
        <v>3716</v>
      </c>
      <c r="H395" s="699" t="s">
        <v>3717</v>
      </c>
      <c r="I395" s="711">
        <v>12.706666666666669</v>
      </c>
      <c r="J395" s="711">
        <v>260</v>
      </c>
      <c r="K395" s="712">
        <v>3303.8</v>
      </c>
    </row>
    <row r="396" spans="1:11" ht="14.4" customHeight="1" x14ac:dyDescent="0.3">
      <c r="A396" s="695" t="s">
        <v>545</v>
      </c>
      <c r="B396" s="696" t="s">
        <v>1978</v>
      </c>
      <c r="C396" s="699" t="s">
        <v>558</v>
      </c>
      <c r="D396" s="720" t="s">
        <v>1981</v>
      </c>
      <c r="E396" s="699" t="s">
        <v>4059</v>
      </c>
      <c r="F396" s="720" t="s">
        <v>4060</v>
      </c>
      <c r="G396" s="699" t="s">
        <v>3320</v>
      </c>
      <c r="H396" s="699" t="s">
        <v>3321</v>
      </c>
      <c r="I396" s="711">
        <v>180.44</v>
      </c>
      <c r="J396" s="711">
        <v>25</v>
      </c>
      <c r="K396" s="712">
        <v>4511</v>
      </c>
    </row>
    <row r="397" spans="1:11" ht="14.4" customHeight="1" x14ac:dyDescent="0.3">
      <c r="A397" s="695" t="s">
        <v>545</v>
      </c>
      <c r="B397" s="696" t="s">
        <v>1978</v>
      </c>
      <c r="C397" s="699" t="s">
        <v>558</v>
      </c>
      <c r="D397" s="720" t="s">
        <v>1981</v>
      </c>
      <c r="E397" s="699" t="s">
        <v>4059</v>
      </c>
      <c r="F397" s="720" t="s">
        <v>4060</v>
      </c>
      <c r="G397" s="699" t="s">
        <v>3741</v>
      </c>
      <c r="H397" s="699" t="s">
        <v>3742</v>
      </c>
      <c r="I397" s="711">
        <v>0.30444444444444435</v>
      </c>
      <c r="J397" s="711">
        <v>3600</v>
      </c>
      <c r="K397" s="712">
        <v>1096</v>
      </c>
    </row>
    <row r="398" spans="1:11" ht="14.4" customHeight="1" x14ac:dyDescent="0.3">
      <c r="A398" s="695" t="s">
        <v>545</v>
      </c>
      <c r="B398" s="696" t="s">
        <v>1978</v>
      </c>
      <c r="C398" s="699" t="s">
        <v>558</v>
      </c>
      <c r="D398" s="720" t="s">
        <v>1981</v>
      </c>
      <c r="E398" s="699" t="s">
        <v>4059</v>
      </c>
      <c r="F398" s="720" t="s">
        <v>4060</v>
      </c>
      <c r="G398" s="699" t="s">
        <v>3322</v>
      </c>
      <c r="H398" s="699" t="s">
        <v>3323</v>
      </c>
      <c r="I398" s="711">
        <v>0.30636363636363639</v>
      </c>
      <c r="J398" s="711">
        <v>2100</v>
      </c>
      <c r="K398" s="712">
        <v>644</v>
      </c>
    </row>
    <row r="399" spans="1:11" ht="14.4" customHeight="1" x14ac:dyDescent="0.3">
      <c r="A399" s="695" t="s">
        <v>545</v>
      </c>
      <c r="B399" s="696" t="s">
        <v>1978</v>
      </c>
      <c r="C399" s="699" t="s">
        <v>558</v>
      </c>
      <c r="D399" s="720" t="s">
        <v>1981</v>
      </c>
      <c r="E399" s="699" t="s">
        <v>4059</v>
      </c>
      <c r="F399" s="720" t="s">
        <v>4060</v>
      </c>
      <c r="G399" s="699" t="s">
        <v>3965</v>
      </c>
      <c r="H399" s="699" t="s">
        <v>3966</v>
      </c>
      <c r="I399" s="711">
        <v>48.82</v>
      </c>
      <c r="J399" s="711">
        <v>50</v>
      </c>
      <c r="K399" s="712">
        <v>2441.09</v>
      </c>
    </row>
    <row r="400" spans="1:11" ht="14.4" customHeight="1" x14ac:dyDescent="0.3">
      <c r="A400" s="695" t="s">
        <v>545</v>
      </c>
      <c r="B400" s="696" t="s">
        <v>1978</v>
      </c>
      <c r="C400" s="699" t="s">
        <v>558</v>
      </c>
      <c r="D400" s="720" t="s">
        <v>1981</v>
      </c>
      <c r="E400" s="699" t="s">
        <v>4059</v>
      </c>
      <c r="F400" s="720" t="s">
        <v>4060</v>
      </c>
      <c r="G400" s="699" t="s">
        <v>3324</v>
      </c>
      <c r="H400" s="699" t="s">
        <v>3325</v>
      </c>
      <c r="I400" s="711">
        <v>0.30499999999999983</v>
      </c>
      <c r="J400" s="711">
        <v>7400</v>
      </c>
      <c r="K400" s="712">
        <v>2253</v>
      </c>
    </row>
    <row r="401" spans="1:11" ht="14.4" customHeight="1" x14ac:dyDescent="0.3">
      <c r="A401" s="695" t="s">
        <v>545</v>
      </c>
      <c r="B401" s="696" t="s">
        <v>1978</v>
      </c>
      <c r="C401" s="699" t="s">
        <v>558</v>
      </c>
      <c r="D401" s="720" t="s">
        <v>1981</v>
      </c>
      <c r="E401" s="699" t="s">
        <v>4059</v>
      </c>
      <c r="F401" s="720" t="s">
        <v>4060</v>
      </c>
      <c r="G401" s="699" t="s">
        <v>3967</v>
      </c>
      <c r="H401" s="699" t="s">
        <v>3968</v>
      </c>
      <c r="I401" s="711">
        <v>48.82</v>
      </c>
      <c r="J401" s="711">
        <v>75</v>
      </c>
      <c r="K401" s="712">
        <v>3661.5</v>
      </c>
    </row>
    <row r="402" spans="1:11" ht="14.4" customHeight="1" x14ac:dyDescent="0.3">
      <c r="A402" s="695" t="s">
        <v>545</v>
      </c>
      <c r="B402" s="696" t="s">
        <v>1978</v>
      </c>
      <c r="C402" s="699" t="s">
        <v>558</v>
      </c>
      <c r="D402" s="720" t="s">
        <v>1981</v>
      </c>
      <c r="E402" s="699" t="s">
        <v>4059</v>
      </c>
      <c r="F402" s="720" t="s">
        <v>4060</v>
      </c>
      <c r="G402" s="699" t="s">
        <v>3969</v>
      </c>
      <c r="H402" s="699" t="s">
        <v>3970</v>
      </c>
      <c r="I402" s="711">
        <v>48.82</v>
      </c>
      <c r="J402" s="711">
        <v>50</v>
      </c>
      <c r="K402" s="712">
        <v>2441.1799999999998</v>
      </c>
    </row>
    <row r="403" spans="1:11" ht="14.4" customHeight="1" x14ac:dyDescent="0.3">
      <c r="A403" s="695" t="s">
        <v>545</v>
      </c>
      <c r="B403" s="696" t="s">
        <v>1978</v>
      </c>
      <c r="C403" s="699" t="s">
        <v>558</v>
      </c>
      <c r="D403" s="720" t="s">
        <v>1981</v>
      </c>
      <c r="E403" s="699" t="s">
        <v>4059</v>
      </c>
      <c r="F403" s="720" t="s">
        <v>4060</v>
      </c>
      <c r="G403" s="699" t="s">
        <v>3971</v>
      </c>
      <c r="H403" s="699" t="s">
        <v>3972</v>
      </c>
      <c r="I403" s="711">
        <v>31.74</v>
      </c>
      <c r="J403" s="711">
        <v>50</v>
      </c>
      <c r="K403" s="712">
        <v>1586.91</v>
      </c>
    </row>
    <row r="404" spans="1:11" ht="14.4" customHeight="1" x14ac:dyDescent="0.3">
      <c r="A404" s="695" t="s">
        <v>545</v>
      </c>
      <c r="B404" s="696" t="s">
        <v>1978</v>
      </c>
      <c r="C404" s="699" t="s">
        <v>558</v>
      </c>
      <c r="D404" s="720" t="s">
        <v>1981</v>
      </c>
      <c r="E404" s="699" t="s">
        <v>4059</v>
      </c>
      <c r="F404" s="720" t="s">
        <v>4060</v>
      </c>
      <c r="G404" s="699" t="s">
        <v>3973</v>
      </c>
      <c r="H404" s="699" t="s">
        <v>3974</v>
      </c>
      <c r="I404" s="711">
        <v>140.11000000000001</v>
      </c>
      <c r="J404" s="711">
        <v>50</v>
      </c>
      <c r="K404" s="712">
        <v>7005.3</v>
      </c>
    </row>
    <row r="405" spans="1:11" ht="14.4" customHeight="1" x14ac:dyDescent="0.3">
      <c r="A405" s="695" t="s">
        <v>545</v>
      </c>
      <c r="B405" s="696" t="s">
        <v>1978</v>
      </c>
      <c r="C405" s="699" t="s">
        <v>558</v>
      </c>
      <c r="D405" s="720" t="s">
        <v>1981</v>
      </c>
      <c r="E405" s="699" t="s">
        <v>4059</v>
      </c>
      <c r="F405" s="720" t="s">
        <v>4060</v>
      </c>
      <c r="G405" s="699" t="s">
        <v>3975</v>
      </c>
      <c r="H405" s="699" t="s">
        <v>3976</v>
      </c>
      <c r="I405" s="711">
        <v>180.44</v>
      </c>
      <c r="J405" s="711">
        <v>50</v>
      </c>
      <c r="K405" s="712">
        <v>9021.76</v>
      </c>
    </row>
    <row r="406" spans="1:11" ht="14.4" customHeight="1" x14ac:dyDescent="0.3">
      <c r="A406" s="695" t="s">
        <v>545</v>
      </c>
      <c r="B406" s="696" t="s">
        <v>1978</v>
      </c>
      <c r="C406" s="699" t="s">
        <v>558</v>
      </c>
      <c r="D406" s="720" t="s">
        <v>1981</v>
      </c>
      <c r="E406" s="699" t="s">
        <v>4059</v>
      </c>
      <c r="F406" s="720" t="s">
        <v>4060</v>
      </c>
      <c r="G406" s="699" t="s">
        <v>3977</v>
      </c>
      <c r="H406" s="699" t="s">
        <v>3978</v>
      </c>
      <c r="I406" s="711">
        <v>48.82</v>
      </c>
      <c r="J406" s="711">
        <v>25</v>
      </c>
      <c r="K406" s="712">
        <v>1220.5899999999999</v>
      </c>
    </row>
    <row r="407" spans="1:11" ht="14.4" customHeight="1" x14ac:dyDescent="0.3">
      <c r="A407" s="695" t="s">
        <v>545</v>
      </c>
      <c r="B407" s="696" t="s">
        <v>1978</v>
      </c>
      <c r="C407" s="699" t="s">
        <v>558</v>
      </c>
      <c r="D407" s="720" t="s">
        <v>1981</v>
      </c>
      <c r="E407" s="699" t="s">
        <v>4059</v>
      </c>
      <c r="F407" s="720" t="s">
        <v>4060</v>
      </c>
      <c r="G407" s="699" t="s">
        <v>3979</v>
      </c>
      <c r="H407" s="699" t="s">
        <v>3980</v>
      </c>
      <c r="I407" s="711">
        <v>121</v>
      </c>
      <c r="J407" s="711">
        <v>25</v>
      </c>
      <c r="K407" s="712">
        <v>3025</v>
      </c>
    </row>
    <row r="408" spans="1:11" ht="14.4" customHeight="1" x14ac:dyDescent="0.3">
      <c r="A408" s="695" t="s">
        <v>545</v>
      </c>
      <c r="B408" s="696" t="s">
        <v>1978</v>
      </c>
      <c r="C408" s="699" t="s">
        <v>558</v>
      </c>
      <c r="D408" s="720" t="s">
        <v>1981</v>
      </c>
      <c r="E408" s="699" t="s">
        <v>4059</v>
      </c>
      <c r="F408" s="720" t="s">
        <v>4060</v>
      </c>
      <c r="G408" s="699" t="s">
        <v>3981</v>
      </c>
      <c r="H408" s="699" t="s">
        <v>3982</v>
      </c>
      <c r="I408" s="711">
        <v>31.74</v>
      </c>
      <c r="J408" s="711">
        <v>25</v>
      </c>
      <c r="K408" s="712">
        <v>793.46</v>
      </c>
    </row>
    <row r="409" spans="1:11" ht="14.4" customHeight="1" x14ac:dyDescent="0.3">
      <c r="A409" s="695" t="s">
        <v>545</v>
      </c>
      <c r="B409" s="696" t="s">
        <v>1978</v>
      </c>
      <c r="C409" s="699" t="s">
        <v>558</v>
      </c>
      <c r="D409" s="720" t="s">
        <v>1981</v>
      </c>
      <c r="E409" s="699" t="s">
        <v>4059</v>
      </c>
      <c r="F409" s="720" t="s">
        <v>4060</v>
      </c>
      <c r="G409" s="699" t="s">
        <v>3983</v>
      </c>
      <c r="H409" s="699" t="s">
        <v>3984</v>
      </c>
      <c r="I409" s="711">
        <v>31.74</v>
      </c>
      <c r="J409" s="711">
        <v>25</v>
      </c>
      <c r="K409" s="712">
        <v>793.46</v>
      </c>
    </row>
    <row r="410" spans="1:11" ht="14.4" customHeight="1" x14ac:dyDescent="0.3">
      <c r="A410" s="695" t="s">
        <v>545</v>
      </c>
      <c r="B410" s="696" t="s">
        <v>1978</v>
      </c>
      <c r="C410" s="699" t="s">
        <v>558</v>
      </c>
      <c r="D410" s="720" t="s">
        <v>1981</v>
      </c>
      <c r="E410" s="699" t="s">
        <v>4061</v>
      </c>
      <c r="F410" s="720" t="s">
        <v>4062</v>
      </c>
      <c r="G410" s="699" t="s">
        <v>3985</v>
      </c>
      <c r="H410" s="699" t="s">
        <v>3986</v>
      </c>
      <c r="I410" s="711">
        <v>1.2193749999999999</v>
      </c>
      <c r="J410" s="711">
        <v>2400</v>
      </c>
      <c r="K410" s="712">
        <v>2924.7799999999997</v>
      </c>
    </row>
    <row r="411" spans="1:11" ht="14.4" customHeight="1" x14ac:dyDescent="0.3">
      <c r="A411" s="695" t="s">
        <v>545</v>
      </c>
      <c r="B411" s="696" t="s">
        <v>1978</v>
      </c>
      <c r="C411" s="699" t="s">
        <v>558</v>
      </c>
      <c r="D411" s="720" t="s">
        <v>1981</v>
      </c>
      <c r="E411" s="699" t="s">
        <v>4061</v>
      </c>
      <c r="F411" s="720" t="s">
        <v>4062</v>
      </c>
      <c r="G411" s="699" t="s">
        <v>3328</v>
      </c>
      <c r="H411" s="699" t="s">
        <v>3329</v>
      </c>
      <c r="I411" s="711">
        <v>0.77411764705882335</v>
      </c>
      <c r="J411" s="711">
        <v>5900</v>
      </c>
      <c r="K411" s="712">
        <v>4572</v>
      </c>
    </row>
    <row r="412" spans="1:11" ht="14.4" customHeight="1" x14ac:dyDescent="0.3">
      <c r="A412" s="695" t="s">
        <v>545</v>
      </c>
      <c r="B412" s="696" t="s">
        <v>1978</v>
      </c>
      <c r="C412" s="699" t="s">
        <v>558</v>
      </c>
      <c r="D412" s="720" t="s">
        <v>1981</v>
      </c>
      <c r="E412" s="699" t="s">
        <v>4061</v>
      </c>
      <c r="F412" s="720" t="s">
        <v>4062</v>
      </c>
      <c r="G412" s="699" t="s">
        <v>3330</v>
      </c>
      <c r="H412" s="699" t="s">
        <v>3331</v>
      </c>
      <c r="I412" s="711">
        <v>0.7727272727272726</v>
      </c>
      <c r="J412" s="711">
        <v>10000</v>
      </c>
      <c r="K412" s="712">
        <v>7735</v>
      </c>
    </row>
    <row r="413" spans="1:11" ht="14.4" customHeight="1" x14ac:dyDescent="0.3">
      <c r="A413" s="695" t="s">
        <v>545</v>
      </c>
      <c r="B413" s="696" t="s">
        <v>1978</v>
      </c>
      <c r="C413" s="699" t="s">
        <v>558</v>
      </c>
      <c r="D413" s="720" t="s">
        <v>1981</v>
      </c>
      <c r="E413" s="699" t="s">
        <v>4061</v>
      </c>
      <c r="F413" s="720" t="s">
        <v>4062</v>
      </c>
      <c r="G413" s="699" t="s">
        <v>3757</v>
      </c>
      <c r="H413" s="699" t="s">
        <v>3758</v>
      </c>
      <c r="I413" s="711">
        <v>0.77500000000000002</v>
      </c>
      <c r="J413" s="711">
        <v>1800</v>
      </c>
      <c r="K413" s="712">
        <v>1395</v>
      </c>
    </row>
    <row r="414" spans="1:11" ht="14.4" customHeight="1" x14ac:dyDescent="0.3">
      <c r="A414" s="695" t="s">
        <v>545</v>
      </c>
      <c r="B414" s="696" t="s">
        <v>1978</v>
      </c>
      <c r="C414" s="699" t="s">
        <v>558</v>
      </c>
      <c r="D414" s="720" t="s">
        <v>1981</v>
      </c>
      <c r="E414" s="699" t="s">
        <v>4061</v>
      </c>
      <c r="F414" s="720" t="s">
        <v>4062</v>
      </c>
      <c r="G414" s="699" t="s">
        <v>3332</v>
      </c>
      <c r="H414" s="699" t="s">
        <v>3333</v>
      </c>
      <c r="I414" s="711">
        <v>0.71</v>
      </c>
      <c r="J414" s="711">
        <v>3200</v>
      </c>
      <c r="K414" s="712">
        <v>2272</v>
      </c>
    </row>
    <row r="415" spans="1:11" ht="14.4" customHeight="1" x14ac:dyDescent="0.3">
      <c r="A415" s="695" t="s">
        <v>545</v>
      </c>
      <c r="B415" s="696" t="s">
        <v>1978</v>
      </c>
      <c r="C415" s="699" t="s">
        <v>558</v>
      </c>
      <c r="D415" s="720" t="s">
        <v>1981</v>
      </c>
      <c r="E415" s="699" t="s">
        <v>4061</v>
      </c>
      <c r="F415" s="720" t="s">
        <v>4062</v>
      </c>
      <c r="G415" s="699" t="s">
        <v>3759</v>
      </c>
      <c r="H415" s="699" t="s">
        <v>3760</v>
      </c>
      <c r="I415" s="711">
        <v>0.71</v>
      </c>
      <c r="J415" s="711">
        <v>400</v>
      </c>
      <c r="K415" s="712">
        <v>284</v>
      </c>
    </row>
    <row r="416" spans="1:11" ht="14.4" customHeight="1" x14ac:dyDescent="0.3">
      <c r="A416" s="695" t="s">
        <v>545</v>
      </c>
      <c r="B416" s="696" t="s">
        <v>1978</v>
      </c>
      <c r="C416" s="699" t="s">
        <v>558</v>
      </c>
      <c r="D416" s="720" t="s">
        <v>1981</v>
      </c>
      <c r="E416" s="699" t="s">
        <v>4061</v>
      </c>
      <c r="F416" s="720" t="s">
        <v>4062</v>
      </c>
      <c r="G416" s="699" t="s">
        <v>3334</v>
      </c>
      <c r="H416" s="699" t="s">
        <v>3335</v>
      </c>
      <c r="I416" s="711">
        <v>0.71</v>
      </c>
      <c r="J416" s="711">
        <v>3000</v>
      </c>
      <c r="K416" s="712">
        <v>2130</v>
      </c>
    </row>
    <row r="417" spans="1:11" ht="14.4" customHeight="1" x14ac:dyDescent="0.3">
      <c r="A417" s="695" t="s">
        <v>545</v>
      </c>
      <c r="B417" s="696" t="s">
        <v>1978</v>
      </c>
      <c r="C417" s="699" t="s">
        <v>558</v>
      </c>
      <c r="D417" s="720" t="s">
        <v>1981</v>
      </c>
      <c r="E417" s="699" t="s">
        <v>4073</v>
      </c>
      <c r="F417" s="720" t="s">
        <v>4074</v>
      </c>
      <c r="G417" s="699" t="s">
        <v>3769</v>
      </c>
      <c r="H417" s="699" t="s">
        <v>3770</v>
      </c>
      <c r="I417" s="711">
        <v>152.46</v>
      </c>
      <c r="J417" s="711">
        <v>9</v>
      </c>
      <c r="K417" s="712">
        <v>1372.14</v>
      </c>
    </row>
    <row r="418" spans="1:11" ht="14.4" customHeight="1" x14ac:dyDescent="0.3">
      <c r="A418" s="695" t="s">
        <v>545</v>
      </c>
      <c r="B418" s="696" t="s">
        <v>1978</v>
      </c>
      <c r="C418" s="699" t="s">
        <v>561</v>
      </c>
      <c r="D418" s="720" t="s">
        <v>1982</v>
      </c>
      <c r="E418" s="699" t="s">
        <v>4055</v>
      </c>
      <c r="F418" s="720" t="s">
        <v>4056</v>
      </c>
      <c r="G418" s="699" t="s">
        <v>3290</v>
      </c>
      <c r="H418" s="699" t="s">
        <v>3291</v>
      </c>
      <c r="I418" s="711">
        <v>34.696666666666665</v>
      </c>
      <c r="J418" s="711">
        <v>36</v>
      </c>
      <c r="K418" s="712">
        <v>1249</v>
      </c>
    </row>
    <row r="419" spans="1:11" ht="14.4" customHeight="1" x14ac:dyDescent="0.3">
      <c r="A419" s="695" t="s">
        <v>545</v>
      </c>
      <c r="B419" s="696" t="s">
        <v>1978</v>
      </c>
      <c r="C419" s="699" t="s">
        <v>561</v>
      </c>
      <c r="D419" s="720" t="s">
        <v>1982</v>
      </c>
      <c r="E419" s="699" t="s">
        <v>4055</v>
      </c>
      <c r="F419" s="720" t="s">
        <v>4056</v>
      </c>
      <c r="G419" s="699" t="s">
        <v>3801</v>
      </c>
      <c r="H419" s="699" t="s">
        <v>3802</v>
      </c>
      <c r="I419" s="711">
        <v>12.371</v>
      </c>
      <c r="J419" s="711">
        <v>105</v>
      </c>
      <c r="K419" s="712">
        <v>1298.9500000000003</v>
      </c>
    </row>
    <row r="420" spans="1:11" ht="14.4" customHeight="1" x14ac:dyDescent="0.3">
      <c r="A420" s="695" t="s">
        <v>545</v>
      </c>
      <c r="B420" s="696" t="s">
        <v>1978</v>
      </c>
      <c r="C420" s="699" t="s">
        <v>561</v>
      </c>
      <c r="D420" s="720" t="s">
        <v>1982</v>
      </c>
      <c r="E420" s="699" t="s">
        <v>4055</v>
      </c>
      <c r="F420" s="720" t="s">
        <v>4056</v>
      </c>
      <c r="G420" s="699" t="s">
        <v>3292</v>
      </c>
      <c r="H420" s="699" t="s">
        <v>3293</v>
      </c>
      <c r="I420" s="711">
        <v>25.55</v>
      </c>
      <c r="J420" s="711">
        <v>24</v>
      </c>
      <c r="K420" s="712">
        <v>613.20000000000005</v>
      </c>
    </row>
    <row r="421" spans="1:11" ht="14.4" customHeight="1" x14ac:dyDescent="0.3">
      <c r="A421" s="695" t="s">
        <v>545</v>
      </c>
      <c r="B421" s="696" t="s">
        <v>1978</v>
      </c>
      <c r="C421" s="699" t="s">
        <v>561</v>
      </c>
      <c r="D421" s="720" t="s">
        <v>1982</v>
      </c>
      <c r="E421" s="699" t="s">
        <v>4055</v>
      </c>
      <c r="F421" s="720" t="s">
        <v>4056</v>
      </c>
      <c r="G421" s="699" t="s">
        <v>3368</v>
      </c>
      <c r="H421" s="699" t="s">
        <v>3369</v>
      </c>
      <c r="I421" s="711">
        <v>1.38</v>
      </c>
      <c r="J421" s="711">
        <v>2600</v>
      </c>
      <c r="K421" s="712">
        <v>3588</v>
      </c>
    </row>
    <row r="422" spans="1:11" ht="14.4" customHeight="1" x14ac:dyDescent="0.3">
      <c r="A422" s="695" t="s">
        <v>545</v>
      </c>
      <c r="B422" s="696" t="s">
        <v>1978</v>
      </c>
      <c r="C422" s="699" t="s">
        <v>561</v>
      </c>
      <c r="D422" s="720" t="s">
        <v>1982</v>
      </c>
      <c r="E422" s="699" t="s">
        <v>4055</v>
      </c>
      <c r="F422" s="720" t="s">
        <v>4056</v>
      </c>
      <c r="G422" s="699" t="s">
        <v>3294</v>
      </c>
      <c r="H422" s="699" t="s">
        <v>3295</v>
      </c>
      <c r="I422" s="711">
        <v>41.538571428571423</v>
      </c>
      <c r="J422" s="711">
        <v>480</v>
      </c>
      <c r="K422" s="712">
        <v>19937.79</v>
      </c>
    </row>
    <row r="423" spans="1:11" ht="14.4" customHeight="1" x14ac:dyDescent="0.3">
      <c r="A423" s="695" t="s">
        <v>545</v>
      </c>
      <c r="B423" s="696" t="s">
        <v>1978</v>
      </c>
      <c r="C423" s="699" t="s">
        <v>561</v>
      </c>
      <c r="D423" s="720" t="s">
        <v>1982</v>
      </c>
      <c r="E423" s="699" t="s">
        <v>4055</v>
      </c>
      <c r="F423" s="720" t="s">
        <v>4056</v>
      </c>
      <c r="G423" s="699" t="s">
        <v>3296</v>
      </c>
      <c r="H423" s="699" t="s">
        <v>3297</v>
      </c>
      <c r="I423" s="711">
        <v>0.59499999999999997</v>
      </c>
      <c r="J423" s="711">
        <v>4250</v>
      </c>
      <c r="K423" s="712">
        <v>2532.5</v>
      </c>
    </row>
    <row r="424" spans="1:11" ht="14.4" customHeight="1" x14ac:dyDescent="0.3">
      <c r="A424" s="695" t="s">
        <v>545</v>
      </c>
      <c r="B424" s="696" t="s">
        <v>1978</v>
      </c>
      <c r="C424" s="699" t="s">
        <v>561</v>
      </c>
      <c r="D424" s="720" t="s">
        <v>1982</v>
      </c>
      <c r="E424" s="699" t="s">
        <v>4055</v>
      </c>
      <c r="F424" s="720" t="s">
        <v>4056</v>
      </c>
      <c r="G424" s="699" t="s">
        <v>3803</v>
      </c>
      <c r="H424" s="699" t="s">
        <v>3804</v>
      </c>
      <c r="I424" s="711">
        <v>39.729999999999997</v>
      </c>
      <c r="J424" s="711">
        <v>80</v>
      </c>
      <c r="K424" s="712">
        <v>3178.2</v>
      </c>
    </row>
    <row r="425" spans="1:11" ht="14.4" customHeight="1" x14ac:dyDescent="0.3">
      <c r="A425" s="695" t="s">
        <v>545</v>
      </c>
      <c r="B425" s="696" t="s">
        <v>1978</v>
      </c>
      <c r="C425" s="699" t="s">
        <v>561</v>
      </c>
      <c r="D425" s="720" t="s">
        <v>1982</v>
      </c>
      <c r="E425" s="699" t="s">
        <v>4055</v>
      </c>
      <c r="F425" s="720" t="s">
        <v>4056</v>
      </c>
      <c r="G425" s="699" t="s">
        <v>3382</v>
      </c>
      <c r="H425" s="699" t="s">
        <v>3383</v>
      </c>
      <c r="I425" s="711">
        <v>66.237499999999997</v>
      </c>
      <c r="J425" s="711">
        <v>330</v>
      </c>
      <c r="K425" s="712">
        <v>21859</v>
      </c>
    </row>
    <row r="426" spans="1:11" ht="14.4" customHeight="1" x14ac:dyDescent="0.3">
      <c r="A426" s="695" t="s">
        <v>545</v>
      </c>
      <c r="B426" s="696" t="s">
        <v>1978</v>
      </c>
      <c r="C426" s="699" t="s">
        <v>561</v>
      </c>
      <c r="D426" s="720" t="s">
        <v>1982</v>
      </c>
      <c r="E426" s="699" t="s">
        <v>4055</v>
      </c>
      <c r="F426" s="720" t="s">
        <v>4056</v>
      </c>
      <c r="G426" s="699" t="s">
        <v>3805</v>
      </c>
      <c r="H426" s="699" t="s">
        <v>3806</v>
      </c>
      <c r="I426" s="711">
        <v>19.806000000000001</v>
      </c>
      <c r="J426" s="711">
        <v>43</v>
      </c>
      <c r="K426" s="712">
        <v>851.7</v>
      </c>
    </row>
    <row r="427" spans="1:11" ht="14.4" customHeight="1" x14ac:dyDescent="0.3">
      <c r="A427" s="695" t="s">
        <v>545</v>
      </c>
      <c r="B427" s="696" t="s">
        <v>1978</v>
      </c>
      <c r="C427" s="699" t="s">
        <v>561</v>
      </c>
      <c r="D427" s="720" t="s">
        <v>1982</v>
      </c>
      <c r="E427" s="699" t="s">
        <v>4055</v>
      </c>
      <c r="F427" s="720" t="s">
        <v>4056</v>
      </c>
      <c r="G427" s="699" t="s">
        <v>3298</v>
      </c>
      <c r="H427" s="699" t="s">
        <v>3299</v>
      </c>
      <c r="I427" s="711">
        <v>26.162500000000001</v>
      </c>
      <c r="J427" s="711">
        <v>7</v>
      </c>
      <c r="K427" s="712">
        <v>183.14</v>
      </c>
    </row>
    <row r="428" spans="1:11" ht="14.4" customHeight="1" x14ac:dyDescent="0.3">
      <c r="A428" s="695" t="s">
        <v>545</v>
      </c>
      <c r="B428" s="696" t="s">
        <v>1978</v>
      </c>
      <c r="C428" s="699" t="s">
        <v>561</v>
      </c>
      <c r="D428" s="720" t="s">
        <v>1982</v>
      </c>
      <c r="E428" s="699" t="s">
        <v>4055</v>
      </c>
      <c r="F428" s="720" t="s">
        <v>4056</v>
      </c>
      <c r="G428" s="699" t="s">
        <v>3398</v>
      </c>
      <c r="H428" s="699" t="s">
        <v>3399</v>
      </c>
      <c r="I428" s="711">
        <v>0.93</v>
      </c>
      <c r="J428" s="711">
        <v>600</v>
      </c>
      <c r="K428" s="712">
        <v>558</v>
      </c>
    </row>
    <row r="429" spans="1:11" ht="14.4" customHeight="1" x14ac:dyDescent="0.3">
      <c r="A429" s="695" t="s">
        <v>545</v>
      </c>
      <c r="B429" s="696" t="s">
        <v>1978</v>
      </c>
      <c r="C429" s="699" t="s">
        <v>561</v>
      </c>
      <c r="D429" s="720" t="s">
        <v>1982</v>
      </c>
      <c r="E429" s="699" t="s">
        <v>4055</v>
      </c>
      <c r="F429" s="720" t="s">
        <v>4056</v>
      </c>
      <c r="G429" s="699" t="s">
        <v>3809</v>
      </c>
      <c r="H429" s="699" t="s">
        <v>3810</v>
      </c>
      <c r="I429" s="711">
        <v>26.37</v>
      </c>
      <c r="J429" s="711">
        <v>12</v>
      </c>
      <c r="K429" s="712">
        <v>316.44</v>
      </c>
    </row>
    <row r="430" spans="1:11" ht="14.4" customHeight="1" x14ac:dyDescent="0.3">
      <c r="A430" s="695" t="s">
        <v>545</v>
      </c>
      <c r="B430" s="696" t="s">
        <v>1978</v>
      </c>
      <c r="C430" s="699" t="s">
        <v>561</v>
      </c>
      <c r="D430" s="720" t="s">
        <v>1982</v>
      </c>
      <c r="E430" s="699" t="s">
        <v>4055</v>
      </c>
      <c r="F430" s="720" t="s">
        <v>4056</v>
      </c>
      <c r="G430" s="699" t="s">
        <v>3811</v>
      </c>
      <c r="H430" s="699" t="s">
        <v>3812</v>
      </c>
      <c r="I430" s="711">
        <v>9.7200000000000006</v>
      </c>
      <c r="J430" s="711">
        <v>60</v>
      </c>
      <c r="K430" s="712">
        <v>583.20000000000005</v>
      </c>
    </row>
    <row r="431" spans="1:11" ht="14.4" customHeight="1" x14ac:dyDescent="0.3">
      <c r="A431" s="695" t="s">
        <v>545</v>
      </c>
      <c r="B431" s="696" t="s">
        <v>1978</v>
      </c>
      <c r="C431" s="699" t="s">
        <v>561</v>
      </c>
      <c r="D431" s="720" t="s">
        <v>1982</v>
      </c>
      <c r="E431" s="699" t="s">
        <v>4055</v>
      </c>
      <c r="F431" s="720" t="s">
        <v>4056</v>
      </c>
      <c r="G431" s="699" t="s">
        <v>3406</v>
      </c>
      <c r="H431" s="699" t="s">
        <v>3407</v>
      </c>
      <c r="I431" s="711">
        <v>7.5</v>
      </c>
      <c r="J431" s="711">
        <v>56</v>
      </c>
      <c r="K431" s="712">
        <v>420.04000000000008</v>
      </c>
    </row>
    <row r="432" spans="1:11" ht="14.4" customHeight="1" x14ac:dyDescent="0.3">
      <c r="A432" s="695" t="s">
        <v>545</v>
      </c>
      <c r="B432" s="696" t="s">
        <v>1978</v>
      </c>
      <c r="C432" s="699" t="s">
        <v>561</v>
      </c>
      <c r="D432" s="720" t="s">
        <v>1982</v>
      </c>
      <c r="E432" s="699" t="s">
        <v>4055</v>
      </c>
      <c r="F432" s="720" t="s">
        <v>4056</v>
      </c>
      <c r="G432" s="699" t="s">
        <v>3408</v>
      </c>
      <c r="H432" s="699" t="s">
        <v>3409</v>
      </c>
      <c r="I432" s="711">
        <v>0.85600000000000009</v>
      </c>
      <c r="J432" s="711">
        <v>600</v>
      </c>
      <c r="K432" s="712">
        <v>514</v>
      </c>
    </row>
    <row r="433" spans="1:11" ht="14.4" customHeight="1" x14ac:dyDescent="0.3">
      <c r="A433" s="695" t="s">
        <v>545</v>
      </c>
      <c r="B433" s="696" t="s">
        <v>1978</v>
      </c>
      <c r="C433" s="699" t="s">
        <v>561</v>
      </c>
      <c r="D433" s="720" t="s">
        <v>1982</v>
      </c>
      <c r="E433" s="699" t="s">
        <v>4055</v>
      </c>
      <c r="F433" s="720" t="s">
        <v>4056</v>
      </c>
      <c r="G433" s="699" t="s">
        <v>3410</v>
      </c>
      <c r="H433" s="699" t="s">
        <v>3411</v>
      </c>
      <c r="I433" s="711">
        <v>1.516</v>
      </c>
      <c r="J433" s="711">
        <v>350</v>
      </c>
      <c r="K433" s="712">
        <v>530.5</v>
      </c>
    </row>
    <row r="434" spans="1:11" ht="14.4" customHeight="1" x14ac:dyDescent="0.3">
      <c r="A434" s="695" t="s">
        <v>545</v>
      </c>
      <c r="B434" s="696" t="s">
        <v>1978</v>
      </c>
      <c r="C434" s="699" t="s">
        <v>561</v>
      </c>
      <c r="D434" s="720" t="s">
        <v>1982</v>
      </c>
      <c r="E434" s="699" t="s">
        <v>4057</v>
      </c>
      <c r="F434" s="720" t="s">
        <v>4058</v>
      </c>
      <c r="G434" s="699" t="s">
        <v>3448</v>
      </c>
      <c r="H434" s="699" t="s">
        <v>3449</v>
      </c>
      <c r="I434" s="711">
        <v>11.143333333333334</v>
      </c>
      <c r="J434" s="711">
        <v>450</v>
      </c>
      <c r="K434" s="712">
        <v>5014.5</v>
      </c>
    </row>
    <row r="435" spans="1:11" ht="14.4" customHeight="1" x14ac:dyDescent="0.3">
      <c r="A435" s="695" t="s">
        <v>545</v>
      </c>
      <c r="B435" s="696" t="s">
        <v>1978</v>
      </c>
      <c r="C435" s="699" t="s">
        <v>561</v>
      </c>
      <c r="D435" s="720" t="s">
        <v>1982</v>
      </c>
      <c r="E435" s="699" t="s">
        <v>4057</v>
      </c>
      <c r="F435" s="720" t="s">
        <v>4058</v>
      </c>
      <c r="G435" s="699" t="s">
        <v>3302</v>
      </c>
      <c r="H435" s="699" t="s">
        <v>3303</v>
      </c>
      <c r="I435" s="711">
        <v>0.93222222222222206</v>
      </c>
      <c r="J435" s="711">
        <v>6400</v>
      </c>
      <c r="K435" s="712">
        <v>5972</v>
      </c>
    </row>
    <row r="436" spans="1:11" ht="14.4" customHeight="1" x14ac:dyDescent="0.3">
      <c r="A436" s="695" t="s">
        <v>545</v>
      </c>
      <c r="B436" s="696" t="s">
        <v>1978</v>
      </c>
      <c r="C436" s="699" t="s">
        <v>561</v>
      </c>
      <c r="D436" s="720" t="s">
        <v>1982</v>
      </c>
      <c r="E436" s="699" t="s">
        <v>4057</v>
      </c>
      <c r="F436" s="720" t="s">
        <v>4058</v>
      </c>
      <c r="G436" s="699" t="s">
        <v>3304</v>
      </c>
      <c r="H436" s="699" t="s">
        <v>3305</v>
      </c>
      <c r="I436" s="711">
        <v>1.4337499999999999</v>
      </c>
      <c r="J436" s="711">
        <v>4600</v>
      </c>
      <c r="K436" s="712">
        <v>6596</v>
      </c>
    </row>
    <row r="437" spans="1:11" ht="14.4" customHeight="1" x14ac:dyDescent="0.3">
      <c r="A437" s="695" t="s">
        <v>545</v>
      </c>
      <c r="B437" s="696" t="s">
        <v>1978</v>
      </c>
      <c r="C437" s="699" t="s">
        <v>561</v>
      </c>
      <c r="D437" s="720" t="s">
        <v>1982</v>
      </c>
      <c r="E437" s="699" t="s">
        <v>4057</v>
      </c>
      <c r="F437" s="720" t="s">
        <v>4058</v>
      </c>
      <c r="G437" s="699" t="s">
        <v>3306</v>
      </c>
      <c r="H437" s="699" t="s">
        <v>3307</v>
      </c>
      <c r="I437" s="711">
        <v>0.41499999999999998</v>
      </c>
      <c r="J437" s="711">
        <v>3800</v>
      </c>
      <c r="K437" s="712">
        <v>1577</v>
      </c>
    </row>
    <row r="438" spans="1:11" ht="14.4" customHeight="1" x14ac:dyDescent="0.3">
      <c r="A438" s="695" t="s">
        <v>545</v>
      </c>
      <c r="B438" s="696" t="s">
        <v>1978</v>
      </c>
      <c r="C438" s="699" t="s">
        <v>561</v>
      </c>
      <c r="D438" s="720" t="s">
        <v>1982</v>
      </c>
      <c r="E438" s="699" t="s">
        <v>4057</v>
      </c>
      <c r="F438" s="720" t="s">
        <v>4058</v>
      </c>
      <c r="G438" s="699" t="s">
        <v>3308</v>
      </c>
      <c r="H438" s="699" t="s">
        <v>3309</v>
      </c>
      <c r="I438" s="711">
        <v>0.57899999999999996</v>
      </c>
      <c r="J438" s="711">
        <v>5100</v>
      </c>
      <c r="K438" s="712">
        <v>2955</v>
      </c>
    </row>
    <row r="439" spans="1:11" ht="14.4" customHeight="1" x14ac:dyDescent="0.3">
      <c r="A439" s="695" t="s">
        <v>545</v>
      </c>
      <c r="B439" s="696" t="s">
        <v>1978</v>
      </c>
      <c r="C439" s="699" t="s">
        <v>561</v>
      </c>
      <c r="D439" s="720" t="s">
        <v>1982</v>
      </c>
      <c r="E439" s="699" t="s">
        <v>4057</v>
      </c>
      <c r="F439" s="720" t="s">
        <v>4058</v>
      </c>
      <c r="G439" s="699" t="s">
        <v>3817</v>
      </c>
      <c r="H439" s="699" t="s">
        <v>3818</v>
      </c>
      <c r="I439" s="711">
        <v>15.99</v>
      </c>
      <c r="J439" s="711">
        <v>10</v>
      </c>
      <c r="K439" s="712">
        <v>159.9</v>
      </c>
    </row>
    <row r="440" spans="1:11" ht="14.4" customHeight="1" x14ac:dyDescent="0.3">
      <c r="A440" s="695" t="s">
        <v>545</v>
      </c>
      <c r="B440" s="696" t="s">
        <v>1978</v>
      </c>
      <c r="C440" s="699" t="s">
        <v>561</v>
      </c>
      <c r="D440" s="720" t="s">
        <v>1982</v>
      </c>
      <c r="E440" s="699" t="s">
        <v>4057</v>
      </c>
      <c r="F440" s="720" t="s">
        <v>4058</v>
      </c>
      <c r="G440" s="699" t="s">
        <v>3819</v>
      </c>
      <c r="H440" s="699" t="s">
        <v>3820</v>
      </c>
      <c r="I440" s="711">
        <v>70.180000000000007</v>
      </c>
      <c r="J440" s="711">
        <v>10</v>
      </c>
      <c r="K440" s="712">
        <v>701.8</v>
      </c>
    </row>
    <row r="441" spans="1:11" ht="14.4" customHeight="1" x14ac:dyDescent="0.3">
      <c r="A441" s="695" t="s">
        <v>545</v>
      </c>
      <c r="B441" s="696" t="s">
        <v>1978</v>
      </c>
      <c r="C441" s="699" t="s">
        <v>561</v>
      </c>
      <c r="D441" s="720" t="s">
        <v>1982</v>
      </c>
      <c r="E441" s="699" t="s">
        <v>4057</v>
      </c>
      <c r="F441" s="720" t="s">
        <v>4058</v>
      </c>
      <c r="G441" s="699" t="s">
        <v>3821</v>
      </c>
      <c r="H441" s="699" t="s">
        <v>3822</v>
      </c>
      <c r="I441" s="711">
        <v>17.989999999999998</v>
      </c>
      <c r="J441" s="711">
        <v>20</v>
      </c>
      <c r="K441" s="712">
        <v>359.8</v>
      </c>
    </row>
    <row r="442" spans="1:11" ht="14.4" customHeight="1" x14ac:dyDescent="0.3">
      <c r="A442" s="695" t="s">
        <v>545</v>
      </c>
      <c r="B442" s="696" t="s">
        <v>1978</v>
      </c>
      <c r="C442" s="699" t="s">
        <v>561</v>
      </c>
      <c r="D442" s="720" t="s">
        <v>1982</v>
      </c>
      <c r="E442" s="699" t="s">
        <v>4057</v>
      </c>
      <c r="F442" s="720" t="s">
        <v>4058</v>
      </c>
      <c r="G442" s="699" t="s">
        <v>3827</v>
      </c>
      <c r="H442" s="699" t="s">
        <v>3828</v>
      </c>
      <c r="I442" s="711">
        <v>139.99</v>
      </c>
      <c r="J442" s="711">
        <v>10</v>
      </c>
      <c r="K442" s="712">
        <v>1399.9</v>
      </c>
    </row>
    <row r="443" spans="1:11" ht="14.4" customHeight="1" x14ac:dyDescent="0.3">
      <c r="A443" s="695" t="s">
        <v>545</v>
      </c>
      <c r="B443" s="696" t="s">
        <v>1978</v>
      </c>
      <c r="C443" s="699" t="s">
        <v>561</v>
      </c>
      <c r="D443" s="720" t="s">
        <v>1982</v>
      </c>
      <c r="E443" s="699" t="s">
        <v>4057</v>
      </c>
      <c r="F443" s="720" t="s">
        <v>4058</v>
      </c>
      <c r="G443" s="699" t="s">
        <v>3458</v>
      </c>
      <c r="H443" s="699" t="s">
        <v>3459</v>
      </c>
      <c r="I443" s="711">
        <v>5.95</v>
      </c>
      <c r="J443" s="711">
        <v>60</v>
      </c>
      <c r="K443" s="712">
        <v>357</v>
      </c>
    </row>
    <row r="444" spans="1:11" ht="14.4" customHeight="1" x14ac:dyDescent="0.3">
      <c r="A444" s="695" t="s">
        <v>545</v>
      </c>
      <c r="B444" s="696" t="s">
        <v>1978</v>
      </c>
      <c r="C444" s="699" t="s">
        <v>561</v>
      </c>
      <c r="D444" s="720" t="s">
        <v>1982</v>
      </c>
      <c r="E444" s="699" t="s">
        <v>4057</v>
      </c>
      <c r="F444" s="720" t="s">
        <v>4058</v>
      </c>
      <c r="G444" s="699" t="s">
        <v>3829</v>
      </c>
      <c r="H444" s="699" t="s">
        <v>3830</v>
      </c>
      <c r="I444" s="711">
        <v>17.36</v>
      </c>
      <c r="J444" s="711">
        <v>80</v>
      </c>
      <c r="K444" s="712">
        <v>1401</v>
      </c>
    </row>
    <row r="445" spans="1:11" ht="14.4" customHeight="1" x14ac:dyDescent="0.3">
      <c r="A445" s="695" t="s">
        <v>545</v>
      </c>
      <c r="B445" s="696" t="s">
        <v>1978</v>
      </c>
      <c r="C445" s="699" t="s">
        <v>561</v>
      </c>
      <c r="D445" s="720" t="s">
        <v>1982</v>
      </c>
      <c r="E445" s="699" t="s">
        <v>4057</v>
      </c>
      <c r="F445" s="720" t="s">
        <v>4058</v>
      </c>
      <c r="G445" s="699" t="s">
        <v>3829</v>
      </c>
      <c r="H445" s="699" t="s">
        <v>3831</v>
      </c>
      <c r="I445" s="711">
        <v>14.103333333333333</v>
      </c>
      <c r="J445" s="711">
        <v>70</v>
      </c>
      <c r="K445" s="712">
        <v>987.7</v>
      </c>
    </row>
    <row r="446" spans="1:11" ht="14.4" customHeight="1" x14ac:dyDescent="0.3">
      <c r="A446" s="695" t="s">
        <v>545</v>
      </c>
      <c r="B446" s="696" t="s">
        <v>1978</v>
      </c>
      <c r="C446" s="699" t="s">
        <v>561</v>
      </c>
      <c r="D446" s="720" t="s">
        <v>1982</v>
      </c>
      <c r="E446" s="699" t="s">
        <v>4057</v>
      </c>
      <c r="F446" s="720" t="s">
        <v>4058</v>
      </c>
      <c r="G446" s="699" t="s">
        <v>3836</v>
      </c>
      <c r="H446" s="699" t="s">
        <v>3837</v>
      </c>
      <c r="I446" s="711">
        <v>16.97</v>
      </c>
      <c r="J446" s="711">
        <v>310</v>
      </c>
      <c r="K446" s="712">
        <v>5260.7</v>
      </c>
    </row>
    <row r="447" spans="1:11" ht="14.4" customHeight="1" x14ac:dyDescent="0.3">
      <c r="A447" s="695" t="s">
        <v>545</v>
      </c>
      <c r="B447" s="696" t="s">
        <v>1978</v>
      </c>
      <c r="C447" s="699" t="s">
        <v>561</v>
      </c>
      <c r="D447" s="720" t="s">
        <v>1982</v>
      </c>
      <c r="E447" s="699" t="s">
        <v>4057</v>
      </c>
      <c r="F447" s="720" t="s">
        <v>4058</v>
      </c>
      <c r="G447" s="699" t="s">
        <v>3476</v>
      </c>
      <c r="H447" s="699" t="s">
        <v>3477</v>
      </c>
      <c r="I447" s="711">
        <v>16.538333333333334</v>
      </c>
      <c r="J447" s="711">
        <v>430</v>
      </c>
      <c r="K447" s="712">
        <v>7107.9</v>
      </c>
    </row>
    <row r="448" spans="1:11" ht="14.4" customHeight="1" x14ac:dyDescent="0.3">
      <c r="A448" s="695" t="s">
        <v>545</v>
      </c>
      <c r="B448" s="696" t="s">
        <v>1978</v>
      </c>
      <c r="C448" s="699" t="s">
        <v>561</v>
      </c>
      <c r="D448" s="720" t="s">
        <v>1982</v>
      </c>
      <c r="E448" s="699" t="s">
        <v>4057</v>
      </c>
      <c r="F448" s="720" t="s">
        <v>4058</v>
      </c>
      <c r="G448" s="699" t="s">
        <v>3838</v>
      </c>
      <c r="H448" s="699" t="s">
        <v>3839</v>
      </c>
      <c r="I448" s="711">
        <v>17.344444444444449</v>
      </c>
      <c r="J448" s="711">
        <v>340</v>
      </c>
      <c r="K448" s="712">
        <v>5899.8</v>
      </c>
    </row>
    <row r="449" spans="1:11" ht="14.4" customHeight="1" x14ac:dyDescent="0.3">
      <c r="A449" s="695" t="s">
        <v>545</v>
      </c>
      <c r="B449" s="696" t="s">
        <v>1978</v>
      </c>
      <c r="C449" s="699" t="s">
        <v>561</v>
      </c>
      <c r="D449" s="720" t="s">
        <v>1982</v>
      </c>
      <c r="E449" s="699" t="s">
        <v>4057</v>
      </c>
      <c r="F449" s="720" t="s">
        <v>4058</v>
      </c>
      <c r="G449" s="699" t="s">
        <v>3987</v>
      </c>
      <c r="H449" s="699" t="s">
        <v>3988</v>
      </c>
      <c r="I449" s="711">
        <v>1500.4</v>
      </c>
      <c r="J449" s="711">
        <v>3</v>
      </c>
      <c r="K449" s="712">
        <v>4501.2</v>
      </c>
    </row>
    <row r="450" spans="1:11" ht="14.4" customHeight="1" x14ac:dyDescent="0.3">
      <c r="A450" s="695" t="s">
        <v>545</v>
      </c>
      <c r="B450" s="696" t="s">
        <v>1978</v>
      </c>
      <c r="C450" s="699" t="s">
        <v>561</v>
      </c>
      <c r="D450" s="720" t="s">
        <v>1982</v>
      </c>
      <c r="E450" s="699" t="s">
        <v>4057</v>
      </c>
      <c r="F450" s="720" t="s">
        <v>4058</v>
      </c>
      <c r="G450" s="699" t="s">
        <v>3842</v>
      </c>
      <c r="H450" s="699" t="s">
        <v>3843</v>
      </c>
      <c r="I450" s="711">
        <v>17.059999999999999</v>
      </c>
      <c r="J450" s="711">
        <v>10</v>
      </c>
      <c r="K450" s="712">
        <v>170.6</v>
      </c>
    </row>
    <row r="451" spans="1:11" ht="14.4" customHeight="1" x14ac:dyDescent="0.3">
      <c r="A451" s="695" t="s">
        <v>545</v>
      </c>
      <c r="B451" s="696" t="s">
        <v>1978</v>
      </c>
      <c r="C451" s="699" t="s">
        <v>561</v>
      </c>
      <c r="D451" s="720" t="s">
        <v>1982</v>
      </c>
      <c r="E451" s="699" t="s">
        <v>4057</v>
      </c>
      <c r="F451" s="720" t="s">
        <v>4058</v>
      </c>
      <c r="G451" s="699" t="s">
        <v>3480</v>
      </c>
      <c r="H451" s="699" t="s">
        <v>3481</v>
      </c>
      <c r="I451" s="711">
        <v>16.946249999999999</v>
      </c>
      <c r="J451" s="711">
        <v>500</v>
      </c>
      <c r="K451" s="712">
        <v>8472.7999999999993</v>
      </c>
    </row>
    <row r="452" spans="1:11" ht="14.4" customHeight="1" x14ac:dyDescent="0.3">
      <c r="A452" s="695" t="s">
        <v>545</v>
      </c>
      <c r="B452" s="696" t="s">
        <v>1978</v>
      </c>
      <c r="C452" s="699" t="s">
        <v>561</v>
      </c>
      <c r="D452" s="720" t="s">
        <v>1982</v>
      </c>
      <c r="E452" s="699" t="s">
        <v>4057</v>
      </c>
      <c r="F452" s="720" t="s">
        <v>4058</v>
      </c>
      <c r="G452" s="699" t="s">
        <v>3989</v>
      </c>
      <c r="H452" s="699" t="s">
        <v>3990</v>
      </c>
      <c r="I452" s="711">
        <v>1500.4</v>
      </c>
      <c r="J452" s="711">
        <v>32</v>
      </c>
      <c r="K452" s="712">
        <v>48012.800000000003</v>
      </c>
    </row>
    <row r="453" spans="1:11" ht="14.4" customHeight="1" x14ac:dyDescent="0.3">
      <c r="A453" s="695" t="s">
        <v>545</v>
      </c>
      <c r="B453" s="696" t="s">
        <v>1978</v>
      </c>
      <c r="C453" s="699" t="s">
        <v>561</v>
      </c>
      <c r="D453" s="720" t="s">
        <v>1982</v>
      </c>
      <c r="E453" s="699" t="s">
        <v>4057</v>
      </c>
      <c r="F453" s="720" t="s">
        <v>4058</v>
      </c>
      <c r="G453" s="699" t="s">
        <v>3991</v>
      </c>
      <c r="H453" s="699" t="s">
        <v>3992</v>
      </c>
      <c r="I453" s="711">
        <v>1500.3999999999999</v>
      </c>
      <c r="J453" s="711">
        <v>35</v>
      </c>
      <c r="K453" s="712">
        <v>52514.000000000007</v>
      </c>
    </row>
    <row r="454" spans="1:11" ht="14.4" customHeight="1" x14ac:dyDescent="0.3">
      <c r="A454" s="695" t="s">
        <v>545</v>
      </c>
      <c r="B454" s="696" t="s">
        <v>1978</v>
      </c>
      <c r="C454" s="699" t="s">
        <v>561</v>
      </c>
      <c r="D454" s="720" t="s">
        <v>1982</v>
      </c>
      <c r="E454" s="699" t="s">
        <v>4057</v>
      </c>
      <c r="F454" s="720" t="s">
        <v>4058</v>
      </c>
      <c r="G454" s="699" t="s">
        <v>3844</v>
      </c>
      <c r="H454" s="699" t="s">
        <v>3845</v>
      </c>
      <c r="I454" s="711">
        <v>14.449999999999998</v>
      </c>
      <c r="J454" s="711">
        <v>150</v>
      </c>
      <c r="K454" s="712">
        <v>2167.71</v>
      </c>
    </row>
    <row r="455" spans="1:11" ht="14.4" customHeight="1" x14ac:dyDescent="0.3">
      <c r="A455" s="695" t="s">
        <v>545</v>
      </c>
      <c r="B455" s="696" t="s">
        <v>1978</v>
      </c>
      <c r="C455" s="699" t="s">
        <v>561</v>
      </c>
      <c r="D455" s="720" t="s">
        <v>1982</v>
      </c>
      <c r="E455" s="699" t="s">
        <v>4057</v>
      </c>
      <c r="F455" s="720" t="s">
        <v>4058</v>
      </c>
      <c r="G455" s="699" t="s">
        <v>3846</v>
      </c>
      <c r="H455" s="699" t="s">
        <v>3847</v>
      </c>
      <c r="I455" s="711">
        <v>403.04</v>
      </c>
      <c r="J455" s="711">
        <v>240</v>
      </c>
      <c r="K455" s="712">
        <v>96729.340000000011</v>
      </c>
    </row>
    <row r="456" spans="1:11" ht="14.4" customHeight="1" x14ac:dyDescent="0.3">
      <c r="A456" s="695" t="s">
        <v>545</v>
      </c>
      <c r="B456" s="696" t="s">
        <v>1978</v>
      </c>
      <c r="C456" s="699" t="s">
        <v>561</v>
      </c>
      <c r="D456" s="720" t="s">
        <v>1982</v>
      </c>
      <c r="E456" s="699" t="s">
        <v>4057</v>
      </c>
      <c r="F456" s="720" t="s">
        <v>4058</v>
      </c>
      <c r="G456" s="699" t="s">
        <v>3848</v>
      </c>
      <c r="H456" s="699" t="s">
        <v>3849</v>
      </c>
      <c r="I456" s="711">
        <v>33.886666666666663</v>
      </c>
      <c r="J456" s="711">
        <v>5</v>
      </c>
      <c r="K456" s="712">
        <v>169.44</v>
      </c>
    </row>
    <row r="457" spans="1:11" ht="14.4" customHeight="1" x14ac:dyDescent="0.3">
      <c r="A457" s="695" t="s">
        <v>545</v>
      </c>
      <c r="B457" s="696" t="s">
        <v>1978</v>
      </c>
      <c r="C457" s="699" t="s">
        <v>561</v>
      </c>
      <c r="D457" s="720" t="s">
        <v>1982</v>
      </c>
      <c r="E457" s="699" t="s">
        <v>4057</v>
      </c>
      <c r="F457" s="720" t="s">
        <v>4058</v>
      </c>
      <c r="G457" s="699" t="s">
        <v>3512</v>
      </c>
      <c r="H457" s="699" t="s">
        <v>3513</v>
      </c>
      <c r="I457" s="711">
        <v>229.416</v>
      </c>
      <c r="J457" s="711">
        <v>100</v>
      </c>
      <c r="K457" s="712">
        <v>22941.599999999999</v>
      </c>
    </row>
    <row r="458" spans="1:11" ht="14.4" customHeight="1" x14ac:dyDescent="0.3">
      <c r="A458" s="695" t="s">
        <v>545</v>
      </c>
      <c r="B458" s="696" t="s">
        <v>1978</v>
      </c>
      <c r="C458" s="699" t="s">
        <v>561</v>
      </c>
      <c r="D458" s="720" t="s">
        <v>1982</v>
      </c>
      <c r="E458" s="699" t="s">
        <v>4057</v>
      </c>
      <c r="F458" s="720" t="s">
        <v>4058</v>
      </c>
      <c r="G458" s="699" t="s">
        <v>3310</v>
      </c>
      <c r="H458" s="699" t="s">
        <v>3311</v>
      </c>
      <c r="I458" s="711">
        <v>1.5999999999999999</v>
      </c>
      <c r="J458" s="711">
        <v>9800</v>
      </c>
      <c r="K458" s="712">
        <v>15677</v>
      </c>
    </row>
    <row r="459" spans="1:11" ht="14.4" customHeight="1" x14ac:dyDescent="0.3">
      <c r="A459" s="695" t="s">
        <v>545</v>
      </c>
      <c r="B459" s="696" t="s">
        <v>1978</v>
      </c>
      <c r="C459" s="699" t="s">
        <v>561</v>
      </c>
      <c r="D459" s="720" t="s">
        <v>1982</v>
      </c>
      <c r="E459" s="699" t="s">
        <v>4057</v>
      </c>
      <c r="F459" s="720" t="s">
        <v>4058</v>
      </c>
      <c r="G459" s="699" t="s">
        <v>3312</v>
      </c>
      <c r="H459" s="699" t="s">
        <v>3313</v>
      </c>
      <c r="I459" s="711">
        <v>5.1300000000000008</v>
      </c>
      <c r="J459" s="711">
        <v>7320</v>
      </c>
      <c r="K459" s="712">
        <v>37551.599999999999</v>
      </c>
    </row>
    <row r="460" spans="1:11" ht="14.4" customHeight="1" x14ac:dyDescent="0.3">
      <c r="A460" s="695" t="s">
        <v>545</v>
      </c>
      <c r="B460" s="696" t="s">
        <v>1978</v>
      </c>
      <c r="C460" s="699" t="s">
        <v>561</v>
      </c>
      <c r="D460" s="720" t="s">
        <v>1982</v>
      </c>
      <c r="E460" s="699" t="s">
        <v>4057</v>
      </c>
      <c r="F460" s="720" t="s">
        <v>4058</v>
      </c>
      <c r="G460" s="699" t="s">
        <v>3852</v>
      </c>
      <c r="H460" s="699" t="s">
        <v>3853</v>
      </c>
      <c r="I460" s="711">
        <v>20.318000000000001</v>
      </c>
      <c r="J460" s="711">
        <v>50</v>
      </c>
      <c r="K460" s="712">
        <v>1015.9</v>
      </c>
    </row>
    <row r="461" spans="1:11" ht="14.4" customHeight="1" x14ac:dyDescent="0.3">
      <c r="A461" s="695" t="s">
        <v>545</v>
      </c>
      <c r="B461" s="696" t="s">
        <v>1978</v>
      </c>
      <c r="C461" s="699" t="s">
        <v>561</v>
      </c>
      <c r="D461" s="720" t="s">
        <v>1982</v>
      </c>
      <c r="E461" s="699" t="s">
        <v>4057</v>
      </c>
      <c r="F461" s="720" t="s">
        <v>4058</v>
      </c>
      <c r="G461" s="699" t="s">
        <v>3528</v>
      </c>
      <c r="H461" s="699" t="s">
        <v>3529</v>
      </c>
      <c r="I461" s="711">
        <v>7.9500000000000011</v>
      </c>
      <c r="J461" s="711">
        <v>760</v>
      </c>
      <c r="K461" s="712">
        <v>6042</v>
      </c>
    </row>
    <row r="462" spans="1:11" ht="14.4" customHeight="1" x14ac:dyDescent="0.3">
      <c r="A462" s="695" t="s">
        <v>545</v>
      </c>
      <c r="B462" s="696" t="s">
        <v>1978</v>
      </c>
      <c r="C462" s="699" t="s">
        <v>561</v>
      </c>
      <c r="D462" s="720" t="s">
        <v>1982</v>
      </c>
      <c r="E462" s="699" t="s">
        <v>4057</v>
      </c>
      <c r="F462" s="720" t="s">
        <v>4058</v>
      </c>
      <c r="G462" s="699" t="s">
        <v>3548</v>
      </c>
      <c r="H462" s="699" t="s">
        <v>3549</v>
      </c>
      <c r="I462" s="711">
        <v>17.98</v>
      </c>
      <c r="J462" s="711">
        <v>50</v>
      </c>
      <c r="K462" s="712">
        <v>899</v>
      </c>
    </row>
    <row r="463" spans="1:11" ht="14.4" customHeight="1" x14ac:dyDescent="0.3">
      <c r="A463" s="695" t="s">
        <v>545</v>
      </c>
      <c r="B463" s="696" t="s">
        <v>1978</v>
      </c>
      <c r="C463" s="699" t="s">
        <v>561</v>
      </c>
      <c r="D463" s="720" t="s">
        <v>1982</v>
      </c>
      <c r="E463" s="699" t="s">
        <v>4057</v>
      </c>
      <c r="F463" s="720" t="s">
        <v>4058</v>
      </c>
      <c r="G463" s="699" t="s">
        <v>3854</v>
      </c>
      <c r="H463" s="699" t="s">
        <v>3855</v>
      </c>
      <c r="I463" s="711">
        <v>12.074444444444444</v>
      </c>
      <c r="J463" s="711">
        <v>3000</v>
      </c>
      <c r="K463" s="712">
        <v>36229</v>
      </c>
    </row>
    <row r="464" spans="1:11" ht="14.4" customHeight="1" x14ac:dyDescent="0.3">
      <c r="A464" s="695" t="s">
        <v>545</v>
      </c>
      <c r="B464" s="696" t="s">
        <v>1978</v>
      </c>
      <c r="C464" s="699" t="s">
        <v>561</v>
      </c>
      <c r="D464" s="720" t="s">
        <v>1982</v>
      </c>
      <c r="E464" s="699" t="s">
        <v>4057</v>
      </c>
      <c r="F464" s="720" t="s">
        <v>4058</v>
      </c>
      <c r="G464" s="699" t="s">
        <v>3856</v>
      </c>
      <c r="H464" s="699" t="s">
        <v>3857</v>
      </c>
      <c r="I464" s="711">
        <v>17.98</v>
      </c>
      <c r="J464" s="711">
        <v>250</v>
      </c>
      <c r="K464" s="712">
        <v>4495.12</v>
      </c>
    </row>
    <row r="465" spans="1:11" ht="14.4" customHeight="1" x14ac:dyDescent="0.3">
      <c r="A465" s="695" t="s">
        <v>545</v>
      </c>
      <c r="B465" s="696" t="s">
        <v>1978</v>
      </c>
      <c r="C465" s="699" t="s">
        <v>561</v>
      </c>
      <c r="D465" s="720" t="s">
        <v>1982</v>
      </c>
      <c r="E465" s="699" t="s">
        <v>4057</v>
      </c>
      <c r="F465" s="720" t="s">
        <v>4058</v>
      </c>
      <c r="G465" s="699" t="s">
        <v>3554</v>
      </c>
      <c r="H465" s="699" t="s">
        <v>3555</v>
      </c>
      <c r="I465" s="711">
        <v>17.98</v>
      </c>
      <c r="J465" s="711">
        <v>850</v>
      </c>
      <c r="K465" s="712">
        <v>15283</v>
      </c>
    </row>
    <row r="466" spans="1:11" ht="14.4" customHeight="1" x14ac:dyDescent="0.3">
      <c r="A466" s="695" t="s">
        <v>545</v>
      </c>
      <c r="B466" s="696" t="s">
        <v>1978</v>
      </c>
      <c r="C466" s="699" t="s">
        <v>561</v>
      </c>
      <c r="D466" s="720" t="s">
        <v>1982</v>
      </c>
      <c r="E466" s="699" t="s">
        <v>4057</v>
      </c>
      <c r="F466" s="720" t="s">
        <v>4058</v>
      </c>
      <c r="G466" s="699" t="s">
        <v>3858</v>
      </c>
      <c r="H466" s="699" t="s">
        <v>3859</v>
      </c>
      <c r="I466" s="711">
        <v>38.5</v>
      </c>
      <c r="J466" s="711">
        <v>150</v>
      </c>
      <c r="K466" s="712">
        <v>5775.33</v>
      </c>
    </row>
    <row r="467" spans="1:11" ht="14.4" customHeight="1" x14ac:dyDescent="0.3">
      <c r="A467" s="695" t="s">
        <v>545</v>
      </c>
      <c r="B467" s="696" t="s">
        <v>1978</v>
      </c>
      <c r="C467" s="699" t="s">
        <v>561</v>
      </c>
      <c r="D467" s="720" t="s">
        <v>1982</v>
      </c>
      <c r="E467" s="699" t="s">
        <v>4057</v>
      </c>
      <c r="F467" s="720" t="s">
        <v>4058</v>
      </c>
      <c r="G467" s="699" t="s">
        <v>3862</v>
      </c>
      <c r="H467" s="699" t="s">
        <v>3863</v>
      </c>
      <c r="I467" s="711">
        <v>17.98</v>
      </c>
      <c r="J467" s="711">
        <v>50</v>
      </c>
      <c r="K467" s="712">
        <v>899.06</v>
      </c>
    </row>
    <row r="468" spans="1:11" ht="14.4" customHeight="1" x14ac:dyDescent="0.3">
      <c r="A468" s="695" t="s">
        <v>545</v>
      </c>
      <c r="B468" s="696" t="s">
        <v>1978</v>
      </c>
      <c r="C468" s="699" t="s">
        <v>561</v>
      </c>
      <c r="D468" s="720" t="s">
        <v>1982</v>
      </c>
      <c r="E468" s="699" t="s">
        <v>4057</v>
      </c>
      <c r="F468" s="720" t="s">
        <v>4058</v>
      </c>
      <c r="G468" s="699" t="s">
        <v>3316</v>
      </c>
      <c r="H468" s="699" t="s">
        <v>3317</v>
      </c>
      <c r="I468" s="711">
        <v>12.101428571428571</v>
      </c>
      <c r="J468" s="711">
        <v>230</v>
      </c>
      <c r="K468" s="712">
        <v>2783.3</v>
      </c>
    </row>
    <row r="469" spans="1:11" ht="14.4" customHeight="1" x14ac:dyDescent="0.3">
      <c r="A469" s="695" t="s">
        <v>545</v>
      </c>
      <c r="B469" s="696" t="s">
        <v>1978</v>
      </c>
      <c r="C469" s="699" t="s">
        <v>561</v>
      </c>
      <c r="D469" s="720" t="s">
        <v>1982</v>
      </c>
      <c r="E469" s="699" t="s">
        <v>4057</v>
      </c>
      <c r="F469" s="720" t="s">
        <v>4058</v>
      </c>
      <c r="G469" s="699" t="s">
        <v>3864</v>
      </c>
      <c r="H469" s="699" t="s">
        <v>3865</v>
      </c>
      <c r="I469" s="711">
        <v>121</v>
      </c>
      <c r="J469" s="711">
        <v>320</v>
      </c>
      <c r="K469" s="712">
        <v>38720</v>
      </c>
    </row>
    <row r="470" spans="1:11" ht="14.4" customHeight="1" x14ac:dyDescent="0.3">
      <c r="A470" s="695" t="s">
        <v>545</v>
      </c>
      <c r="B470" s="696" t="s">
        <v>1978</v>
      </c>
      <c r="C470" s="699" t="s">
        <v>561</v>
      </c>
      <c r="D470" s="720" t="s">
        <v>1982</v>
      </c>
      <c r="E470" s="699" t="s">
        <v>4057</v>
      </c>
      <c r="F470" s="720" t="s">
        <v>4058</v>
      </c>
      <c r="G470" s="699" t="s">
        <v>3866</v>
      </c>
      <c r="H470" s="699" t="s">
        <v>3867</v>
      </c>
      <c r="I470" s="711">
        <v>121</v>
      </c>
      <c r="J470" s="711">
        <v>430</v>
      </c>
      <c r="K470" s="712">
        <v>52030</v>
      </c>
    </row>
    <row r="471" spans="1:11" ht="14.4" customHeight="1" x14ac:dyDescent="0.3">
      <c r="A471" s="695" t="s">
        <v>545</v>
      </c>
      <c r="B471" s="696" t="s">
        <v>1978</v>
      </c>
      <c r="C471" s="699" t="s">
        <v>561</v>
      </c>
      <c r="D471" s="720" t="s">
        <v>1982</v>
      </c>
      <c r="E471" s="699" t="s">
        <v>4057</v>
      </c>
      <c r="F471" s="720" t="s">
        <v>4058</v>
      </c>
      <c r="G471" s="699" t="s">
        <v>3993</v>
      </c>
      <c r="H471" s="699" t="s">
        <v>3994</v>
      </c>
      <c r="I471" s="711">
        <v>104.06</v>
      </c>
      <c r="J471" s="711">
        <v>20</v>
      </c>
      <c r="K471" s="712">
        <v>2081.1999999999998</v>
      </c>
    </row>
    <row r="472" spans="1:11" ht="14.4" customHeight="1" x14ac:dyDescent="0.3">
      <c r="A472" s="695" t="s">
        <v>545</v>
      </c>
      <c r="B472" s="696" t="s">
        <v>1978</v>
      </c>
      <c r="C472" s="699" t="s">
        <v>561</v>
      </c>
      <c r="D472" s="720" t="s">
        <v>1982</v>
      </c>
      <c r="E472" s="699" t="s">
        <v>4057</v>
      </c>
      <c r="F472" s="720" t="s">
        <v>4058</v>
      </c>
      <c r="G472" s="699" t="s">
        <v>3868</v>
      </c>
      <c r="H472" s="699" t="s">
        <v>3869</v>
      </c>
      <c r="I472" s="711">
        <v>120.00222222222222</v>
      </c>
      <c r="J472" s="711">
        <v>250</v>
      </c>
      <c r="K472" s="712">
        <v>30000.429999999997</v>
      </c>
    </row>
    <row r="473" spans="1:11" ht="14.4" customHeight="1" x14ac:dyDescent="0.3">
      <c r="A473" s="695" t="s">
        <v>545</v>
      </c>
      <c r="B473" s="696" t="s">
        <v>1978</v>
      </c>
      <c r="C473" s="699" t="s">
        <v>561</v>
      </c>
      <c r="D473" s="720" t="s">
        <v>1982</v>
      </c>
      <c r="E473" s="699" t="s">
        <v>4057</v>
      </c>
      <c r="F473" s="720" t="s">
        <v>4058</v>
      </c>
      <c r="G473" s="699" t="s">
        <v>3318</v>
      </c>
      <c r="H473" s="699" t="s">
        <v>3319</v>
      </c>
      <c r="I473" s="711">
        <v>0.47333333333333333</v>
      </c>
      <c r="J473" s="711">
        <v>1400</v>
      </c>
      <c r="K473" s="712">
        <v>663</v>
      </c>
    </row>
    <row r="474" spans="1:11" ht="14.4" customHeight="1" x14ac:dyDescent="0.3">
      <c r="A474" s="695" t="s">
        <v>545</v>
      </c>
      <c r="B474" s="696" t="s">
        <v>1978</v>
      </c>
      <c r="C474" s="699" t="s">
        <v>561</v>
      </c>
      <c r="D474" s="720" t="s">
        <v>1982</v>
      </c>
      <c r="E474" s="699" t="s">
        <v>4057</v>
      </c>
      <c r="F474" s="720" t="s">
        <v>4058</v>
      </c>
      <c r="G474" s="699" t="s">
        <v>3590</v>
      </c>
      <c r="H474" s="699" t="s">
        <v>3591</v>
      </c>
      <c r="I474" s="711">
        <v>4.0290000000000008</v>
      </c>
      <c r="J474" s="711">
        <v>4050</v>
      </c>
      <c r="K474" s="712">
        <v>16320</v>
      </c>
    </row>
    <row r="475" spans="1:11" ht="14.4" customHeight="1" x14ac:dyDescent="0.3">
      <c r="A475" s="695" t="s">
        <v>545</v>
      </c>
      <c r="B475" s="696" t="s">
        <v>1978</v>
      </c>
      <c r="C475" s="699" t="s">
        <v>561</v>
      </c>
      <c r="D475" s="720" t="s">
        <v>1982</v>
      </c>
      <c r="E475" s="699" t="s">
        <v>4057</v>
      </c>
      <c r="F475" s="720" t="s">
        <v>4058</v>
      </c>
      <c r="G475" s="699" t="s">
        <v>3594</v>
      </c>
      <c r="H475" s="699" t="s">
        <v>3595</v>
      </c>
      <c r="I475" s="711">
        <v>2.6019999999999999</v>
      </c>
      <c r="J475" s="711">
        <v>250</v>
      </c>
      <c r="K475" s="712">
        <v>650.5</v>
      </c>
    </row>
    <row r="476" spans="1:11" ht="14.4" customHeight="1" x14ac:dyDescent="0.3">
      <c r="A476" s="695" t="s">
        <v>545</v>
      </c>
      <c r="B476" s="696" t="s">
        <v>1978</v>
      </c>
      <c r="C476" s="699" t="s">
        <v>561</v>
      </c>
      <c r="D476" s="720" t="s">
        <v>1982</v>
      </c>
      <c r="E476" s="699" t="s">
        <v>4057</v>
      </c>
      <c r="F476" s="720" t="s">
        <v>4058</v>
      </c>
      <c r="G476" s="699" t="s">
        <v>3596</v>
      </c>
      <c r="H476" s="699" t="s">
        <v>3597</v>
      </c>
      <c r="I476" s="711">
        <v>2.6042857142857145</v>
      </c>
      <c r="J476" s="711">
        <v>350</v>
      </c>
      <c r="K476" s="712">
        <v>911.5</v>
      </c>
    </row>
    <row r="477" spans="1:11" ht="14.4" customHeight="1" x14ac:dyDescent="0.3">
      <c r="A477" s="695" t="s">
        <v>545</v>
      </c>
      <c r="B477" s="696" t="s">
        <v>1978</v>
      </c>
      <c r="C477" s="699" t="s">
        <v>561</v>
      </c>
      <c r="D477" s="720" t="s">
        <v>1982</v>
      </c>
      <c r="E477" s="699" t="s">
        <v>4057</v>
      </c>
      <c r="F477" s="720" t="s">
        <v>4058</v>
      </c>
      <c r="G477" s="699" t="s">
        <v>3870</v>
      </c>
      <c r="H477" s="699" t="s">
        <v>3871</v>
      </c>
      <c r="I477" s="711">
        <v>2.6</v>
      </c>
      <c r="J477" s="711">
        <v>250</v>
      </c>
      <c r="K477" s="712">
        <v>650</v>
      </c>
    </row>
    <row r="478" spans="1:11" ht="14.4" customHeight="1" x14ac:dyDescent="0.3">
      <c r="A478" s="695" t="s">
        <v>545</v>
      </c>
      <c r="B478" s="696" t="s">
        <v>1978</v>
      </c>
      <c r="C478" s="699" t="s">
        <v>561</v>
      </c>
      <c r="D478" s="720" t="s">
        <v>1982</v>
      </c>
      <c r="E478" s="699" t="s">
        <v>4057</v>
      </c>
      <c r="F478" s="720" t="s">
        <v>4058</v>
      </c>
      <c r="G478" s="699" t="s">
        <v>3872</v>
      </c>
      <c r="H478" s="699" t="s">
        <v>3873</v>
      </c>
      <c r="I478" s="711">
        <v>30.25</v>
      </c>
      <c r="J478" s="711">
        <v>10</v>
      </c>
      <c r="K478" s="712">
        <v>302.5</v>
      </c>
    </row>
    <row r="479" spans="1:11" ht="14.4" customHeight="1" x14ac:dyDescent="0.3">
      <c r="A479" s="695" t="s">
        <v>545</v>
      </c>
      <c r="B479" s="696" t="s">
        <v>1978</v>
      </c>
      <c r="C479" s="699" t="s">
        <v>561</v>
      </c>
      <c r="D479" s="720" t="s">
        <v>1982</v>
      </c>
      <c r="E479" s="699" t="s">
        <v>4057</v>
      </c>
      <c r="F479" s="720" t="s">
        <v>4058</v>
      </c>
      <c r="G479" s="699" t="s">
        <v>3876</v>
      </c>
      <c r="H479" s="699" t="s">
        <v>3877</v>
      </c>
      <c r="I479" s="711">
        <v>41</v>
      </c>
      <c r="J479" s="711">
        <v>20</v>
      </c>
      <c r="K479" s="712">
        <v>820</v>
      </c>
    </row>
    <row r="480" spans="1:11" ht="14.4" customHeight="1" x14ac:dyDescent="0.3">
      <c r="A480" s="695" t="s">
        <v>545</v>
      </c>
      <c r="B480" s="696" t="s">
        <v>1978</v>
      </c>
      <c r="C480" s="699" t="s">
        <v>561</v>
      </c>
      <c r="D480" s="720" t="s">
        <v>1982</v>
      </c>
      <c r="E480" s="699" t="s">
        <v>4057</v>
      </c>
      <c r="F480" s="720" t="s">
        <v>4058</v>
      </c>
      <c r="G480" s="699" t="s">
        <v>3995</v>
      </c>
      <c r="H480" s="699" t="s">
        <v>3996</v>
      </c>
      <c r="I480" s="711">
        <v>1500.4000000000003</v>
      </c>
      <c r="J480" s="711">
        <v>16</v>
      </c>
      <c r="K480" s="712">
        <v>24006.400000000001</v>
      </c>
    </row>
    <row r="481" spans="1:11" ht="14.4" customHeight="1" x14ac:dyDescent="0.3">
      <c r="A481" s="695" t="s">
        <v>545</v>
      </c>
      <c r="B481" s="696" t="s">
        <v>1978</v>
      </c>
      <c r="C481" s="699" t="s">
        <v>561</v>
      </c>
      <c r="D481" s="720" t="s">
        <v>1982</v>
      </c>
      <c r="E481" s="699" t="s">
        <v>4057</v>
      </c>
      <c r="F481" s="720" t="s">
        <v>4058</v>
      </c>
      <c r="G481" s="699" t="s">
        <v>3997</v>
      </c>
      <c r="H481" s="699" t="s">
        <v>3998</v>
      </c>
      <c r="I481" s="711">
        <v>123.21</v>
      </c>
      <c r="J481" s="711">
        <v>10</v>
      </c>
      <c r="K481" s="712">
        <v>1232.1400000000001</v>
      </c>
    </row>
    <row r="482" spans="1:11" ht="14.4" customHeight="1" x14ac:dyDescent="0.3">
      <c r="A482" s="695" t="s">
        <v>545</v>
      </c>
      <c r="B482" s="696" t="s">
        <v>1978</v>
      </c>
      <c r="C482" s="699" t="s">
        <v>561</v>
      </c>
      <c r="D482" s="720" t="s">
        <v>1982</v>
      </c>
      <c r="E482" s="699" t="s">
        <v>4057</v>
      </c>
      <c r="F482" s="720" t="s">
        <v>4058</v>
      </c>
      <c r="G482" s="699" t="s">
        <v>3999</v>
      </c>
      <c r="H482" s="699" t="s">
        <v>4000</v>
      </c>
      <c r="I482" s="711">
        <v>2568.59</v>
      </c>
      <c r="J482" s="711">
        <v>2</v>
      </c>
      <c r="K482" s="712">
        <v>5137.18</v>
      </c>
    </row>
    <row r="483" spans="1:11" ht="14.4" customHeight="1" x14ac:dyDescent="0.3">
      <c r="A483" s="695" t="s">
        <v>545</v>
      </c>
      <c r="B483" s="696" t="s">
        <v>1978</v>
      </c>
      <c r="C483" s="699" t="s">
        <v>561</v>
      </c>
      <c r="D483" s="720" t="s">
        <v>1982</v>
      </c>
      <c r="E483" s="699" t="s">
        <v>4057</v>
      </c>
      <c r="F483" s="720" t="s">
        <v>4058</v>
      </c>
      <c r="G483" s="699" t="s">
        <v>3882</v>
      </c>
      <c r="H483" s="699" t="s">
        <v>3883</v>
      </c>
      <c r="I483" s="711">
        <v>618.08000000000004</v>
      </c>
      <c r="J483" s="711">
        <v>1</v>
      </c>
      <c r="K483" s="712">
        <v>618.08000000000004</v>
      </c>
    </row>
    <row r="484" spans="1:11" ht="14.4" customHeight="1" x14ac:dyDescent="0.3">
      <c r="A484" s="695" t="s">
        <v>545</v>
      </c>
      <c r="B484" s="696" t="s">
        <v>1978</v>
      </c>
      <c r="C484" s="699" t="s">
        <v>561</v>
      </c>
      <c r="D484" s="720" t="s">
        <v>1982</v>
      </c>
      <c r="E484" s="699" t="s">
        <v>4057</v>
      </c>
      <c r="F484" s="720" t="s">
        <v>4058</v>
      </c>
      <c r="G484" s="699" t="s">
        <v>3892</v>
      </c>
      <c r="H484" s="699" t="s">
        <v>3893</v>
      </c>
      <c r="I484" s="711">
        <v>104.06</v>
      </c>
      <c r="J484" s="711">
        <v>60</v>
      </c>
      <c r="K484" s="712">
        <v>6243.6</v>
      </c>
    </row>
    <row r="485" spans="1:11" ht="14.4" customHeight="1" x14ac:dyDescent="0.3">
      <c r="A485" s="695" t="s">
        <v>545</v>
      </c>
      <c r="B485" s="696" t="s">
        <v>1978</v>
      </c>
      <c r="C485" s="699" t="s">
        <v>561</v>
      </c>
      <c r="D485" s="720" t="s">
        <v>1982</v>
      </c>
      <c r="E485" s="699" t="s">
        <v>4057</v>
      </c>
      <c r="F485" s="720" t="s">
        <v>4058</v>
      </c>
      <c r="G485" s="699" t="s">
        <v>3914</v>
      </c>
      <c r="H485" s="699" t="s">
        <v>3915</v>
      </c>
      <c r="I485" s="711">
        <v>24.199999999999996</v>
      </c>
      <c r="J485" s="711">
        <v>1050</v>
      </c>
      <c r="K485" s="712">
        <v>25410</v>
      </c>
    </row>
    <row r="486" spans="1:11" ht="14.4" customHeight="1" x14ac:dyDescent="0.3">
      <c r="A486" s="695" t="s">
        <v>545</v>
      </c>
      <c r="B486" s="696" t="s">
        <v>1978</v>
      </c>
      <c r="C486" s="699" t="s">
        <v>561</v>
      </c>
      <c r="D486" s="720" t="s">
        <v>1982</v>
      </c>
      <c r="E486" s="699" t="s">
        <v>4057</v>
      </c>
      <c r="F486" s="720" t="s">
        <v>4058</v>
      </c>
      <c r="G486" s="699" t="s">
        <v>3916</v>
      </c>
      <c r="H486" s="699" t="s">
        <v>3917</v>
      </c>
      <c r="I486" s="711">
        <v>24.199999999999996</v>
      </c>
      <c r="J486" s="711">
        <v>1150</v>
      </c>
      <c r="K486" s="712">
        <v>27830</v>
      </c>
    </row>
    <row r="487" spans="1:11" ht="14.4" customHeight="1" x14ac:dyDescent="0.3">
      <c r="A487" s="695" t="s">
        <v>545</v>
      </c>
      <c r="B487" s="696" t="s">
        <v>1978</v>
      </c>
      <c r="C487" s="699" t="s">
        <v>561</v>
      </c>
      <c r="D487" s="720" t="s">
        <v>1982</v>
      </c>
      <c r="E487" s="699" t="s">
        <v>4057</v>
      </c>
      <c r="F487" s="720" t="s">
        <v>4058</v>
      </c>
      <c r="G487" s="699" t="s">
        <v>4001</v>
      </c>
      <c r="H487" s="699" t="s">
        <v>4002</v>
      </c>
      <c r="I487" s="711">
        <v>132</v>
      </c>
      <c r="J487" s="711">
        <v>10</v>
      </c>
      <c r="K487" s="712">
        <v>1319.99</v>
      </c>
    </row>
    <row r="488" spans="1:11" ht="14.4" customHeight="1" x14ac:dyDescent="0.3">
      <c r="A488" s="695" t="s">
        <v>545</v>
      </c>
      <c r="B488" s="696" t="s">
        <v>1978</v>
      </c>
      <c r="C488" s="699" t="s">
        <v>561</v>
      </c>
      <c r="D488" s="720" t="s">
        <v>1982</v>
      </c>
      <c r="E488" s="699" t="s">
        <v>4057</v>
      </c>
      <c r="F488" s="720" t="s">
        <v>4058</v>
      </c>
      <c r="G488" s="699" t="s">
        <v>4003</v>
      </c>
      <c r="H488" s="699" t="s">
        <v>4004</v>
      </c>
      <c r="I488" s="711">
        <v>132</v>
      </c>
      <c r="J488" s="711">
        <v>10</v>
      </c>
      <c r="K488" s="712">
        <v>1319.99</v>
      </c>
    </row>
    <row r="489" spans="1:11" ht="14.4" customHeight="1" x14ac:dyDescent="0.3">
      <c r="A489" s="695" t="s">
        <v>545</v>
      </c>
      <c r="B489" s="696" t="s">
        <v>1978</v>
      </c>
      <c r="C489" s="699" t="s">
        <v>561</v>
      </c>
      <c r="D489" s="720" t="s">
        <v>1982</v>
      </c>
      <c r="E489" s="699" t="s">
        <v>4057</v>
      </c>
      <c r="F489" s="720" t="s">
        <v>4058</v>
      </c>
      <c r="G489" s="699" t="s">
        <v>3640</v>
      </c>
      <c r="H489" s="699" t="s">
        <v>3641</v>
      </c>
      <c r="I489" s="711">
        <v>24.2</v>
      </c>
      <c r="J489" s="711">
        <v>20</v>
      </c>
      <c r="K489" s="712">
        <v>484</v>
      </c>
    </row>
    <row r="490" spans="1:11" ht="14.4" customHeight="1" x14ac:dyDescent="0.3">
      <c r="A490" s="695" t="s">
        <v>545</v>
      </c>
      <c r="B490" s="696" t="s">
        <v>1978</v>
      </c>
      <c r="C490" s="699" t="s">
        <v>561</v>
      </c>
      <c r="D490" s="720" t="s">
        <v>1982</v>
      </c>
      <c r="E490" s="699" t="s">
        <v>4057</v>
      </c>
      <c r="F490" s="720" t="s">
        <v>4058</v>
      </c>
      <c r="G490" s="699" t="s">
        <v>3928</v>
      </c>
      <c r="H490" s="699" t="s">
        <v>3929</v>
      </c>
      <c r="I490" s="711">
        <v>77.44</v>
      </c>
      <c r="J490" s="711">
        <v>10</v>
      </c>
      <c r="K490" s="712">
        <v>774.4</v>
      </c>
    </row>
    <row r="491" spans="1:11" ht="14.4" customHeight="1" x14ac:dyDescent="0.3">
      <c r="A491" s="695" t="s">
        <v>545</v>
      </c>
      <c r="B491" s="696" t="s">
        <v>1978</v>
      </c>
      <c r="C491" s="699" t="s">
        <v>561</v>
      </c>
      <c r="D491" s="720" t="s">
        <v>1982</v>
      </c>
      <c r="E491" s="699" t="s">
        <v>4057</v>
      </c>
      <c r="F491" s="720" t="s">
        <v>4058</v>
      </c>
      <c r="G491" s="699" t="s">
        <v>4005</v>
      </c>
      <c r="H491" s="699" t="s">
        <v>4006</v>
      </c>
      <c r="I491" s="711">
        <v>72.150000000000006</v>
      </c>
      <c r="J491" s="711">
        <v>25</v>
      </c>
      <c r="K491" s="712">
        <v>1803.81</v>
      </c>
    </row>
    <row r="492" spans="1:11" ht="14.4" customHeight="1" x14ac:dyDescent="0.3">
      <c r="A492" s="695" t="s">
        <v>545</v>
      </c>
      <c r="B492" s="696" t="s">
        <v>1978</v>
      </c>
      <c r="C492" s="699" t="s">
        <v>561</v>
      </c>
      <c r="D492" s="720" t="s">
        <v>1982</v>
      </c>
      <c r="E492" s="699" t="s">
        <v>4057</v>
      </c>
      <c r="F492" s="720" t="s">
        <v>4058</v>
      </c>
      <c r="G492" s="699" t="s">
        <v>4007</v>
      </c>
      <c r="H492" s="699" t="s">
        <v>4008</v>
      </c>
      <c r="I492" s="711">
        <v>132</v>
      </c>
      <c r="J492" s="711">
        <v>40</v>
      </c>
      <c r="K492" s="712">
        <v>5279.96</v>
      </c>
    </row>
    <row r="493" spans="1:11" ht="14.4" customHeight="1" x14ac:dyDescent="0.3">
      <c r="A493" s="695" t="s">
        <v>545</v>
      </c>
      <c r="B493" s="696" t="s">
        <v>1978</v>
      </c>
      <c r="C493" s="699" t="s">
        <v>561</v>
      </c>
      <c r="D493" s="720" t="s">
        <v>1982</v>
      </c>
      <c r="E493" s="699" t="s">
        <v>4057</v>
      </c>
      <c r="F493" s="720" t="s">
        <v>4058</v>
      </c>
      <c r="G493" s="699" t="s">
        <v>4009</v>
      </c>
      <c r="H493" s="699" t="s">
        <v>4010</v>
      </c>
      <c r="I493" s="711">
        <v>143</v>
      </c>
      <c r="J493" s="711">
        <v>30</v>
      </c>
      <c r="K493" s="712">
        <v>4399.92</v>
      </c>
    </row>
    <row r="494" spans="1:11" ht="14.4" customHeight="1" x14ac:dyDescent="0.3">
      <c r="A494" s="695" t="s">
        <v>545</v>
      </c>
      <c r="B494" s="696" t="s">
        <v>1978</v>
      </c>
      <c r="C494" s="699" t="s">
        <v>561</v>
      </c>
      <c r="D494" s="720" t="s">
        <v>1982</v>
      </c>
      <c r="E494" s="699" t="s">
        <v>4057</v>
      </c>
      <c r="F494" s="720" t="s">
        <v>4058</v>
      </c>
      <c r="G494" s="699" t="s">
        <v>4011</v>
      </c>
      <c r="H494" s="699" t="s">
        <v>4012</v>
      </c>
      <c r="I494" s="711">
        <v>45.62</v>
      </c>
      <c r="J494" s="711">
        <v>25</v>
      </c>
      <c r="K494" s="712">
        <v>1140.43</v>
      </c>
    </row>
    <row r="495" spans="1:11" ht="14.4" customHeight="1" x14ac:dyDescent="0.3">
      <c r="A495" s="695" t="s">
        <v>545</v>
      </c>
      <c r="B495" s="696" t="s">
        <v>1978</v>
      </c>
      <c r="C495" s="699" t="s">
        <v>561</v>
      </c>
      <c r="D495" s="720" t="s">
        <v>1982</v>
      </c>
      <c r="E495" s="699" t="s">
        <v>4057</v>
      </c>
      <c r="F495" s="720" t="s">
        <v>4058</v>
      </c>
      <c r="G495" s="699" t="s">
        <v>3940</v>
      </c>
      <c r="H495" s="699" t="s">
        <v>3941</v>
      </c>
      <c r="I495" s="711">
        <v>17.619999999999997</v>
      </c>
      <c r="J495" s="711">
        <v>17</v>
      </c>
      <c r="K495" s="712">
        <v>300.40999999999997</v>
      </c>
    </row>
    <row r="496" spans="1:11" ht="14.4" customHeight="1" x14ac:dyDescent="0.3">
      <c r="A496" s="695" t="s">
        <v>545</v>
      </c>
      <c r="B496" s="696" t="s">
        <v>1978</v>
      </c>
      <c r="C496" s="699" t="s">
        <v>561</v>
      </c>
      <c r="D496" s="720" t="s">
        <v>1982</v>
      </c>
      <c r="E496" s="699" t="s">
        <v>4057</v>
      </c>
      <c r="F496" s="720" t="s">
        <v>4058</v>
      </c>
      <c r="G496" s="699" t="s">
        <v>3658</v>
      </c>
      <c r="H496" s="699" t="s">
        <v>3659</v>
      </c>
      <c r="I496" s="711">
        <v>8.4700000000000006</v>
      </c>
      <c r="J496" s="711">
        <v>150</v>
      </c>
      <c r="K496" s="712">
        <v>1270.5</v>
      </c>
    </row>
    <row r="497" spans="1:11" ht="14.4" customHeight="1" x14ac:dyDescent="0.3">
      <c r="A497" s="695" t="s">
        <v>545</v>
      </c>
      <c r="B497" s="696" t="s">
        <v>1978</v>
      </c>
      <c r="C497" s="699" t="s">
        <v>561</v>
      </c>
      <c r="D497" s="720" t="s">
        <v>1982</v>
      </c>
      <c r="E497" s="699" t="s">
        <v>4057</v>
      </c>
      <c r="F497" s="720" t="s">
        <v>4058</v>
      </c>
      <c r="G497" s="699" t="s">
        <v>3942</v>
      </c>
      <c r="H497" s="699" t="s">
        <v>3943</v>
      </c>
      <c r="I497" s="711">
        <v>198.98666666666668</v>
      </c>
      <c r="J497" s="711">
        <v>30</v>
      </c>
      <c r="K497" s="712">
        <v>5969.59</v>
      </c>
    </row>
    <row r="498" spans="1:11" ht="14.4" customHeight="1" x14ac:dyDescent="0.3">
      <c r="A498" s="695" t="s">
        <v>545</v>
      </c>
      <c r="B498" s="696" t="s">
        <v>1978</v>
      </c>
      <c r="C498" s="699" t="s">
        <v>561</v>
      </c>
      <c r="D498" s="720" t="s">
        <v>1982</v>
      </c>
      <c r="E498" s="699" t="s">
        <v>4057</v>
      </c>
      <c r="F498" s="720" t="s">
        <v>4058</v>
      </c>
      <c r="G498" s="699" t="s">
        <v>4013</v>
      </c>
      <c r="H498" s="699" t="s">
        <v>4014</v>
      </c>
      <c r="I498" s="711">
        <v>384.04</v>
      </c>
      <c r="J498" s="711">
        <v>3</v>
      </c>
      <c r="K498" s="712">
        <v>1152.1300000000001</v>
      </c>
    </row>
    <row r="499" spans="1:11" ht="14.4" customHeight="1" x14ac:dyDescent="0.3">
      <c r="A499" s="695" t="s">
        <v>545</v>
      </c>
      <c r="B499" s="696" t="s">
        <v>1978</v>
      </c>
      <c r="C499" s="699" t="s">
        <v>561</v>
      </c>
      <c r="D499" s="720" t="s">
        <v>1982</v>
      </c>
      <c r="E499" s="699" t="s">
        <v>4057</v>
      </c>
      <c r="F499" s="720" t="s">
        <v>4058</v>
      </c>
      <c r="G499" s="699" t="s">
        <v>4015</v>
      </c>
      <c r="H499" s="699" t="s">
        <v>4016</v>
      </c>
      <c r="I499" s="711">
        <v>198.98</v>
      </c>
      <c r="J499" s="711">
        <v>10</v>
      </c>
      <c r="K499" s="712">
        <v>1989.85</v>
      </c>
    </row>
    <row r="500" spans="1:11" ht="14.4" customHeight="1" x14ac:dyDescent="0.3">
      <c r="A500" s="695" t="s">
        <v>545</v>
      </c>
      <c r="B500" s="696" t="s">
        <v>1978</v>
      </c>
      <c r="C500" s="699" t="s">
        <v>561</v>
      </c>
      <c r="D500" s="720" t="s">
        <v>1982</v>
      </c>
      <c r="E500" s="699" t="s">
        <v>4057</v>
      </c>
      <c r="F500" s="720" t="s">
        <v>4058</v>
      </c>
      <c r="G500" s="699" t="s">
        <v>4017</v>
      </c>
      <c r="H500" s="699" t="s">
        <v>4018</v>
      </c>
      <c r="I500" s="711">
        <v>350.9</v>
      </c>
      <c r="J500" s="711">
        <v>2</v>
      </c>
      <c r="K500" s="712">
        <v>701.8</v>
      </c>
    </row>
    <row r="501" spans="1:11" ht="14.4" customHeight="1" x14ac:dyDescent="0.3">
      <c r="A501" s="695" t="s">
        <v>545</v>
      </c>
      <c r="B501" s="696" t="s">
        <v>1978</v>
      </c>
      <c r="C501" s="699" t="s">
        <v>561</v>
      </c>
      <c r="D501" s="720" t="s">
        <v>1982</v>
      </c>
      <c r="E501" s="699" t="s">
        <v>4057</v>
      </c>
      <c r="F501" s="720" t="s">
        <v>4058</v>
      </c>
      <c r="G501" s="699" t="s">
        <v>4019</v>
      </c>
      <c r="H501" s="699" t="s">
        <v>4020</v>
      </c>
      <c r="I501" s="711">
        <v>57.61</v>
      </c>
      <c r="J501" s="711">
        <v>3</v>
      </c>
      <c r="K501" s="712">
        <v>172.82</v>
      </c>
    </row>
    <row r="502" spans="1:11" ht="14.4" customHeight="1" x14ac:dyDescent="0.3">
      <c r="A502" s="695" t="s">
        <v>545</v>
      </c>
      <c r="B502" s="696" t="s">
        <v>1978</v>
      </c>
      <c r="C502" s="699" t="s">
        <v>561</v>
      </c>
      <c r="D502" s="720" t="s">
        <v>1982</v>
      </c>
      <c r="E502" s="699" t="s">
        <v>4057</v>
      </c>
      <c r="F502" s="720" t="s">
        <v>4058</v>
      </c>
      <c r="G502" s="699" t="s">
        <v>4021</v>
      </c>
      <c r="H502" s="699" t="s">
        <v>4022</v>
      </c>
      <c r="I502" s="711">
        <v>350.9</v>
      </c>
      <c r="J502" s="711">
        <v>1</v>
      </c>
      <c r="K502" s="712">
        <v>350.9</v>
      </c>
    </row>
    <row r="503" spans="1:11" ht="14.4" customHeight="1" x14ac:dyDescent="0.3">
      <c r="A503" s="695" t="s">
        <v>545</v>
      </c>
      <c r="B503" s="696" t="s">
        <v>1978</v>
      </c>
      <c r="C503" s="699" t="s">
        <v>561</v>
      </c>
      <c r="D503" s="720" t="s">
        <v>1982</v>
      </c>
      <c r="E503" s="699" t="s">
        <v>4057</v>
      </c>
      <c r="F503" s="720" t="s">
        <v>4058</v>
      </c>
      <c r="G503" s="699" t="s">
        <v>3950</v>
      </c>
      <c r="H503" s="699" t="s">
        <v>3951</v>
      </c>
      <c r="I503" s="711">
        <v>24.2</v>
      </c>
      <c r="J503" s="711">
        <v>50</v>
      </c>
      <c r="K503" s="712">
        <v>1210</v>
      </c>
    </row>
    <row r="504" spans="1:11" ht="14.4" customHeight="1" x14ac:dyDescent="0.3">
      <c r="A504" s="695" t="s">
        <v>545</v>
      </c>
      <c r="B504" s="696" t="s">
        <v>1978</v>
      </c>
      <c r="C504" s="699" t="s">
        <v>561</v>
      </c>
      <c r="D504" s="720" t="s">
        <v>1982</v>
      </c>
      <c r="E504" s="699" t="s">
        <v>4057</v>
      </c>
      <c r="F504" s="720" t="s">
        <v>4058</v>
      </c>
      <c r="G504" s="699" t="s">
        <v>4023</v>
      </c>
      <c r="H504" s="699" t="s">
        <v>4024</v>
      </c>
      <c r="I504" s="711">
        <v>1500.38</v>
      </c>
      <c r="J504" s="711">
        <v>4</v>
      </c>
      <c r="K504" s="712">
        <v>6001.5</v>
      </c>
    </row>
    <row r="505" spans="1:11" ht="14.4" customHeight="1" x14ac:dyDescent="0.3">
      <c r="A505" s="695" t="s">
        <v>545</v>
      </c>
      <c r="B505" s="696" t="s">
        <v>1978</v>
      </c>
      <c r="C505" s="699" t="s">
        <v>561</v>
      </c>
      <c r="D505" s="720" t="s">
        <v>1982</v>
      </c>
      <c r="E505" s="699" t="s">
        <v>4057</v>
      </c>
      <c r="F505" s="720" t="s">
        <v>4058</v>
      </c>
      <c r="G505" s="699" t="s">
        <v>4025</v>
      </c>
      <c r="H505" s="699" t="s">
        <v>4026</v>
      </c>
      <c r="I505" s="711">
        <v>33.76</v>
      </c>
      <c r="J505" s="711">
        <v>25</v>
      </c>
      <c r="K505" s="712">
        <v>844</v>
      </c>
    </row>
    <row r="506" spans="1:11" ht="14.4" customHeight="1" x14ac:dyDescent="0.3">
      <c r="A506" s="695" t="s">
        <v>545</v>
      </c>
      <c r="B506" s="696" t="s">
        <v>1978</v>
      </c>
      <c r="C506" s="699" t="s">
        <v>561</v>
      </c>
      <c r="D506" s="720" t="s">
        <v>1982</v>
      </c>
      <c r="E506" s="699" t="s">
        <v>4057</v>
      </c>
      <c r="F506" s="720" t="s">
        <v>4058</v>
      </c>
      <c r="G506" s="699" t="s">
        <v>4027</v>
      </c>
      <c r="H506" s="699" t="s">
        <v>4028</v>
      </c>
      <c r="I506" s="711">
        <v>96.68</v>
      </c>
      <c r="J506" s="711">
        <v>25</v>
      </c>
      <c r="K506" s="712">
        <v>2417</v>
      </c>
    </row>
    <row r="507" spans="1:11" ht="14.4" customHeight="1" x14ac:dyDescent="0.3">
      <c r="A507" s="695" t="s">
        <v>545</v>
      </c>
      <c r="B507" s="696" t="s">
        <v>1978</v>
      </c>
      <c r="C507" s="699" t="s">
        <v>561</v>
      </c>
      <c r="D507" s="720" t="s">
        <v>1982</v>
      </c>
      <c r="E507" s="699" t="s">
        <v>4065</v>
      </c>
      <c r="F507" s="720" t="s">
        <v>4066</v>
      </c>
      <c r="G507" s="699" t="s">
        <v>3702</v>
      </c>
      <c r="H507" s="699" t="s">
        <v>3703</v>
      </c>
      <c r="I507" s="711">
        <v>319.91000000000003</v>
      </c>
      <c r="J507" s="711">
        <v>100</v>
      </c>
      <c r="K507" s="712">
        <v>31991.200000000001</v>
      </c>
    </row>
    <row r="508" spans="1:11" ht="14.4" customHeight="1" x14ac:dyDescent="0.3">
      <c r="A508" s="695" t="s">
        <v>545</v>
      </c>
      <c r="B508" s="696" t="s">
        <v>1978</v>
      </c>
      <c r="C508" s="699" t="s">
        <v>561</v>
      </c>
      <c r="D508" s="720" t="s">
        <v>1982</v>
      </c>
      <c r="E508" s="699" t="s">
        <v>4065</v>
      </c>
      <c r="F508" s="720" t="s">
        <v>4066</v>
      </c>
      <c r="G508" s="699" t="s">
        <v>4029</v>
      </c>
      <c r="H508" s="699" t="s">
        <v>4030</v>
      </c>
      <c r="I508" s="711">
        <v>267.79000000000002</v>
      </c>
      <c r="J508" s="711">
        <v>10</v>
      </c>
      <c r="K508" s="712">
        <v>2677.9</v>
      </c>
    </row>
    <row r="509" spans="1:11" ht="14.4" customHeight="1" x14ac:dyDescent="0.3">
      <c r="A509" s="695" t="s">
        <v>545</v>
      </c>
      <c r="B509" s="696" t="s">
        <v>1978</v>
      </c>
      <c r="C509" s="699" t="s">
        <v>561</v>
      </c>
      <c r="D509" s="720" t="s">
        <v>1982</v>
      </c>
      <c r="E509" s="699" t="s">
        <v>4069</v>
      </c>
      <c r="F509" s="720" t="s">
        <v>4070</v>
      </c>
      <c r="G509" s="699" t="s">
        <v>3962</v>
      </c>
      <c r="H509" s="699" t="s">
        <v>3963</v>
      </c>
      <c r="I509" s="711">
        <v>8.1666666666666661</v>
      </c>
      <c r="J509" s="711">
        <v>2100</v>
      </c>
      <c r="K509" s="712">
        <v>17148</v>
      </c>
    </row>
    <row r="510" spans="1:11" ht="14.4" customHeight="1" x14ac:dyDescent="0.3">
      <c r="A510" s="695" t="s">
        <v>545</v>
      </c>
      <c r="B510" s="696" t="s">
        <v>1978</v>
      </c>
      <c r="C510" s="699" t="s">
        <v>561</v>
      </c>
      <c r="D510" s="720" t="s">
        <v>1982</v>
      </c>
      <c r="E510" s="699" t="s">
        <v>4069</v>
      </c>
      <c r="F510" s="720" t="s">
        <v>4070</v>
      </c>
      <c r="G510" s="699" t="s">
        <v>3962</v>
      </c>
      <c r="H510" s="699" t="s">
        <v>3964</v>
      </c>
      <c r="I510" s="711">
        <v>8.1650000000000009</v>
      </c>
      <c r="J510" s="711">
        <v>1500</v>
      </c>
      <c r="K510" s="712">
        <v>12247</v>
      </c>
    </row>
    <row r="511" spans="1:11" ht="14.4" customHeight="1" x14ac:dyDescent="0.3">
      <c r="A511" s="695" t="s">
        <v>545</v>
      </c>
      <c r="B511" s="696" t="s">
        <v>1978</v>
      </c>
      <c r="C511" s="699" t="s">
        <v>561</v>
      </c>
      <c r="D511" s="720" t="s">
        <v>1982</v>
      </c>
      <c r="E511" s="699" t="s">
        <v>4069</v>
      </c>
      <c r="F511" s="720" t="s">
        <v>4070</v>
      </c>
      <c r="G511" s="699" t="s">
        <v>3716</v>
      </c>
      <c r="H511" s="699" t="s">
        <v>3717</v>
      </c>
      <c r="I511" s="711">
        <v>12.701428571428574</v>
      </c>
      <c r="J511" s="711">
        <v>370</v>
      </c>
      <c r="K511" s="712">
        <v>4699.5</v>
      </c>
    </row>
    <row r="512" spans="1:11" ht="14.4" customHeight="1" x14ac:dyDescent="0.3">
      <c r="A512" s="695" t="s">
        <v>545</v>
      </c>
      <c r="B512" s="696" t="s">
        <v>1978</v>
      </c>
      <c r="C512" s="699" t="s">
        <v>561</v>
      </c>
      <c r="D512" s="720" t="s">
        <v>1982</v>
      </c>
      <c r="E512" s="699" t="s">
        <v>4069</v>
      </c>
      <c r="F512" s="720" t="s">
        <v>4070</v>
      </c>
      <c r="G512" s="699" t="s">
        <v>4031</v>
      </c>
      <c r="H512" s="699" t="s">
        <v>4032</v>
      </c>
      <c r="I512" s="711">
        <v>362.73</v>
      </c>
      <c r="J512" s="711">
        <v>20</v>
      </c>
      <c r="K512" s="712">
        <v>7254.68</v>
      </c>
    </row>
    <row r="513" spans="1:11" ht="14.4" customHeight="1" x14ac:dyDescent="0.3">
      <c r="A513" s="695" t="s">
        <v>545</v>
      </c>
      <c r="B513" s="696" t="s">
        <v>1978</v>
      </c>
      <c r="C513" s="699" t="s">
        <v>561</v>
      </c>
      <c r="D513" s="720" t="s">
        <v>1982</v>
      </c>
      <c r="E513" s="699" t="s">
        <v>4071</v>
      </c>
      <c r="F513" s="720" t="s">
        <v>4072</v>
      </c>
      <c r="G513" s="699" t="s">
        <v>4033</v>
      </c>
      <c r="H513" s="699" t="s">
        <v>4034</v>
      </c>
      <c r="I513" s="711">
        <v>34.880000000000003</v>
      </c>
      <c r="J513" s="711">
        <v>396</v>
      </c>
      <c r="K513" s="712">
        <v>13812.34</v>
      </c>
    </row>
    <row r="514" spans="1:11" ht="14.4" customHeight="1" x14ac:dyDescent="0.3">
      <c r="A514" s="695" t="s">
        <v>545</v>
      </c>
      <c r="B514" s="696" t="s">
        <v>1978</v>
      </c>
      <c r="C514" s="699" t="s">
        <v>561</v>
      </c>
      <c r="D514" s="720" t="s">
        <v>1982</v>
      </c>
      <c r="E514" s="699" t="s">
        <v>4059</v>
      </c>
      <c r="F514" s="720" t="s">
        <v>4060</v>
      </c>
      <c r="G514" s="699" t="s">
        <v>3320</v>
      </c>
      <c r="H514" s="699" t="s">
        <v>3321</v>
      </c>
      <c r="I514" s="711">
        <v>180.435</v>
      </c>
      <c r="J514" s="711">
        <v>50</v>
      </c>
      <c r="K514" s="712">
        <v>9021.64</v>
      </c>
    </row>
    <row r="515" spans="1:11" ht="14.4" customHeight="1" x14ac:dyDescent="0.3">
      <c r="A515" s="695" t="s">
        <v>545</v>
      </c>
      <c r="B515" s="696" t="s">
        <v>1978</v>
      </c>
      <c r="C515" s="699" t="s">
        <v>561</v>
      </c>
      <c r="D515" s="720" t="s">
        <v>1982</v>
      </c>
      <c r="E515" s="699" t="s">
        <v>4059</v>
      </c>
      <c r="F515" s="720" t="s">
        <v>4060</v>
      </c>
      <c r="G515" s="699" t="s">
        <v>3741</v>
      </c>
      <c r="H515" s="699" t="s">
        <v>3742</v>
      </c>
      <c r="I515" s="711">
        <v>0.30571428571428572</v>
      </c>
      <c r="J515" s="711">
        <v>2900</v>
      </c>
      <c r="K515" s="712">
        <v>893</v>
      </c>
    </row>
    <row r="516" spans="1:11" ht="14.4" customHeight="1" x14ac:dyDescent="0.3">
      <c r="A516" s="695" t="s">
        <v>545</v>
      </c>
      <c r="B516" s="696" t="s">
        <v>1978</v>
      </c>
      <c r="C516" s="699" t="s">
        <v>561</v>
      </c>
      <c r="D516" s="720" t="s">
        <v>1982</v>
      </c>
      <c r="E516" s="699" t="s">
        <v>4059</v>
      </c>
      <c r="F516" s="720" t="s">
        <v>4060</v>
      </c>
      <c r="G516" s="699" t="s">
        <v>3322</v>
      </c>
      <c r="H516" s="699" t="s">
        <v>3323</v>
      </c>
      <c r="I516" s="711">
        <v>0.30199999999999999</v>
      </c>
      <c r="J516" s="711">
        <v>2400</v>
      </c>
      <c r="K516" s="712">
        <v>725</v>
      </c>
    </row>
    <row r="517" spans="1:11" ht="14.4" customHeight="1" x14ac:dyDescent="0.3">
      <c r="A517" s="695" t="s">
        <v>545</v>
      </c>
      <c r="B517" s="696" t="s">
        <v>1978</v>
      </c>
      <c r="C517" s="699" t="s">
        <v>561</v>
      </c>
      <c r="D517" s="720" t="s">
        <v>1982</v>
      </c>
      <c r="E517" s="699" t="s">
        <v>4059</v>
      </c>
      <c r="F517" s="720" t="s">
        <v>4060</v>
      </c>
      <c r="G517" s="699" t="s">
        <v>3965</v>
      </c>
      <c r="H517" s="699" t="s">
        <v>3966</v>
      </c>
      <c r="I517" s="711">
        <v>48.83</v>
      </c>
      <c r="J517" s="711">
        <v>25</v>
      </c>
      <c r="K517" s="712">
        <v>1220.68</v>
      </c>
    </row>
    <row r="518" spans="1:11" ht="14.4" customHeight="1" x14ac:dyDescent="0.3">
      <c r="A518" s="695" t="s">
        <v>545</v>
      </c>
      <c r="B518" s="696" t="s">
        <v>1978</v>
      </c>
      <c r="C518" s="699" t="s">
        <v>561</v>
      </c>
      <c r="D518" s="720" t="s">
        <v>1982</v>
      </c>
      <c r="E518" s="699" t="s">
        <v>4059</v>
      </c>
      <c r="F518" s="720" t="s">
        <v>4060</v>
      </c>
      <c r="G518" s="699" t="s">
        <v>3324</v>
      </c>
      <c r="H518" s="699" t="s">
        <v>3325</v>
      </c>
      <c r="I518" s="711">
        <v>0.30499999999999999</v>
      </c>
      <c r="J518" s="711">
        <v>8700</v>
      </c>
      <c r="K518" s="712">
        <v>2654</v>
      </c>
    </row>
    <row r="519" spans="1:11" ht="14.4" customHeight="1" x14ac:dyDescent="0.3">
      <c r="A519" s="695" t="s">
        <v>545</v>
      </c>
      <c r="B519" s="696" t="s">
        <v>1978</v>
      </c>
      <c r="C519" s="699" t="s">
        <v>561</v>
      </c>
      <c r="D519" s="720" t="s">
        <v>1982</v>
      </c>
      <c r="E519" s="699" t="s">
        <v>4059</v>
      </c>
      <c r="F519" s="720" t="s">
        <v>4060</v>
      </c>
      <c r="G519" s="699" t="s">
        <v>3967</v>
      </c>
      <c r="H519" s="699" t="s">
        <v>3968</v>
      </c>
      <c r="I519" s="711">
        <v>48.823333333333331</v>
      </c>
      <c r="J519" s="711">
        <v>75</v>
      </c>
      <c r="K519" s="712">
        <v>3662.0299999999997</v>
      </c>
    </row>
    <row r="520" spans="1:11" ht="14.4" customHeight="1" x14ac:dyDescent="0.3">
      <c r="A520" s="695" t="s">
        <v>545</v>
      </c>
      <c r="B520" s="696" t="s">
        <v>1978</v>
      </c>
      <c r="C520" s="699" t="s">
        <v>561</v>
      </c>
      <c r="D520" s="720" t="s">
        <v>1982</v>
      </c>
      <c r="E520" s="699" t="s">
        <v>4059</v>
      </c>
      <c r="F520" s="720" t="s">
        <v>4060</v>
      </c>
      <c r="G520" s="699" t="s">
        <v>3971</v>
      </c>
      <c r="H520" s="699" t="s">
        <v>3972</v>
      </c>
      <c r="I520" s="711">
        <v>31.74</v>
      </c>
      <c r="J520" s="711">
        <v>50</v>
      </c>
      <c r="K520" s="712">
        <v>1586.92</v>
      </c>
    </row>
    <row r="521" spans="1:11" ht="14.4" customHeight="1" x14ac:dyDescent="0.3">
      <c r="A521" s="695" t="s">
        <v>545</v>
      </c>
      <c r="B521" s="696" t="s">
        <v>1978</v>
      </c>
      <c r="C521" s="699" t="s">
        <v>561</v>
      </c>
      <c r="D521" s="720" t="s">
        <v>1982</v>
      </c>
      <c r="E521" s="699" t="s">
        <v>4059</v>
      </c>
      <c r="F521" s="720" t="s">
        <v>4060</v>
      </c>
      <c r="G521" s="699" t="s">
        <v>3977</v>
      </c>
      <c r="H521" s="699" t="s">
        <v>3978</v>
      </c>
      <c r="I521" s="711">
        <v>48.82</v>
      </c>
      <c r="J521" s="711">
        <v>25</v>
      </c>
      <c r="K521" s="712">
        <v>1220.5899999999999</v>
      </c>
    </row>
    <row r="522" spans="1:11" ht="14.4" customHeight="1" x14ac:dyDescent="0.3">
      <c r="A522" s="695" t="s">
        <v>545</v>
      </c>
      <c r="B522" s="696" t="s">
        <v>1978</v>
      </c>
      <c r="C522" s="699" t="s">
        <v>561</v>
      </c>
      <c r="D522" s="720" t="s">
        <v>1982</v>
      </c>
      <c r="E522" s="699" t="s">
        <v>4061</v>
      </c>
      <c r="F522" s="720" t="s">
        <v>4062</v>
      </c>
      <c r="G522" s="699" t="s">
        <v>3985</v>
      </c>
      <c r="H522" s="699" t="s">
        <v>3986</v>
      </c>
      <c r="I522" s="711">
        <v>1.22</v>
      </c>
      <c r="J522" s="711">
        <v>900</v>
      </c>
      <c r="K522" s="712">
        <v>1097.7</v>
      </c>
    </row>
    <row r="523" spans="1:11" ht="14.4" customHeight="1" x14ac:dyDescent="0.3">
      <c r="A523" s="695" t="s">
        <v>545</v>
      </c>
      <c r="B523" s="696" t="s">
        <v>1978</v>
      </c>
      <c r="C523" s="699" t="s">
        <v>561</v>
      </c>
      <c r="D523" s="720" t="s">
        <v>1982</v>
      </c>
      <c r="E523" s="699" t="s">
        <v>4061</v>
      </c>
      <c r="F523" s="720" t="s">
        <v>4062</v>
      </c>
      <c r="G523" s="699" t="s">
        <v>3328</v>
      </c>
      <c r="H523" s="699" t="s">
        <v>3329</v>
      </c>
      <c r="I523" s="711">
        <v>0.77375000000000005</v>
      </c>
      <c r="J523" s="711">
        <v>8400</v>
      </c>
      <c r="K523" s="712">
        <v>6493</v>
      </c>
    </row>
    <row r="524" spans="1:11" ht="14.4" customHeight="1" x14ac:dyDescent="0.3">
      <c r="A524" s="695" t="s">
        <v>545</v>
      </c>
      <c r="B524" s="696" t="s">
        <v>1978</v>
      </c>
      <c r="C524" s="699" t="s">
        <v>561</v>
      </c>
      <c r="D524" s="720" t="s">
        <v>1982</v>
      </c>
      <c r="E524" s="699" t="s">
        <v>4061</v>
      </c>
      <c r="F524" s="720" t="s">
        <v>4062</v>
      </c>
      <c r="G524" s="699" t="s">
        <v>3330</v>
      </c>
      <c r="H524" s="699" t="s">
        <v>3331</v>
      </c>
      <c r="I524" s="711">
        <v>0.77500000000000013</v>
      </c>
      <c r="J524" s="711">
        <v>10400</v>
      </c>
      <c r="K524" s="712">
        <v>8060</v>
      </c>
    </row>
    <row r="525" spans="1:11" ht="14.4" customHeight="1" x14ac:dyDescent="0.3">
      <c r="A525" s="695" t="s">
        <v>545</v>
      </c>
      <c r="B525" s="696" t="s">
        <v>1978</v>
      </c>
      <c r="C525" s="699" t="s">
        <v>561</v>
      </c>
      <c r="D525" s="720" t="s">
        <v>1982</v>
      </c>
      <c r="E525" s="699" t="s">
        <v>4061</v>
      </c>
      <c r="F525" s="720" t="s">
        <v>4062</v>
      </c>
      <c r="G525" s="699" t="s">
        <v>3332</v>
      </c>
      <c r="H525" s="699" t="s">
        <v>3333</v>
      </c>
      <c r="I525" s="711">
        <v>0.71</v>
      </c>
      <c r="J525" s="711">
        <v>3400</v>
      </c>
      <c r="K525" s="712">
        <v>2414</v>
      </c>
    </row>
    <row r="526" spans="1:11" ht="14.4" customHeight="1" x14ac:dyDescent="0.3">
      <c r="A526" s="695" t="s">
        <v>545</v>
      </c>
      <c r="B526" s="696" t="s">
        <v>1978</v>
      </c>
      <c r="C526" s="699" t="s">
        <v>561</v>
      </c>
      <c r="D526" s="720" t="s">
        <v>1982</v>
      </c>
      <c r="E526" s="699" t="s">
        <v>4061</v>
      </c>
      <c r="F526" s="720" t="s">
        <v>4062</v>
      </c>
      <c r="G526" s="699" t="s">
        <v>3334</v>
      </c>
      <c r="H526" s="699" t="s">
        <v>3335</v>
      </c>
      <c r="I526" s="711">
        <v>0.71</v>
      </c>
      <c r="J526" s="711">
        <v>3200</v>
      </c>
      <c r="K526" s="712">
        <v>2272</v>
      </c>
    </row>
    <row r="527" spans="1:11" ht="14.4" customHeight="1" x14ac:dyDescent="0.3">
      <c r="A527" s="695" t="s">
        <v>545</v>
      </c>
      <c r="B527" s="696" t="s">
        <v>1978</v>
      </c>
      <c r="C527" s="699" t="s">
        <v>561</v>
      </c>
      <c r="D527" s="720" t="s">
        <v>1982</v>
      </c>
      <c r="E527" s="699" t="s">
        <v>4073</v>
      </c>
      <c r="F527" s="720" t="s">
        <v>4074</v>
      </c>
      <c r="G527" s="699" t="s">
        <v>3769</v>
      </c>
      <c r="H527" s="699" t="s">
        <v>3770</v>
      </c>
      <c r="I527" s="711">
        <v>152.46</v>
      </c>
      <c r="J527" s="711">
        <v>10</v>
      </c>
      <c r="K527" s="712">
        <v>1524.6000000000001</v>
      </c>
    </row>
    <row r="528" spans="1:11" ht="14.4" customHeight="1" x14ac:dyDescent="0.3">
      <c r="A528" s="695" t="s">
        <v>545</v>
      </c>
      <c r="B528" s="696" t="s">
        <v>1978</v>
      </c>
      <c r="C528" s="699" t="s">
        <v>564</v>
      </c>
      <c r="D528" s="720" t="s">
        <v>1983</v>
      </c>
      <c r="E528" s="699" t="s">
        <v>4055</v>
      </c>
      <c r="F528" s="720" t="s">
        <v>4056</v>
      </c>
      <c r="G528" s="699" t="s">
        <v>3348</v>
      </c>
      <c r="H528" s="699" t="s">
        <v>3349</v>
      </c>
      <c r="I528" s="711">
        <v>2.96</v>
      </c>
      <c r="J528" s="711">
        <v>10</v>
      </c>
      <c r="K528" s="712">
        <v>29.6</v>
      </c>
    </row>
    <row r="529" spans="1:11" ht="14.4" customHeight="1" x14ac:dyDescent="0.3">
      <c r="A529" s="695" t="s">
        <v>545</v>
      </c>
      <c r="B529" s="696" t="s">
        <v>1978</v>
      </c>
      <c r="C529" s="699" t="s">
        <v>564</v>
      </c>
      <c r="D529" s="720" t="s">
        <v>1983</v>
      </c>
      <c r="E529" s="699" t="s">
        <v>4055</v>
      </c>
      <c r="F529" s="720" t="s">
        <v>4056</v>
      </c>
      <c r="G529" s="699" t="s">
        <v>3350</v>
      </c>
      <c r="H529" s="699" t="s">
        <v>3351</v>
      </c>
      <c r="I529" s="711">
        <v>27.47</v>
      </c>
      <c r="J529" s="711">
        <v>4</v>
      </c>
      <c r="K529" s="712">
        <v>109.88</v>
      </c>
    </row>
    <row r="530" spans="1:11" ht="14.4" customHeight="1" x14ac:dyDescent="0.3">
      <c r="A530" s="695" t="s">
        <v>545</v>
      </c>
      <c r="B530" s="696" t="s">
        <v>1978</v>
      </c>
      <c r="C530" s="699" t="s">
        <v>564</v>
      </c>
      <c r="D530" s="720" t="s">
        <v>1983</v>
      </c>
      <c r="E530" s="699" t="s">
        <v>4055</v>
      </c>
      <c r="F530" s="720" t="s">
        <v>4056</v>
      </c>
      <c r="G530" s="699" t="s">
        <v>3296</v>
      </c>
      <c r="H530" s="699" t="s">
        <v>3297</v>
      </c>
      <c r="I530" s="711">
        <v>0.6</v>
      </c>
      <c r="J530" s="711">
        <v>450</v>
      </c>
      <c r="K530" s="712">
        <v>270</v>
      </c>
    </row>
    <row r="531" spans="1:11" ht="14.4" customHeight="1" x14ac:dyDescent="0.3">
      <c r="A531" s="695" t="s">
        <v>545</v>
      </c>
      <c r="B531" s="696" t="s">
        <v>1978</v>
      </c>
      <c r="C531" s="699" t="s">
        <v>564</v>
      </c>
      <c r="D531" s="720" t="s">
        <v>1983</v>
      </c>
      <c r="E531" s="699" t="s">
        <v>4055</v>
      </c>
      <c r="F531" s="720" t="s">
        <v>4056</v>
      </c>
      <c r="G531" s="699" t="s">
        <v>3384</v>
      </c>
      <c r="H531" s="699" t="s">
        <v>3385</v>
      </c>
      <c r="I531" s="711">
        <v>8.58</v>
      </c>
      <c r="J531" s="711">
        <v>4</v>
      </c>
      <c r="K531" s="712">
        <v>34.32</v>
      </c>
    </row>
    <row r="532" spans="1:11" ht="14.4" customHeight="1" x14ac:dyDescent="0.3">
      <c r="A532" s="695" t="s">
        <v>545</v>
      </c>
      <c r="B532" s="696" t="s">
        <v>1978</v>
      </c>
      <c r="C532" s="699" t="s">
        <v>564</v>
      </c>
      <c r="D532" s="720" t="s">
        <v>1983</v>
      </c>
      <c r="E532" s="699" t="s">
        <v>4057</v>
      </c>
      <c r="F532" s="720" t="s">
        <v>4058</v>
      </c>
      <c r="G532" s="699" t="s">
        <v>3302</v>
      </c>
      <c r="H532" s="699" t="s">
        <v>3303</v>
      </c>
      <c r="I532" s="711">
        <v>0.93333333333333346</v>
      </c>
      <c r="J532" s="711">
        <v>300</v>
      </c>
      <c r="K532" s="712">
        <v>280</v>
      </c>
    </row>
    <row r="533" spans="1:11" ht="14.4" customHeight="1" x14ac:dyDescent="0.3">
      <c r="A533" s="695" t="s">
        <v>545</v>
      </c>
      <c r="B533" s="696" t="s">
        <v>1978</v>
      </c>
      <c r="C533" s="699" t="s">
        <v>564</v>
      </c>
      <c r="D533" s="720" t="s">
        <v>1983</v>
      </c>
      <c r="E533" s="699" t="s">
        <v>4057</v>
      </c>
      <c r="F533" s="720" t="s">
        <v>4058</v>
      </c>
      <c r="G533" s="699" t="s">
        <v>3304</v>
      </c>
      <c r="H533" s="699" t="s">
        <v>3305</v>
      </c>
      <c r="I533" s="711">
        <v>1.4379999999999999</v>
      </c>
      <c r="J533" s="711">
        <v>1400</v>
      </c>
      <c r="K533" s="712">
        <v>2013</v>
      </c>
    </row>
    <row r="534" spans="1:11" ht="14.4" customHeight="1" x14ac:dyDescent="0.3">
      <c r="A534" s="695" t="s">
        <v>545</v>
      </c>
      <c r="B534" s="696" t="s">
        <v>1978</v>
      </c>
      <c r="C534" s="699" t="s">
        <v>564</v>
      </c>
      <c r="D534" s="720" t="s">
        <v>1983</v>
      </c>
      <c r="E534" s="699" t="s">
        <v>4057</v>
      </c>
      <c r="F534" s="720" t="s">
        <v>4058</v>
      </c>
      <c r="G534" s="699" t="s">
        <v>3306</v>
      </c>
      <c r="H534" s="699" t="s">
        <v>3307</v>
      </c>
      <c r="I534" s="711">
        <v>0.41499999999999998</v>
      </c>
      <c r="J534" s="711">
        <v>200</v>
      </c>
      <c r="K534" s="712">
        <v>83</v>
      </c>
    </row>
    <row r="535" spans="1:11" ht="14.4" customHeight="1" x14ac:dyDescent="0.3">
      <c r="A535" s="695" t="s">
        <v>545</v>
      </c>
      <c r="B535" s="696" t="s">
        <v>1978</v>
      </c>
      <c r="C535" s="699" t="s">
        <v>564</v>
      </c>
      <c r="D535" s="720" t="s">
        <v>1983</v>
      </c>
      <c r="E535" s="699" t="s">
        <v>4057</v>
      </c>
      <c r="F535" s="720" t="s">
        <v>4058</v>
      </c>
      <c r="G535" s="699" t="s">
        <v>3308</v>
      </c>
      <c r="H535" s="699" t="s">
        <v>3309</v>
      </c>
      <c r="I535" s="711">
        <v>0.57999999999999996</v>
      </c>
      <c r="J535" s="711">
        <v>400</v>
      </c>
      <c r="K535" s="712">
        <v>232</v>
      </c>
    </row>
    <row r="536" spans="1:11" ht="14.4" customHeight="1" x14ac:dyDescent="0.3">
      <c r="A536" s="695" t="s">
        <v>545</v>
      </c>
      <c r="B536" s="696" t="s">
        <v>1978</v>
      </c>
      <c r="C536" s="699" t="s">
        <v>564</v>
      </c>
      <c r="D536" s="720" t="s">
        <v>1983</v>
      </c>
      <c r="E536" s="699" t="s">
        <v>4057</v>
      </c>
      <c r="F536" s="720" t="s">
        <v>4058</v>
      </c>
      <c r="G536" s="699" t="s">
        <v>3829</v>
      </c>
      <c r="H536" s="699" t="s">
        <v>3830</v>
      </c>
      <c r="I536" s="711">
        <v>17.36</v>
      </c>
      <c r="J536" s="711">
        <v>150</v>
      </c>
      <c r="K536" s="712">
        <v>2604</v>
      </c>
    </row>
    <row r="537" spans="1:11" ht="14.4" customHeight="1" x14ac:dyDescent="0.3">
      <c r="A537" s="695" t="s">
        <v>545</v>
      </c>
      <c r="B537" s="696" t="s">
        <v>1978</v>
      </c>
      <c r="C537" s="699" t="s">
        <v>564</v>
      </c>
      <c r="D537" s="720" t="s">
        <v>1983</v>
      </c>
      <c r="E537" s="699" t="s">
        <v>4057</v>
      </c>
      <c r="F537" s="720" t="s">
        <v>4058</v>
      </c>
      <c r="G537" s="699" t="s">
        <v>3829</v>
      </c>
      <c r="H537" s="699" t="s">
        <v>3831</v>
      </c>
      <c r="I537" s="711">
        <v>14.229999999999999</v>
      </c>
      <c r="J537" s="711">
        <v>120</v>
      </c>
      <c r="K537" s="712">
        <v>1704.3</v>
      </c>
    </row>
    <row r="538" spans="1:11" ht="14.4" customHeight="1" x14ac:dyDescent="0.3">
      <c r="A538" s="695" t="s">
        <v>545</v>
      </c>
      <c r="B538" s="696" t="s">
        <v>1978</v>
      </c>
      <c r="C538" s="699" t="s">
        <v>564</v>
      </c>
      <c r="D538" s="720" t="s">
        <v>1983</v>
      </c>
      <c r="E538" s="699" t="s">
        <v>4057</v>
      </c>
      <c r="F538" s="720" t="s">
        <v>4058</v>
      </c>
      <c r="G538" s="699" t="s">
        <v>3310</v>
      </c>
      <c r="H538" s="699" t="s">
        <v>3311</v>
      </c>
      <c r="I538" s="711">
        <v>1.5980000000000001</v>
      </c>
      <c r="J538" s="711">
        <v>550</v>
      </c>
      <c r="K538" s="712">
        <v>880.5</v>
      </c>
    </row>
    <row r="539" spans="1:11" ht="14.4" customHeight="1" x14ac:dyDescent="0.3">
      <c r="A539" s="695" t="s">
        <v>545</v>
      </c>
      <c r="B539" s="696" t="s">
        <v>1978</v>
      </c>
      <c r="C539" s="699" t="s">
        <v>564</v>
      </c>
      <c r="D539" s="720" t="s">
        <v>1983</v>
      </c>
      <c r="E539" s="699" t="s">
        <v>4057</v>
      </c>
      <c r="F539" s="720" t="s">
        <v>4058</v>
      </c>
      <c r="G539" s="699" t="s">
        <v>4035</v>
      </c>
      <c r="H539" s="699" t="s">
        <v>4036</v>
      </c>
      <c r="I539" s="711">
        <v>149.6</v>
      </c>
      <c r="J539" s="711">
        <v>1</v>
      </c>
      <c r="K539" s="712">
        <v>149.6</v>
      </c>
    </row>
    <row r="540" spans="1:11" ht="14.4" customHeight="1" x14ac:dyDescent="0.3">
      <c r="A540" s="695" t="s">
        <v>545</v>
      </c>
      <c r="B540" s="696" t="s">
        <v>1978</v>
      </c>
      <c r="C540" s="699" t="s">
        <v>564</v>
      </c>
      <c r="D540" s="720" t="s">
        <v>1983</v>
      </c>
      <c r="E540" s="699" t="s">
        <v>4057</v>
      </c>
      <c r="F540" s="720" t="s">
        <v>4058</v>
      </c>
      <c r="G540" s="699" t="s">
        <v>3312</v>
      </c>
      <c r="H540" s="699" t="s">
        <v>3313</v>
      </c>
      <c r="I540" s="711">
        <v>5.13</v>
      </c>
      <c r="J540" s="711">
        <v>620</v>
      </c>
      <c r="K540" s="712">
        <v>3180.5999999999995</v>
      </c>
    </row>
    <row r="541" spans="1:11" ht="14.4" customHeight="1" x14ac:dyDescent="0.3">
      <c r="A541" s="695" t="s">
        <v>545</v>
      </c>
      <c r="B541" s="696" t="s">
        <v>1978</v>
      </c>
      <c r="C541" s="699" t="s">
        <v>564</v>
      </c>
      <c r="D541" s="720" t="s">
        <v>1983</v>
      </c>
      <c r="E541" s="699" t="s">
        <v>4057</v>
      </c>
      <c r="F541" s="720" t="s">
        <v>4058</v>
      </c>
      <c r="G541" s="699" t="s">
        <v>3528</v>
      </c>
      <c r="H541" s="699" t="s">
        <v>3529</v>
      </c>
      <c r="I541" s="711">
        <v>7.95</v>
      </c>
      <c r="J541" s="711">
        <v>400</v>
      </c>
      <c r="K541" s="712">
        <v>3180</v>
      </c>
    </row>
    <row r="542" spans="1:11" ht="14.4" customHeight="1" x14ac:dyDescent="0.3">
      <c r="A542" s="695" t="s">
        <v>545</v>
      </c>
      <c r="B542" s="696" t="s">
        <v>1978</v>
      </c>
      <c r="C542" s="699" t="s">
        <v>564</v>
      </c>
      <c r="D542" s="720" t="s">
        <v>1983</v>
      </c>
      <c r="E542" s="699" t="s">
        <v>4057</v>
      </c>
      <c r="F542" s="720" t="s">
        <v>4058</v>
      </c>
      <c r="G542" s="699" t="s">
        <v>3316</v>
      </c>
      <c r="H542" s="699" t="s">
        <v>3317</v>
      </c>
      <c r="I542" s="711">
        <v>12.105</v>
      </c>
      <c r="J542" s="711">
        <v>9</v>
      </c>
      <c r="K542" s="712">
        <v>108.94</v>
      </c>
    </row>
    <row r="543" spans="1:11" ht="14.4" customHeight="1" x14ac:dyDescent="0.3">
      <c r="A543" s="695" t="s">
        <v>545</v>
      </c>
      <c r="B543" s="696" t="s">
        <v>1978</v>
      </c>
      <c r="C543" s="699" t="s">
        <v>564</v>
      </c>
      <c r="D543" s="720" t="s">
        <v>1983</v>
      </c>
      <c r="E543" s="699" t="s">
        <v>4057</v>
      </c>
      <c r="F543" s="720" t="s">
        <v>4058</v>
      </c>
      <c r="G543" s="699" t="s">
        <v>3572</v>
      </c>
      <c r="H543" s="699" t="s">
        <v>3573</v>
      </c>
      <c r="I543" s="711">
        <v>1.5560000000000003</v>
      </c>
      <c r="J543" s="711">
        <v>750</v>
      </c>
      <c r="K543" s="712">
        <v>1167</v>
      </c>
    </row>
    <row r="544" spans="1:11" ht="14.4" customHeight="1" x14ac:dyDescent="0.3">
      <c r="A544" s="695" t="s">
        <v>545</v>
      </c>
      <c r="B544" s="696" t="s">
        <v>1978</v>
      </c>
      <c r="C544" s="699" t="s">
        <v>564</v>
      </c>
      <c r="D544" s="720" t="s">
        <v>1983</v>
      </c>
      <c r="E544" s="699" t="s">
        <v>4057</v>
      </c>
      <c r="F544" s="720" t="s">
        <v>4058</v>
      </c>
      <c r="G544" s="699" t="s">
        <v>3588</v>
      </c>
      <c r="H544" s="699" t="s">
        <v>3589</v>
      </c>
      <c r="I544" s="711">
        <v>0.47400000000000003</v>
      </c>
      <c r="J544" s="711">
        <v>500</v>
      </c>
      <c r="K544" s="712">
        <v>237</v>
      </c>
    </row>
    <row r="545" spans="1:11" ht="14.4" customHeight="1" x14ac:dyDescent="0.3">
      <c r="A545" s="695" t="s">
        <v>545</v>
      </c>
      <c r="B545" s="696" t="s">
        <v>1978</v>
      </c>
      <c r="C545" s="699" t="s">
        <v>564</v>
      </c>
      <c r="D545" s="720" t="s">
        <v>1983</v>
      </c>
      <c r="E545" s="699" t="s">
        <v>4057</v>
      </c>
      <c r="F545" s="720" t="s">
        <v>4058</v>
      </c>
      <c r="G545" s="699" t="s">
        <v>4037</v>
      </c>
      <c r="H545" s="699" t="s">
        <v>4038</v>
      </c>
      <c r="I545" s="711">
        <v>9.1999999999999993</v>
      </c>
      <c r="J545" s="711">
        <v>200</v>
      </c>
      <c r="K545" s="712">
        <v>1840</v>
      </c>
    </row>
    <row r="546" spans="1:11" ht="14.4" customHeight="1" x14ac:dyDescent="0.3">
      <c r="A546" s="695" t="s">
        <v>545</v>
      </c>
      <c r="B546" s="696" t="s">
        <v>1978</v>
      </c>
      <c r="C546" s="699" t="s">
        <v>564</v>
      </c>
      <c r="D546" s="720" t="s">
        <v>1983</v>
      </c>
      <c r="E546" s="699" t="s">
        <v>4057</v>
      </c>
      <c r="F546" s="720" t="s">
        <v>4058</v>
      </c>
      <c r="G546" s="699" t="s">
        <v>4039</v>
      </c>
      <c r="H546" s="699" t="s">
        <v>4040</v>
      </c>
      <c r="I546" s="711">
        <v>172.5</v>
      </c>
      <c r="J546" s="711">
        <v>2</v>
      </c>
      <c r="K546" s="712">
        <v>345</v>
      </c>
    </row>
    <row r="547" spans="1:11" ht="14.4" customHeight="1" x14ac:dyDescent="0.3">
      <c r="A547" s="695" t="s">
        <v>545</v>
      </c>
      <c r="B547" s="696" t="s">
        <v>1978</v>
      </c>
      <c r="C547" s="699" t="s">
        <v>564</v>
      </c>
      <c r="D547" s="720" t="s">
        <v>1983</v>
      </c>
      <c r="E547" s="699" t="s">
        <v>4057</v>
      </c>
      <c r="F547" s="720" t="s">
        <v>4058</v>
      </c>
      <c r="G547" s="699" t="s">
        <v>3658</v>
      </c>
      <c r="H547" s="699" t="s">
        <v>3659</v>
      </c>
      <c r="I547" s="711">
        <v>8.4700000000000006</v>
      </c>
      <c r="J547" s="711">
        <v>100</v>
      </c>
      <c r="K547" s="712">
        <v>847</v>
      </c>
    </row>
    <row r="548" spans="1:11" ht="14.4" customHeight="1" x14ac:dyDescent="0.3">
      <c r="A548" s="695" t="s">
        <v>545</v>
      </c>
      <c r="B548" s="696" t="s">
        <v>1978</v>
      </c>
      <c r="C548" s="699" t="s">
        <v>564</v>
      </c>
      <c r="D548" s="720" t="s">
        <v>1983</v>
      </c>
      <c r="E548" s="699" t="s">
        <v>4059</v>
      </c>
      <c r="F548" s="720" t="s">
        <v>4060</v>
      </c>
      <c r="G548" s="699" t="s">
        <v>3741</v>
      </c>
      <c r="H548" s="699" t="s">
        <v>3742</v>
      </c>
      <c r="I548" s="711">
        <v>0.31</v>
      </c>
      <c r="J548" s="711">
        <v>100</v>
      </c>
      <c r="K548" s="712">
        <v>31</v>
      </c>
    </row>
    <row r="549" spans="1:11" ht="14.4" customHeight="1" x14ac:dyDescent="0.3">
      <c r="A549" s="695" t="s">
        <v>545</v>
      </c>
      <c r="B549" s="696" t="s">
        <v>1978</v>
      </c>
      <c r="C549" s="699" t="s">
        <v>564</v>
      </c>
      <c r="D549" s="720" t="s">
        <v>1983</v>
      </c>
      <c r="E549" s="699" t="s">
        <v>4059</v>
      </c>
      <c r="F549" s="720" t="s">
        <v>4060</v>
      </c>
      <c r="G549" s="699" t="s">
        <v>3324</v>
      </c>
      <c r="H549" s="699" t="s">
        <v>3325</v>
      </c>
      <c r="I549" s="711">
        <v>0.30666666666666664</v>
      </c>
      <c r="J549" s="711">
        <v>600</v>
      </c>
      <c r="K549" s="712">
        <v>184</v>
      </c>
    </row>
    <row r="550" spans="1:11" ht="14.4" customHeight="1" x14ac:dyDescent="0.3">
      <c r="A550" s="695" t="s">
        <v>545</v>
      </c>
      <c r="B550" s="696" t="s">
        <v>1978</v>
      </c>
      <c r="C550" s="699" t="s">
        <v>564</v>
      </c>
      <c r="D550" s="720" t="s">
        <v>1983</v>
      </c>
      <c r="E550" s="699" t="s">
        <v>4061</v>
      </c>
      <c r="F550" s="720" t="s">
        <v>4062</v>
      </c>
      <c r="G550" s="699" t="s">
        <v>3328</v>
      </c>
      <c r="H550" s="699" t="s">
        <v>3329</v>
      </c>
      <c r="I550" s="711">
        <v>0.77750000000000008</v>
      </c>
      <c r="J550" s="711">
        <v>3300</v>
      </c>
      <c r="K550" s="712">
        <v>2565</v>
      </c>
    </row>
    <row r="551" spans="1:11" ht="14.4" customHeight="1" x14ac:dyDescent="0.3">
      <c r="A551" s="695" t="s">
        <v>545</v>
      </c>
      <c r="B551" s="696" t="s">
        <v>1978</v>
      </c>
      <c r="C551" s="699" t="s">
        <v>564</v>
      </c>
      <c r="D551" s="720" t="s">
        <v>1983</v>
      </c>
      <c r="E551" s="699" t="s">
        <v>4061</v>
      </c>
      <c r="F551" s="720" t="s">
        <v>4062</v>
      </c>
      <c r="G551" s="699" t="s">
        <v>3330</v>
      </c>
      <c r="H551" s="699" t="s">
        <v>3331</v>
      </c>
      <c r="I551" s="711">
        <v>0.77500000000000013</v>
      </c>
      <c r="J551" s="711">
        <v>2000</v>
      </c>
      <c r="K551" s="712">
        <v>1550</v>
      </c>
    </row>
    <row r="552" spans="1:11" ht="14.4" customHeight="1" x14ac:dyDescent="0.3">
      <c r="A552" s="695" t="s">
        <v>545</v>
      </c>
      <c r="B552" s="696" t="s">
        <v>1978</v>
      </c>
      <c r="C552" s="699" t="s">
        <v>564</v>
      </c>
      <c r="D552" s="720" t="s">
        <v>1983</v>
      </c>
      <c r="E552" s="699" t="s">
        <v>4061</v>
      </c>
      <c r="F552" s="720" t="s">
        <v>4062</v>
      </c>
      <c r="G552" s="699" t="s">
        <v>3332</v>
      </c>
      <c r="H552" s="699" t="s">
        <v>3333</v>
      </c>
      <c r="I552" s="711">
        <v>0.71</v>
      </c>
      <c r="J552" s="711">
        <v>800</v>
      </c>
      <c r="K552" s="712">
        <v>568</v>
      </c>
    </row>
    <row r="553" spans="1:11" ht="14.4" customHeight="1" x14ac:dyDescent="0.3">
      <c r="A553" s="695" t="s">
        <v>545</v>
      </c>
      <c r="B553" s="696" t="s">
        <v>1978</v>
      </c>
      <c r="C553" s="699" t="s">
        <v>564</v>
      </c>
      <c r="D553" s="720" t="s">
        <v>1983</v>
      </c>
      <c r="E553" s="699" t="s">
        <v>4061</v>
      </c>
      <c r="F553" s="720" t="s">
        <v>4062</v>
      </c>
      <c r="G553" s="699" t="s">
        <v>3334</v>
      </c>
      <c r="H553" s="699" t="s">
        <v>3335</v>
      </c>
      <c r="I553" s="711">
        <v>0.71</v>
      </c>
      <c r="J553" s="711">
        <v>1000</v>
      </c>
      <c r="K553" s="712">
        <v>710</v>
      </c>
    </row>
    <row r="554" spans="1:11" ht="14.4" customHeight="1" x14ac:dyDescent="0.3">
      <c r="A554" s="695" t="s">
        <v>545</v>
      </c>
      <c r="B554" s="696" t="s">
        <v>1978</v>
      </c>
      <c r="C554" s="699" t="s">
        <v>567</v>
      </c>
      <c r="D554" s="720" t="s">
        <v>1984</v>
      </c>
      <c r="E554" s="699" t="s">
        <v>4055</v>
      </c>
      <c r="F554" s="720" t="s">
        <v>4056</v>
      </c>
      <c r="G554" s="699" t="s">
        <v>3368</v>
      </c>
      <c r="H554" s="699" t="s">
        <v>3369</v>
      </c>
      <c r="I554" s="711">
        <v>1.38</v>
      </c>
      <c r="J554" s="711">
        <v>150</v>
      </c>
      <c r="K554" s="712">
        <v>207</v>
      </c>
    </row>
    <row r="555" spans="1:11" ht="14.4" customHeight="1" x14ac:dyDescent="0.3">
      <c r="A555" s="695" t="s">
        <v>545</v>
      </c>
      <c r="B555" s="696" t="s">
        <v>1978</v>
      </c>
      <c r="C555" s="699" t="s">
        <v>567</v>
      </c>
      <c r="D555" s="720" t="s">
        <v>1984</v>
      </c>
      <c r="E555" s="699" t="s">
        <v>4055</v>
      </c>
      <c r="F555" s="720" t="s">
        <v>4056</v>
      </c>
      <c r="G555" s="699" t="s">
        <v>3294</v>
      </c>
      <c r="H555" s="699" t="s">
        <v>3295</v>
      </c>
      <c r="I555" s="711">
        <v>41.515000000000001</v>
      </c>
      <c r="J555" s="711">
        <v>60</v>
      </c>
      <c r="K555" s="712">
        <v>2491.4899999999998</v>
      </c>
    </row>
    <row r="556" spans="1:11" ht="14.4" customHeight="1" x14ac:dyDescent="0.3">
      <c r="A556" s="695" t="s">
        <v>545</v>
      </c>
      <c r="B556" s="696" t="s">
        <v>1978</v>
      </c>
      <c r="C556" s="699" t="s">
        <v>567</v>
      </c>
      <c r="D556" s="720" t="s">
        <v>1984</v>
      </c>
      <c r="E556" s="699" t="s">
        <v>4055</v>
      </c>
      <c r="F556" s="720" t="s">
        <v>4056</v>
      </c>
      <c r="G556" s="699" t="s">
        <v>3296</v>
      </c>
      <c r="H556" s="699" t="s">
        <v>3297</v>
      </c>
      <c r="I556" s="711">
        <v>0.59499999999999997</v>
      </c>
      <c r="J556" s="711">
        <v>350</v>
      </c>
      <c r="K556" s="712">
        <v>209.5</v>
      </c>
    </row>
    <row r="557" spans="1:11" ht="14.4" customHeight="1" x14ac:dyDescent="0.3">
      <c r="A557" s="695" t="s">
        <v>545</v>
      </c>
      <c r="B557" s="696" t="s">
        <v>1978</v>
      </c>
      <c r="C557" s="699" t="s">
        <v>567</v>
      </c>
      <c r="D557" s="720" t="s">
        <v>1984</v>
      </c>
      <c r="E557" s="699" t="s">
        <v>4055</v>
      </c>
      <c r="F557" s="720" t="s">
        <v>4056</v>
      </c>
      <c r="G557" s="699" t="s">
        <v>3298</v>
      </c>
      <c r="H557" s="699" t="s">
        <v>3299</v>
      </c>
      <c r="I557" s="711">
        <v>26.16</v>
      </c>
      <c r="J557" s="711">
        <v>1</v>
      </c>
      <c r="K557" s="712">
        <v>26.16</v>
      </c>
    </row>
    <row r="558" spans="1:11" ht="14.4" customHeight="1" x14ac:dyDescent="0.3">
      <c r="A558" s="695" t="s">
        <v>545</v>
      </c>
      <c r="B558" s="696" t="s">
        <v>1978</v>
      </c>
      <c r="C558" s="699" t="s">
        <v>567</v>
      </c>
      <c r="D558" s="720" t="s">
        <v>1984</v>
      </c>
      <c r="E558" s="699" t="s">
        <v>4055</v>
      </c>
      <c r="F558" s="720" t="s">
        <v>4056</v>
      </c>
      <c r="G558" s="699" t="s">
        <v>4041</v>
      </c>
      <c r="H558" s="699" t="s">
        <v>4042</v>
      </c>
      <c r="I558" s="711">
        <v>8.02</v>
      </c>
      <c r="J558" s="711">
        <v>50</v>
      </c>
      <c r="K558" s="712">
        <v>401</v>
      </c>
    </row>
    <row r="559" spans="1:11" ht="14.4" customHeight="1" x14ac:dyDescent="0.3">
      <c r="A559" s="695" t="s">
        <v>545</v>
      </c>
      <c r="B559" s="696" t="s">
        <v>1978</v>
      </c>
      <c r="C559" s="699" t="s">
        <v>567</v>
      </c>
      <c r="D559" s="720" t="s">
        <v>1984</v>
      </c>
      <c r="E559" s="699" t="s">
        <v>4055</v>
      </c>
      <c r="F559" s="720" t="s">
        <v>4056</v>
      </c>
      <c r="G559" s="699" t="s">
        <v>3809</v>
      </c>
      <c r="H559" s="699" t="s">
        <v>3810</v>
      </c>
      <c r="I559" s="711">
        <v>26.37</v>
      </c>
      <c r="J559" s="711">
        <v>12</v>
      </c>
      <c r="K559" s="712">
        <v>316.44</v>
      </c>
    </row>
    <row r="560" spans="1:11" ht="14.4" customHeight="1" x14ac:dyDescent="0.3">
      <c r="A560" s="695" t="s">
        <v>545</v>
      </c>
      <c r="B560" s="696" t="s">
        <v>1978</v>
      </c>
      <c r="C560" s="699" t="s">
        <v>567</v>
      </c>
      <c r="D560" s="720" t="s">
        <v>1984</v>
      </c>
      <c r="E560" s="699" t="s">
        <v>4055</v>
      </c>
      <c r="F560" s="720" t="s">
        <v>4056</v>
      </c>
      <c r="G560" s="699" t="s">
        <v>3406</v>
      </c>
      <c r="H560" s="699" t="s">
        <v>3407</v>
      </c>
      <c r="I560" s="711">
        <v>7.49</v>
      </c>
      <c r="J560" s="711">
        <v>5</v>
      </c>
      <c r="K560" s="712">
        <v>37.450000000000003</v>
      </c>
    </row>
    <row r="561" spans="1:11" ht="14.4" customHeight="1" x14ac:dyDescent="0.3">
      <c r="A561" s="695" t="s">
        <v>545</v>
      </c>
      <c r="B561" s="696" t="s">
        <v>1978</v>
      </c>
      <c r="C561" s="699" t="s">
        <v>567</v>
      </c>
      <c r="D561" s="720" t="s">
        <v>1984</v>
      </c>
      <c r="E561" s="699" t="s">
        <v>4055</v>
      </c>
      <c r="F561" s="720" t="s">
        <v>4056</v>
      </c>
      <c r="G561" s="699" t="s">
        <v>3408</v>
      </c>
      <c r="H561" s="699" t="s">
        <v>3409</v>
      </c>
      <c r="I561" s="711">
        <v>0.86</v>
      </c>
      <c r="J561" s="711">
        <v>200</v>
      </c>
      <c r="K561" s="712">
        <v>172</v>
      </c>
    </row>
    <row r="562" spans="1:11" ht="14.4" customHeight="1" x14ac:dyDescent="0.3">
      <c r="A562" s="695" t="s">
        <v>545</v>
      </c>
      <c r="B562" s="696" t="s">
        <v>1978</v>
      </c>
      <c r="C562" s="699" t="s">
        <v>567</v>
      </c>
      <c r="D562" s="720" t="s">
        <v>1984</v>
      </c>
      <c r="E562" s="699" t="s">
        <v>4055</v>
      </c>
      <c r="F562" s="720" t="s">
        <v>4056</v>
      </c>
      <c r="G562" s="699" t="s">
        <v>3410</v>
      </c>
      <c r="H562" s="699" t="s">
        <v>3411</v>
      </c>
      <c r="I562" s="711">
        <v>1.52</v>
      </c>
      <c r="J562" s="711">
        <v>50</v>
      </c>
      <c r="K562" s="712">
        <v>76</v>
      </c>
    </row>
    <row r="563" spans="1:11" ht="14.4" customHeight="1" x14ac:dyDescent="0.3">
      <c r="A563" s="695" t="s">
        <v>545</v>
      </c>
      <c r="B563" s="696" t="s">
        <v>1978</v>
      </c>
      <c r="C563" s="699" t="s">
        <v>567</v>
      </c>
      <c r="D563" s="720" t="s">
        <v>1984</v>
      </c>
      <c r="E563" s="699" t="s">
        <v>4057</v>
      </c>
      <c r="F563" s="720" t="s">
        <v>4058</v>
      </c>
      <c r="G563" s="699" t="s">
        <v>3448</v>
      </c>
      <c r="H563" s="699" t="s">
        <v>3449</v>
      </c>
      <c r="I563" s="711">
        <v>11.146666666666667</v>
      </c>
      <c r="J563" s="711">
        <v>70</v>
      </c>
      <c r="K563" s="712">
        <v>780.2</v>
      </c>
    </row>
    <row r="564" spans="1:11" ht="14.4" customHeight="1" x14ac:dyDescent="0.3">
      <c r="A564" s="695" t="s">
        <v>545</v>
      </c>
      <c r="B564" s="696" t="s">
        <v>1978</v>
      </c>
      <c r="C564" s="699" t="s">
        <v>567</v>
      </c>
      <c r="D564" s="720" t="s">
        <v>1984</v>
      </c>
      <c r="E564" s="699" t="s">
        <v>4057</v>
      </c>
      <c r="F564" s="720" t="s">
        <v>4058</v>
      </c>
      <c r="G564" s="699" t="s">
        <v>4043</v>
      </c>
      <c r="H564" s="699" t="s">
        <v>4044</v>
      </c>
      <c r="I564" s="711">
        <v>30.17</v>
      </c>
      <c r="J564" s="711">
        <v>50</v>
      </c>
      <c r="K564" s="712">
        <v>1508.1</v>
      </c>
    </row>
    <row r="565" spans="1:11" ht="14.4" customHeight="1" x14ac:dyDescent="0.3">
      <c r="A565" s="695" t="s">
        <v>545</v>
      </c>
      <c r="B565" s="696" t="s">
        <v>1978</v>
      </c>
      <c r="C565" s="699" t="s">
        <v>567</v>
      </c>
      <c r="D565" s="720" t="s">
        <v>1984</v>
      </c>
      <c r="E565" s="699" t="s">
        <v>4057</v>
      </c>
      <c r="F565" s="720" t="s">
        <v>4058</v>
      </c>
      <c r="G565" s="699" t="s">
        <v>4045</v>
      </c>
      <c r="H565" s="699" t="s">
        <v>4046</v>
      </c>
      <c r="I565" s="711">
        <v>2.75</v>
      </c>
      <c r="J565" s="711">
        <v>50</v>
      </c>
      <c r="K565" s="712">
        <v>137.5</v>
      </c>
    </row>
    <row r="566" spans="1:11" ht="14.4" customHeight="1" x14ac:dyDescent="0.3">
      <c r="A566" s="695" t="s">
        <v>545</v>
      </c>
      <c r="B566" s="696" t="s">
        <v>1978</v>
      </c>
      <c r="C566" s="699" t="s">
        <v>567</v>
      </c>
      <c r="D566" s="720" t="s">
        <v>1984</v>
      </c>
      <c r="E566" s="699" t="s">
        <v>4057</v>
      </c>
      <c r="F566" s="720" t="s">
        <v>4058</v>
      </c>
      <c r="G566" s="699" t="s">
        <v>3302</v>
      </c>
      <c r="H566" s="699" t="s">
        <v>3303</v>
      </c>
      <c r="I566" s="711">
        <v>0.93500000000000005</v>
      </c>
      <c r="J566" s="711">
        <v>800</v>
      </c>
      <c r="K566" s="712">
        <v>748</v>
      </c>
    </row>
    <row r="567" spans="1:11" ht="14.4" customHeight="1" x14ac:dyDescent="0.3">
      <c r="A567" s="695" t="s">
        <v>545</v>
      </c>
      <c r="B567" s="696" t="s">
        <v>1978</v>
      </c>
      <c r="C567" s="699" t="s">
        <v>567</v>
      </c>
      <c r="D567" s="720" t="s">
        <v>1984</v>
      </c>
      <c r="E567" s="699" t="s">
        <v>4057</v>
      </c>
      <c r="F567" s="720" t="s">
        <v>4058</v>
      </c>
      <c r="G567" s="699" t="s">
        <v>3304</v>
      </c>
      <c r="H567" s="699" t="s">
        <v>3305</v>
      </c>
      <c r="I567" s="711">
        <v>1.4324999999999999</v>
      </c>
      <c r="J567" s="711">
        <v>700</v>
      </c>
      <c r="K567" s="712">
        <v>1003</v>
      </c>
    </row>
    <row r="568" spans="1:11" ht="14.4" customHeight="1" x14ac:dyDescent="0.3">
      <c r="A568" s="695" t="s">
        <v>545</v>
      </c>
      <c r="B568" s="696" t="s">
        <v>1978</v>
      </c>
      <c r="C568" s="699" t="s">
        <v>567</v>
      </c>
      <c r="D568" s="720" t="s">
        <v>1984</v>
      </c>
      <c r="E568" s="699" t="s">
        <v>4057</v>
      </c>
      <c r="F568" s="720" t="s">
        <v>4058</v>
      </c>
      <c r="G568" s="699" t="s">
        <v>3306</v>
      </c>
      <c r="H568" s="699" t="s">
        <v>3307</v>
      </c>
      <c r="I568" s="711">
        <v>0.42</v>
      </c>
      <c r="J568" s="711">
        <v>400</v>
      </c>
      <c r="K568" s="712">
        <v>168</v>
      </c>
    </row>
    <row r="569" spans="1:11" ht="14.4" customHeight="1" x14ac:dyDescent="0.3">
      <c r="A569" s="695" t="s">
        <v>545</v>
      </c>
      <c r="B569" s="696" t="s">
        <v>1978</v>
      </c>
      <c r="C569" s="699" t="s">
        <v>567</v>
      </c>
      <c r="D569" s="720" t="s">
        <v>1984</v>
      </c>
      <c r="E569" s="699" t="s">
        <v>4057</v>
      </c>
      <c r="F569" s="720" t="s">
        <v>4058</v>
      </c>
      <c r="G569" s="699" t="s">
        <v>3308</v>
      </c>
      <c r="H569" s="699" t="s">
        <v>3309</v>
      </c>
      <c r="I569" s="711">
        <v>0.57499999999999996</v>
      </c>
      <c r="J569" s="711">
        <v>700</v>
      </c>
      <c r="K569" s="712">
        <v>402</v>
      </c>
    </row>
    <row r="570" spans="1:11" ht="14.4" customHeight="1" x14ac:dyDescent="0.3">
      <c r="A570" s="695" t="s">
        <v>545</v>
      </c>
      <c r="B570" s="696" t="s">
        <v>1978</v>
      </c>
      <c r="C570" s="699" t="s">
        <v>567</v>
      </c>
      <c r="D570" s="720" t="s">
        <v>1984</v>
      </c>
      <c r="E570" s="699" t="s">
        <v>4057</v>
      </c>
      <c r="F570" s="720" t="s">
        <v>4058</v>
      </c>
      <c r="G570" s="699" t="s">
        <v>3819</v>
      </c>
      <c r="H570" s="699" t="s">
        <v>3820</v>
      </c>
      <c r="I570" s="711">
        <v>70.180000000000007</v>
      </c>
      <c r="J570" s="711">
        <v>30</v>
      </c>
      <c r="K570" s="712">
        <v>2105.3999999999996</v>
      </c>
    </row>
    <row r="571" spans="1:11" ht="14.4" customHeight="1" x14ac:dyDescent="0.3">
      <c r="A571" s="695" t="s">
        <v>545</v>
      </c>
      <c r="B571" s="696" t="s">
        <v>1978</v>
      </c>
      <c r="C571" s="699" t="s">
        <v>567</v>
      </c>
      <c r="D571" s="720" t="s">
        <v>1984</v>
      </c>
      <c r="E571" s="699" t="s">
        <v>4057</v>
      </c>
      <c r="F571" s="720" t="s">
        <v>4058</v>
      </c>
      <c r="G571" s="699" t="s">
        <v>3827</v>
      </c>
      <c r="H571" s="699" t="s">
        <v>3828</v>
      </c>
      <c r="I571" s="711">
        <v>139.99</v>
      </c>
      <c r="J571" s="711">
        <v>20</v>
      </c>
      <c r="K571" s="712">
        <v>2799.79</v>
      </c>
    </row>
    <row r="572" spans="1:11" ht="14.4" customHeight="1" x14ac:dyDescent="0.3">
      <c r="A572" s="695" t="s">
        <v>545</v>
      </c>
      <c r="B572" s="696" t="s">
        <v>1978</v>
      </c>
      <c r="C572" s="699" t="s">
        <v>567</v>
      </c>
      <c r="D572" s="720" t="s">
        <v>1984</v>
      </c>
      <c r="E572" s="699" t="s">
        <v>4057</v>
      </c>
      <c r="F572" s="720" t="s">
        <v>4058</v>
      </c>
      <c r="G572" s="699" t="s">
        <v>4047</v>
      </c>
      <c r="H572" s="699" t="s">
        <v>4048</v>
      </c>
      <c r="I572" s="711">
        <v>149.99</v>
      </c>
      <c r="J572" s="711">
        <v>10</v>
      </c>
      <c r="K572" s="712">
        <v>1499.94</v>
      </c>
    </row>
    <row r="573" spans="1:11" ht="14.4" customHeight="1" x14ac:dyDescent="0.3">
      <c r="A573" s="695" t="s">
        <v>545</v>
      </c>
      <c r="B573" s="696" t="s">
        <v>1978</v>
      </c>
      <c r="C573" s="699" t="s">
        <v>567</v>
      </c>
      <c r="D573" s="720" t="s">
        <v>1984</v>
      </c>
      <c r="E573" s="699" t="s">
        <v>4057</v>
      </c>
      <c r="F573" s="720" t="s">
        <v>4058</v>
      </c>
      <c r="G573" s="699" t="s">
        <v>3832</v>
      </c>
      <c r="H573" s="699" t="s">
        <v>3833</v>
      </c>
      <c r="I573" s="711">
        <v>29.15</v>
      </c>
      <c r="J573" s="711">
        <v>80</v>
      </c>
      <c r="K573" s="712">
        <v>2315.4</v>
      </c>
    </row>
    <row r="574" spans="1:11" ht="14.4" customHeight="1" x14ac:dyDescent="0.3">
      <c r="A574" s="695" t="s">
        <v>545</v>
      </c>
      <c r="B574" s="696" t="s">
        <v>1978</v>
      </c>
      <c r="C574" s="699" t="s">
        <v>567</v>
      </c>
      <c r="D574" s="720" t="s">
        <v>1984</v>
      </c>
      <c r="E574" s="699" t="s">
        <v>4057</v>
      </c>
      <c r="F574" s="720" t="s">
        <v>4058</v>
      </c>
      <c r="G574" s="699" t="s">
        <v>4049</v>
      </c>
      <c r="H574" s="699" t="s">
        <v>4050</v>
      </c>
      <c r="I574" s="711">
        <v>43.39</v>
      </c>
      <c r="J574" s="711">
        <v>10</v>
      </c>
      <c r="K574" s="712">
        <v>433.9</v>
      </c>
    </row>
    <row r="575" spans="1:11" ht="14.4" customHeight="1" x14ac:dyDescent="0.3">
      <c r="A575" s="695" t="s">
        <v>545</v>
      </c>
      <c r="B575" s="696" t="s">
        <v>1978</v>
      </c>
      <c r="C575" s="699" t="s">
        <v>567</v>
      </c>
      <c r="D575" s="720" t="s">
        <v>1984</v>
      </c>
      <c r="E575" s="699" t="s">
        <v>4057</v>
      </c>
      <c r="F575" s="720" t="s">
        <v>4058</v>
      </c>
      <c r="G575" s="699" t="s">
        <v>3836</v>
      </c>
      <c r="H575" s="699" t="s">
        <v>3837</v>
      </c>
      <c r="I575" s="711">
        <v>16.97</v>
      </c>
      <c r="J575" s="711">
        <v>10</v>
      </c>
      <c r="K575" s="712">
        <v>169.7</v>
      </c>
    </row>
    <row r="576" spans="1:11" ht="14.4" customHeight="1" x14ac:dyDescent="0.3">
      <c r="A576" s="695" t="s">
        <v>545</v>
      </c>
      <c r="B576" s="696" t="s">
        <v>1978</v>
      </c>
      <c r="C576" s="699" t="s">
        <v>567</v>
      </c>
      <c r="D576" s="720" t="s">
        <v>1984</v>
      </c>
      <c r="E576" s="699" t="s">
        <v>4057</v>
      </c>
      <c r="F576" s="720" t="s">
        <v>4058</v>
      </c>
      <c r="G576" s="699" t="s">
        <v>3476</v>
      </c>
      <c r="H576" s="699" t="s">
        <v>3477</v>
      </c>
      <c r="I576" s="711">
        <v>16.940000000000001</v>
      </c>
      <c r="J576" s="711">
        <v>20</v>
      </c>
      <c r="K576" s="712">
        <v>338.8</v>
      </c>
    </row>
    <row r="577" spans="1:11" ht="14.4" customHeight="1" x14ac:dyDescent="0.3">
      <c r="A577" s="695" t="s">
        <v>545</v>
      </c>
      <c r="B577" s="696" t="s">
        <v>1978</v>
      </c>
      <c r="C577" s="699" t="s">
        <v>567</v>
      </c>
      <c r="D577" s="720" t="s">
        <v>1984</v>
      </c>
      <c r="E577" s="699" t="s">
        <v>4057</v>
      </c>
      <c r="F577" s="720" t="s">
        <v>4058</v>
      </c>
      <c r="G577" s="699" t="s">
        <v>3842</v>
      </c>
      <c r="H577" s="699" t="s">
        <v>3843</v>
      </c>
      <c r="I577" s="711">
        <v>17.059999999999999</v>
      </c>
      <c r="J577" s="711">
        <v>30</v>
      </c>
      <c r="K577" s="712">
        <v>511.8</v>
      </c>
    </row>
    <row r="578" spans="1:11" ht="14.4" customHeight="1" x14ac:dyDescent="0.3">
      <c r="A578" s="695" t="s">
        <v>545</v>
      </c>
      <c r="B578" s="696" t="s">
        <v>1978</v>
      </c>
      <c r="C578" s="699" t="s">
        <v>567</v>
      </c>
      <c r="D578" s="720" t="s">
        <v>1984</v>
      </c>
      <c r="E578" s="699" t="s">
        <v>4057</v>
      </c>
      <c r="F578" s="720" t="s">
        <v>4058</v>
      </c>
      <c r="G578" s="699" t="s">
        <v>3480</v>
      </c>
      <c r="H578" s="699" t="s">
        <v>3481</v>
      </c>
      <c r="I578" s="711">
        <v>16.945</v>
      </c>
      <c r="J578" s="711">
        <v>40</v>
      </c>
      <c r="K578" s="712">
        <v>677.7</v>
      </c>
    </row>
    <row r="579" spans="1:11" ht="14.4" customHeight="1" x14ac:dyDescent="0.3">
      <c r="A579" s="695" t="s">
        <v>545</v>
      </c>
      <c r="B579" s="696" t="s">
        <v>1978</v>
      </c>
      <c r="C579" s="699" t="s">
        <v>567</v>
      </c>
      <c r="D579" s="720" t="s">
        <v>1984</v>
      </c>
      <c r="E579" s="699" t="s">
        <v>4057</v>
      </c>
      <c r="F579" s="720" t="s">
        <v>4058</v>
      </c>
      <c r="G579" s="699" t="s">
        <v>3310</v>
      </c>
      <c r="H579" s="699" t="s">
        <v>3311</v>
      </c>
      <c r="I579" s="711">
        <v>1.5899999999999999</v>
      </c>
      <c r="J579" s="711">
        <v>400</v>
      </c>
      <c r="K579" s="712">
        <v>634</v>
      </c>
    </row>
    <row r="580" spans="1:11" ht="14.4" customHeight="1" x14ac:dyDescent="0.3">
      <c r="A580" s="695" t="s">
        <v>545</v>
      </c>
      <c r="B580" s="696" t="s">
        <v>1978</v>
      </c>
      <c r="C580" s="699" t="s">
        <v>567</v>
      </c>
      <c r="D580" s="720" t="s">
        <v>1984</v>
      </c>
      <c r="E580" s="699" t="s">
        <v>4057</v>
      </c>
      <c r="F580" s="720" t="s">
        <v>4058</v>
      </c>
      <c r="G580" s="699" t="s">
        <v>3312</v>
      </c>
      <c r="H580" s="699" t="s">
        <v>3313</v>
      </c>
      <c r="I580" s="711">
        <v>5.13</v>
      </c>
      <c r="J580" s="711">
        <v>880</v>
      </c>
      <c r="K580" s="712">
        <v>4514.3999999999996</v>
      </c>
    </row>
    <row r="581" spans="1:11" ht="14.4" customHeight="1" x14ac:dyDescent="0.3">
      <c r="A581" s="695" t="s">
        <v>545</v>
      </c>
      <c r="B581" s="696" t="s">
        <v>1978</v>
      </c>
      <c r="C581" s="699" t="s">
        <v>567</v>
      </c>
      <c r="D581" s="720" t="s">
        <v>1984</v>
      </c>
      <c r="E581" s="699" t="s">
        <v>4057</v>
      </c>
      <c r="F581" s="720" t="s">
        <v>4058</v>
      </c>
      <c r="G581" s="699" t="s">
        <v>3314</v>
      </c>
      <c r="H581" s="699" t="s">
        <v>3315</v>
      </c>
      <c r="I581" s="711">
        <v>17.98</v>
      </c>
      <c r="J581" s="711">
        <v>100</v>
      </c>
      <c r="K581" s="712">
        <v>1798</v>
      </c>
    </row>
    <row r="582" spans="1:11" ht="14.4" customHeight="1" x14ac:dyDescent="0.3">
      <c r="A582" s="695" t="s">
        <v>545</v>
      </c>
      <c r="B582" s="696" t="s">
        <v>1978</v>
      </c>
      <c r="C582" s="699" t="s">
        <v>567</v>
      </c>
      <c r="D582" s="720" t="s">
        <v>1984</v>
      </c>
      <c r="E582" s="699" t="s">
        <v>4057</v>
      </c>
      <c r="F582" s="720" t="s">
        <v>4058</v>
      </c>
      <c r="G582" s="699" t="s">
        <v>3854</v>
      </c>
      <c r="H582" s="699" t="s">
        <v>3855</v>
      </c>
      <c r="I582" s="711">
        <v>12.073333333333332</v>
      </c>
      <c r="J582" s="711">
        <v>200</v>
      </c>
      <c r="K582" s="712">
        <v>2415</v>
      </c>
    </row>
    <row r="583" spans="1:11" ht="14.4" customHeight="1" x14ac:dyDescent="0.3">
      <c r="A583" s="695" t="s">
        <v>545</v>
      </c>
      <c r="B583" s="696" t="s">
        <v>1978</v>
      </c>
      <c r="C583" s="699" t="s">
        <v>567</v>
      </c>
      <c r="D583" s="720" t="s">
        <v>1984</v>
      </c>
      <c r="E583" s="699" t="s">
        <v>4057</v>
      </c>
      <c r="F583" s="720" t="s">
        <v>4058</v>
      </c>
      <c r="G583" s="699" t="s">
        <v>3858</v>
      </c>
      <c r="H583" s="699" t="s">
        <v>3859</v>
      </c>
      <c r="I583" s="711">
        <v>38.5</v>
      </c>
      <c r="J583" s="711">
        <v>200</v>
      </c>
      <c r="K583" s="712">
        <v>7700.66</v>
      </c>
    </row>
    <row r="584" spans="1:11" ht="14.4" customHeight="1" x14ac:dyDescent="0.3">
      <c r="A584" s="695" t="s">
        <v>545</v>
      </c>
      <c r="B584" s="696" t="s">
        <v>1978</v>
      </c>
      <c r="C584" s="699" t="s">
        <v>567</v>
      </c>
      <c r="D584" s="720" t="s">
        <v>1984</v>
      </c>
      <c r="E584" s="699" t="s">
        <v>4057</v>
      </c>
      <c r="F584" s="720" t="s">
        <v>4058</v>
      </c>
      <c r="G584" s="699" t="s">
        <v>3860</v>
      </c>
      <c r="H584" s="699" t="s">
        <v>3861</v>
      </c>
      <c r="I584" s="711">
        <v>2.3966666666666665</v>
      </c>
      <c r="J584" s="711">
        <v>600</v>
      </c>
      <c r="K584" s="712">
        <v>1437</v>
      </c>
    </row>
    <row r="585" spans="1:11" ht="14.4" customHeight="1" x14ac:dyDescent="0.3">
      <c r="A585" s="695" t="s">
        <v>545</v>
      </c>
      <c r="B585" s="696" t="s">
        <v>1978</v>
      </c>
      <c r="C585" s="699" t="s">
        <v>567</v>
      </c>
      <c r="D585" s="720" t="s">
        <v>1984</v>
      </c>
      <c r="E585" s="699" t="s">
        <v>4057</v>
      </c>
      <c r="F585" s="720" t="s">
        <v>4058</v>
      </c>
      <c r="G585" s="699" t="s">
        <v>3316</v>
      </c>
      <c r="H585" s="699" t="s">
        <v>3317</v>
      </c>
      <c r="I585" s="711">
        <v>12.105</v>
      </c>
      <c r="J585" s="711">
        <v>50</v>
      </c>
      <c r="K585" s="712">
        <v>605.29999999999995</v>
      </c>
    </row>
    <row r="586" spans="1:11" ht="14.4" customHeight="1" x14ac:dyDescent="0.3">
      <c r="A586" s="695" t="s">
        <v>545</v>
      </c>
      <c r="B586" s="696" t="s">
        <v>1978</v>
      </c>
      <c r="C586" s="699" t="s">
        <v>567</v>
      </c>
      <c r="D586" s="720" t="s">
        <v>1984</v>
      </c>
      <c r="E586" s="699" t="s">
        <v>4057</v>
      </c>
      <c r="F586" s="720" t="s">
        <v>4058</v>
      </c>
      <c r="G586" s="699" t="s">
        <v>3868</v>
      </c>
      <c r="H586" s="699" t="s">
        <v>3869</v>
      </c>
      <c r="I586" s="711">
        <v>120</v>
      </c>
      <c r="J586" s="711">
        <v>30</v>
      </c>
      <c r="K586" s="712">
        <v>3600.05</v>
      </c>
    </row>
    <row r="587" spans="1:11" ht="14.4" customHeight="1" x14ac:dyDescent="0.3">
      <c r="A587" s="695" t="s">
        <v>545</v>
      </c>
      <c r="B587" s="696" t="s">
        <v>1978</v>
      </c>
      <c r="C587" s="699" t="s">
        <v>567</v>
      </c>
      <c r="D587" s="720" t="s">
        <v>1984</v>
      </c>
      <c r="E587" s="699" t="s">
        <v>4057</v>
      </c>
      <c r="F587" s="720" t="s">
        <v>4058</v>
      </c>
      <c r="G587" s="699" t="s">
        <v>3318</v>
      </c>
      <c r="H587" s="699" t="s">
        <v>3319</v>
      </c>
      <c r="I587" s="711">
        <v>0.47333333333333333</v>
      </c>
      <c r="J587" s="711">
        <v>300</v>
      </c>
      <c r="K587" s="712">
        <v>142</v>
      </c>
    </row>
    <row r="588" spans="1:11" ht="14.4" customHeight="1" x14ac:dyDescent="0.3">
      <c r="A588" s="695" t="s">
        <v>545</v>
      </c>
      <c r="B588" s="696" t="s">
        <v>1978</v>
      </c>
      <c r="C588" s="699" t="s">
        <v>567</v>
      </c>
      <c r="D588" s="720" t="s">
        <v>1984</v>
      </c>
      <c r="E588" s="699" t="s">
        <v>4057</v>
      </c>
      <c r="F588" s="720" t="s">
        <v>4058</v>
      </c>
      <c r="G588" s="699" t="s">
        <v>3590</v>
      </c>
      <c r="H588" s="699" t="s">
        <v>3591</v>
      </c>
      <c r="I588" s="711">
        <v>4.03</v>
      </c>
      <c r="J588" s="711">
        <v>100</v>
      </c>
      <c r="K588" s="712">
        <v>403</v>
      </c>
    </row>
    <row r="589" spans="1:11" ht="14.4" customHeight="1" x14ac:dyDescent="0.3">
      <c r="A589" s="695" t="s">
        <v>545</v>
      </c>
      <c r="B589" s="696" t="s">
        <v>1978</v>
      </c>
      <c r="C589" s="699" t="s">
        <v>567</v>
      </c>
      <c r="D589" s="720" t="s">
        <v>1984</v>
      </c>
      <c r="E589" s="699" t="s">
        <v>4057</v>
      </c>
      <c r="F589" s="720" t="s">
        <v>4058</v>
      </c>
      <c r="G589" s="699" t="s">
        <v>4051</v>
      </c>
      <c r="H589" s="699" t="s">
        <v>4052</v>
      </c>
      <c r="I589" s="711">
        <v>2.6</v>
      </c>
      <c r="J589" s="711">
        <v>100</v>
      </c>
      <c r="K589" s="712">
        <v>260</v>
      </c>
    </row>
    <row r="590" spans="1:11" ht="14.4" customHeight="1" x14ac:dyDescent="0.3">
      <c r="A590" s="695" t="s">
        <v>545</v>
      </c>
      <c r="B590" s="696" t="s">
        <v>1978</v>
      </c>
      <c r="C590" s="699" t="s">
        <v>567</v>
      </c>
      <c r="D590" s="720" t="s">
        <v>1984</v>
      </c>
      <c r="E590" s="699" t="s">
        <v>4057</v>
      </c>
      <c r="F590" s="720" t="s">
        <v>4058</v>
      </c>
      <c r="G590" s="699" t="s">
        <v>3592</v>
      </c>
      <c r="H590" s="699" t="s">
        <v>3593</v>
      </c>
      <c r="I590" s="711">
        <v>2.6</v>
      </c>
      <c r="J590" s="711">
        <v>50</v>
      </c>
      <c r="K590" s="712">
        <v>130</v>
      </c>
    </row>
    <row r="591" spans="1:11" ht="14.4" customHeight="1" x14ac:dyDescent="0.3">
      <c r="A591" s="695" t="s">
        <v>545</v>
      </c>
      <c r="B591" s="696" t="s">
        <v>1978</v>
      </c>
      <c r="C591" s="699" t="s">
        <v>567</v>
      </c>
      <c r="D591" s="720" t="s">
        <v>1984</v>
      </c>
      <c r="E591" s="699" t="s">
        <v>4057</v>
      </c>
      <c r="F591" s="720" t="s">
        <v>4058</v>
      </c>
      <c r="G591" s="699" t="s">
        <v>3876</v>
      </c>
      <c r="H591" s="699" t="s">
        <v>3877</v>
      </c>
      <c r="I591" s="711">
        <v>40.99</v>
      </c>
      <c r="J591" s="711">
        <v>20</v>
      </c>
      <c r="K591" s="712">
        <v>819.9</v>
      </c>
    </row>
    <row r="592" spans="1:11" ht="14.4" customHeight="1" x14ac:dyDescent="0.3">
      <c r="A592" s="695" t="s">
        <v>545</v>
      </c>
      <c r="B592" s="696" t="s">
        <v>1978</v>
      </c>
      <c r="C592" s="699" t="s">
        <v>567</v>
      </c>
      <c r="D592" s="720" t="s">
        <v>1984</v>
      </c>
      <c r="E592" s="699" t="s">
        <v>4057</v>
      </c>
      <c r="F592" s="720" t="s">
        <v>4058</v>
      </c>
      <c r="G592" s="699" t="s">
        <v>3997</v>
      </c>
      <c r="H592" s="699" t="s">
        <v>3998</v>
      </c>
      <c r="I592" s="711">
        <v>123.21</v>
      </c>
      <c r="J592" s="711">
        <v>10</v>
      </c>
      <c r="K592" s="712">
        <v>1232.1400000000001</v>
      </c>
    </row>
    <row r="593" spans="1:11" ht="14.4" customHeight="1" x14ac:dyDescent="0.3">
      <c r="A593" s="695" t="s">
        <v>545</v>
      </c>
      <c r="B593" s="696" t="s">
        <v>1978</v>
      </c>
      <c r="C593" s="699" t="s">
        <v>567</v>
      </c>
      <c r="D593" s="720" t="s">
        <v>1984</v>
      </c>
      <c r="E593" s="699" t="s">
        <v>4057</v>
      </c>
      <c r="F593" s="720" t="s">
        <v>4058</v>
      </c>
      <c r="G593" s="699" t="s">
        <v>3914</v>
      </c>
      <c r="H593" s="699" t="s">
        <v>3915</v>
      </c>
      <c r="I593" s="711">
        <v>24.2</v>
      </c>
      <c r="J593" s="711">
        <v>100</v>
      </c>
      <c r="K593" s="712">
        <v>2420</v>
      </c>
    </row>
    <row r="594" spans="1:11" ht="14.4" customHeight="1" x14ac:dyDescent="0.3">
      <c r="A594" s="695" t="s">
        <v>545</v>
      </c>
      <c r="B594" s="696" t="s">
        <v>1978</v>
      </c>
      <c r="C594" s="699" t="s">
        <v>567</v>
      </c>
      <c r="D594" s="720" t="s">
        <v>1984</v>
      </c>
      <c r="E594" s="699" t="s">
        <v>4057</v>
      </c>
      <c r="F594" s="720" t="s">
        <v>4058</v>
      </c>
      <c r="G594" s="699" t="s">
        <v>4007</v>
      </c>
      <c r="H594" s="699" t="s">
        <v>4008</v>
      </c>
      <c r="I594" s="711">
        <v>132</v>
      </c>
      <c r="J594" s="711">
        <v>30</v>
      </c>
      <c r="K594" s="712">
        <v>3959.9700000000003</v>
      </c>
    </row>
    <row r="595" spans="1:11" ht="14.4" customHeight="1" x14ac:dyDescent="0.3">
      <c r="A595" s="695" t="s">
        <v>545</v>
      </c>
      <c r="B595" s="696" t="s">
        <v>1978</v>
      </c>
      <c r="C595" s="699" t="s">
        <v>567</v>
      </c>
      <c r="D595" s="720" t="s">
        <v>1984</v>
      </c>
      <c r="E595" s="699" t="s">
        <v>4057</v>
      </c>
      <c r="F595" s="720" t="s">
        <v>4058</v>
      </c>
      <c r="G595" s="699" t="s">
        <v>4009</v>
      </c>
      <c r="H595" s="699" t="s">
        <v>4010</v>
      </c>
      <c r="I595" s="711">
        <v>132</v>
      </c>
      <c r="J595" s="711">
        <v>30</v>
      </c>
      <c r="K595" s="712">
        <v>3959.9799999999996</v>
      </c>
    </row>
    <row r="596" spans="1:11" ht="14.4" customHeight="1" x14ac:dyDescent="0.3">
      <c r="A596" s="695" t="s">
        <v>545</v>
      </c>
      <c r="B596" s="696" t="s">
        <v>1978</v>
      </c>
      <c r="C596" s="699" t="s">
        <v>567</v>
      </c>
      <c r="D596" s="720" t="s">
        <v>1984</v>
      </c>
      <c r="E596" s="699" t="s">
        <v>4057</v>
      </c>
      <c r="F596" s="720" t="s">
        <v>4058</v>
      </c>
      <c r="G596" s="699" t="s">
        <v>3938</v>
      </c>
      <c r="H596" s="699" t="s">
        <v>3939</v>
      </c>
      <c r="I596" s="711">
        <v>2.61</v>
      </c>
      <c r="J596" s="711">
        <v>50</v>
      </c>
      <c r="K596" s="712">
        <v>130.5</v>
      </c>
    </row>
    <row r="597" spans="1:11" ht="14.4" customHeight="1" x14ac:dyDescent="0.3">
      <c r="A597" s="695" t="s">
        <v>545</v>
      </c>
      <c r="B597" s="696" t="s">
        <v>1978</v>
      </c>
      <c r="C597" s="699" t="s">
        <v>567</v>
      </c>
      <c r="D597" s="720" t="s">
        <v>1984</v>
      </c>
      <c r="E597" s="699" t="s">
        <v>4057</v>
      </c>
      <c r="F597" s="720" t="s">
        <v>4058</v>
      </c>
      <c r="G597" s="699" t="s">
        <v>3940</v>
      </c>
      <c r="H597" s="699" t="s">
        <v>3941</v>
      </c>
      <c r="I597" s="711">
        <v>17.91</v>
      </c>
      <c r="J597" s="711">
        <v>10</v>
      </c>
      <c r="K597" s="712">
        <v>179.1</v>
      </c>
    </row>
    <row r="598" spans="1:11" ht="14.4" customHeight="1" x14ac:dyDescent="0.3">
      <c r="A598" s="695" t="s">
        <v>545</v>
      </c>
      <c r="B598" s="696" t="s">
        <v>1978</v>
      </c>
      <c r="C598" s="699" t="s">
        <v>567</v>
      </c>
      <c r="D598" s="720" t="s">
        <v>1984</v>
      </c>
      <c r="E598" s="699" t="s">
        <v>4057</v>
      </c>
      <c r="F598" s="720" t="s">
        <v>4058</v>
      </c>
      <c r="G598" s="699" t="s">
        <v>3950</v>
      </c>
      <c r="H598" s="699" t="s">
        <v>3951</v>
      </c>
      <c r="I598" s="711">
        <v>24.2</v>
      </c>
      <c r="J598" s="711">
        <v>100</v>
      </c>
      <c r="K598" s="712">
        <v>2420</v>
      </c>
    </row>
    <row r="599" spans="1:11" ht="14.4" customHeight="1" x14ac:dyDescent="0.3">
      <c r="A599" s="695" t="s">
        <v>545</v>
      </c>
      <c r="B599" s="696" t="s">
        <v>1978</v>
      </c>
      <c r="C599" s="699" t="s">
        <v>567</v>
      </c>
      <c r="D599" s="720" t="s">
        <v>1984</v>
      </c>
      <c r="E599" s="699" t="s">
        <v>4069</v>
      </c>
      <c r="F599" s="720" t="s">
        <v>4070</v>
      </c>
      <c r="G599" s="699" t="s">
        <v>3962</v>
      </c>
      <c r="H599" s="699" t="s">
        <v>3963</v>
      </c>
      <c r="I599" s="711">
        <v>8.16</v>
      </c>
      <c r="J599" s="711">
        <v>100</v>
      </c>
      <c r="K599" s="712">
        <v>816</v>
      </c>
    </row>
    <row r="600" spans="1:11" ht="14.4" customHeight="1" x14ac:dyDescent="0.3">
      <c r="A600" s="695" t="s">
        <v>545</v>
      </c>
      <c r="B600" s="696" t="s">
        <v>1978</v>
      </c>
      <c r="C600" s="699" t="s">
        <v>567</v>
      </c>
      <c r="D600" s="720" t="s">
        <v>1984</v>
      </c>
      <c r="E600" s="699" t="s">
        <v>4059</v>
      </c>
      <c r="F600" s="720" t="s">
        <v>4060</v>
      </c>
      <c r="G600" s="699" t="s">
        <v>3741</v>
      </c>
      <c r="H600" s="699" t="s">
        <v>3742</v>
      </c>
      <c r="I600" s="711">
        <v>0.30666666666666664</v>
      </c>
      <c r="J600" s="711">
        <v>500</v>
      </c>
      <c r="K600" s="712">
        <v>153</v>
      </c>
    </row>
    <row r="601" spans="1:11" ht="14.4" customHeight="1" x14ac:dyDescent="0.3">
      <c r="A601" s="695" t="s">
        <v>545</v>
      </c>
      <c r="B601" s="696" t="s">
        <v>1978</v>
      </c>
      <c r="C601" s="699" t="s">
        <v>567</v>
      </c>
      <c r="D601" s="720" t="s">
        <v>1984</v>
      </c>
      <c r="E601" s="699" t="s">
        <v>4059</v>
      </c>
      <c r="F601" s="720" t="s">
        <v>4060</v>
      </c>
      <c r="G601" s="699" t="s">
        <v>3322</v>
      </c>
      <c r="H601" s="699" t="s">
        <v>3323</v>
      </c>
      <c r="I601" s="711">
        <v>0.30499999999999999</v>
      </c>
      <c r="J601" s="711">
        <v>400</v>
      </c>
      <c r="K601" s="712">
        <v>122</v>
      </c>
    </row>
    <row r="602" spans="1:11" ht="14.4" customHeight="1" x14ac:dyDescent="0.3">
      <c r="A602" s="695" t="s">
        <v>545</v>
      </c>
      <c r="B602" s="696" t="s">
        <v>1978</v>
      </c>
      <c r="C602" s="699" t="s">
        <v>567</v>
      </c>
      <c r="D602" s="720" t="s">
        <v>1984</v>
      </c>
      <c r="E602" s="699" t="s">
        <v>4059</v>
      </c>
      <c r="F602" s="720" t="s">
        <v>4060</v>
      </c>
      <c r="G602" s="699" t="s">
        <v>3324</v>
      </c>
      <c r="H602" s="699" t="s">
        <v>3325</v>
      </c>
      <c r="I602" s="711">
        <v>0.30333333333333329</v>
      </c>
      <c r="J602" s="711">
        <v>600</v>
      </c>
      <c r="K602" s="712">
        <v>183</v>
      </c>
    </row>
    <row r="603" spans="1:11" ht="14.4" customHeight="1" x14ac:dyDescent="0.3">
      <c r="A603" s="695" t="s">
        <v>545</v>
      </c>
      <c r="B603" s="696" t="s">
        <v>1978</v>
      </c>
      <c r="C603" s="699" t="s">
        <v>567</v>
      </c>
      <c r="D603" s="720" t="s">
        <v>1984</v>
      </c>
      <c r="E603" s="699" t="s">
        <v>4059</v>
      </c>
      <c r="F603" s="720" t="s">
        <v>4060</v>
      </c>
      <c r="G603" s="699" t="s">
        <v>3971</v>
      </c>
      <c r="H603" s="699" t="s">
        <v>3972</v>
      </c>
      <c r="I603" s="711">
        <v>31.74</v>
      </c>
      <c r="J603" s="711">
        <v>25</v>
      </c>
      <c r="K603" s="712">
        <v>793.46</v>
      </c>
    </row>
    <row r="604" spans="1:11" ht="14.4" customHeight="1" x14ac:dyDescent="0.3">
      <c r="A604" s="695" t="s">
        <v>545</v>
      </c>
      <c r="B604" s="696" t="s">
        <v>1978</v>
      </c>
      <c r="C604" s="699" t="s">
        <v>567</v>
      </c>
      <c r="D604" s="720" t="s">
        <v>1984</v>
      </c>
      <c r="E604" s="699" t="s">
        <v>4059</v>
      </c>
      <c r="F604" s="720" t="s">
        <v>4060</v>
      </c>
      <c r="G604" s="699" t="s">
        <v>4053</v>
      </c>
      <c r="H604" s="699" t="s">
        <v>4054</v>
      </c>
      <c r="I604" s="711">
        <v>31.74</v>
      </c>
      <c r="J604" s="711">
        <v>50</v>
      </c>
      <c r="K604" s="712">
        <v>1586.92</v>
      </c>
    </row>
    <row r="605" spans="1:11" ht="14.4" customHeight="1" x14ac:dyDescent="0.3">
      <c r="A605" s="695" t="s">
        <v>545</v>
      </c>
      <c r="B605" s="696" t="s">
        <v>1978</v>
      </c>
      <c r="C605" s="699" t="s">
        <v>567</v>
      </c>
      <c r="D605" s="720" t="s">
        <v>1984</v>
      </c>
      <c r="E605" s="699" t="s">
        <v>4061</v>
      </c>
      <c r="F605" s="720" t="s">
        <v>4062</v>
      </c>
      <c r="G605" s="699" t="s">
        <v>3328</v>
      </c>
      <c r="H605" s="699" t="s">
        <v>3329</v>
      </c>
      <c r="I605" s="711">
        <v>0.77500000000000013</v>
      </c>
      <c r="J605" s="711">
        <v>900</v>
      </c>
      <c r="K605" s="712">
        <v>698</v>
      </c>
    </row>
    <row r="606" spans="1:11" ht="14.4" customHeight="1" x14ac:dyDescent="0.3">
      <c r="A606" s="695" t="s">
        <v>545</v>
      </c>
      <c r="B606" s="696" t="s">
        <v>1978</v>
      </c>
      <c r="C606" s="699" t="s">
        <v>567</v>
      </c>
      <c r="D606" s="720" t="s">
        <v>1984</v>
      </c>
      <c r="E606" s="699" t="s">
        <v>4061</v>
      </c>
      <c r="F606" s="720" t="s">
        <v>4062</v>
      </c>
      <c r="G606" s="699" t="s">
        <v>3330</v>
      </c>
      <c r="H606" s="699" t="s">
        <v>3331</v>
      </c>
      <c r="I606" s="711">
        <v>0.77250000000000008</v>
      </c>
      <c r="J606" s="711">
        <v>900</v>
      </c>
      <c r="K606" s="712">
        <v>695</v>
      </c>
    </row>
    <row r="607" spans="1:11" ht="14.4" customHeight="1" thickBot="1" x14ac:dyDescent="0.35">
      <c r="A607" s="703" t="s">
        <v>545</v>
      </c>
      <c r="B607" s="704" t="s">
        <v>1978</v>
      </c>
      <c r="C607" s="707" t="s">
        <v>567</v>
      </c>
      <c r="D607" s="721" t="s">
        <v>1984</v>
      </c>
      <c r="E607" s="707" t="s">
        <v>4061</v>
      </c>
      <c r="F607" s="721" t="s">
        <v>4062</v>
      </c>
      <c r="G607" s="707" t="s">
        <v>3759</v>
      </c>
      <c r="H607" s="707" t="s">
        <v>3760</v>
      </c>
      <c r="I607" s="713">
        <v>0.71</v>
      </c>
      <c r="J607" s="713">
        <v>200</v>
      </c>
      <c r="K607" s="714">
        <v>142</v>
      </c>
    </row>
  </sheetData>
  <autoFilter ref="A4:K4"/>
  <mergeCells count="2">
    <mergeCell ref="A1:K1"/>
    <mergeCell ref="C3:G3"/>
  </mergeCells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xl/worksheets/sheet1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13">
    <tabColor theme="3" tint="0.39997558519241921"/>
    <outlinePr summaryBelow="0"/>
    <pageSetUpPr fitToPage="1"/>
  </sheetPr>
  <dimension ref="A1:AH36"/>
  <sheetViews>
    <sheetView showGridLines="0" showRowColHeaders="0" zoomScaleNormal="100" workbookViewId="0">
      <pane xSplit="1" ySplit="4" topLeftCell="B5" activePane="bottomRight" state="frozen"/>
      <selection pane="topRight" activeCell="B1" sqref="B1"/>
      <selection pane="bottomLeft" activeCell="A5" sqref="A5"/>
      <selection pane="bottomRight" sqref="A1:AG1"/>
    </sheetView>
  </sheetViews>
  <sheetFormatPr defaultRowHeight="14.4" outlineLevelRow="1" x14ac:dyDescent="0.3"/>
  <cols>
    <col min="1" max="1" width="37.21875" customWidth="1"/>
    <col min="2" max="4" width="13.109375" customWidth="1"/>
    <col min="5" max="5" width="13.109375" hidden="1" customWidth="1"/>
    <col min="6" max="6" width="13.109375" customWidth="1"/>
    <col min="7" max="28" width="13.109375" hidden="1" customWidth="1"/>
    <col min="29" max="29" width="13.109375" customWidth="1"/>
    <col min="30" max="32" width="13.109375" hidden="1" customWidth="1"/>
    <col min="33" max="33" width="13.109375" customWidth="1"/>
  </cols>
  <sheetData>
    <row r="1" spans="1:34" ht="18.600000000000001" thickBot="1" x14ac:dyDescent="0.4">
      <c r="A1" s="521" t="s">
        <v>131</v>
      </c>
      <c r="B1" s="489"/>
      <c r="C1" s="489"/>
      <c r="D1" s="489"/>
      <c r="E1" s="489"/>
      <c r="F1" s="489"/>
      <c r="G1" s="489"/>
      <c r="H1" s="489"/>
      <c r="I1" s="489"/>
      <c r="J1" s="489"/>
      <c r="K1" s="489"/>
      <c r="L1" s="489"/>
      <c r="M1" s="489"/>
      <c r="N1" s="489"/>
      <c r="O1" s="489"/>
      <c r="P1" s="489"/>
      <c r="Q1" s="489"/>
      <c r="R1" s="489"/>
      <c r="S1" s="489"/>
      <c r="T1" s="489"/>
      <c r="U1" s="489"/>
      <c r="V1" s="489"/>
      <c r="W1" s="489"/>
      <c r="X1" s="489"/>
      <c r="Y1" s="489"/>
      <c r="Z1" s="489"/>
      <c r="AA1" s="489"/>
      <c r="AB1" s="489"/>
      <c r="AC1" s="489"/>
      <c r="AD1" s="489"/>
      <c r="AE1" s="489"/>
      <c r="AF1" s="489"/>
      <c r="AG1" s="489"/>
    </row>
    <row r="2" spans="1:34" ht="15" thickBot="1" x14ac:dyDescent="0.35">
      <c r="A2" s="386" t="s">
        <v>321</v>
      </c>
      <c r="B2" s="387"/>
      <c r="C2" s="387"/>
      <c r="D2" s="387"/>
      <c r="E2" s="387"/>
      <c r="F2" s="387"/>
      <c r="G2" s="387"/>
      <c r="H2" s="387"/>
      <c r="I2" s="387"/>
      <c r="J2" s="387"/>
      <c r="K2" s="387"/>
      <c r="L2" s="387"/>
      <c r="M2" s="387"/>
      <c r="N2" s="387"/>
      <c r="O2" s="387"/>
      <c r="P2" s="387"/>
      <c r="Q2" s="387"/>
      <c r="R2" s="387"/>
      <c r="S2" s="387"/>
      <c r="T2" s="387"/>
      <c r="U2" s="387"/>
      <c r="V2" s="387"/>
      <c r="W2" s="387"/>
      <c r="X2" s="387"/>
      <c r="Y2" s="387"/>
      <c r="Z2" s="387"/>
      <c r="AA2" s="387"/>
      <c r="AB2" s="387"/>
      <c r="AC2" s="387"/>
      <c r="AD2" s="387"/>
      <c r="AE2" s="387"/>
      <c r="AF2" s="387"/>
      <c r="AG2" s="387"/>
    </row>
    <row r="3" spans="1:34" x14ac:dyDescent="0.3">
      <c r="A3" s="405" t="s">
        <v>274</v>
      </c>
      <c r="B3" s="522" t="s">
        <v>255</v>
      </c>
      <c r="C3" s="388">
        <v>0</v>
      </c>
      <c r="D3" s="389">
        <v>101</v>
      </c>
      <c r="E3" s="389">
        <v>102</v>
      </c>
      <c r="F3" s="408">
        <v>305</v>
      </c>
      <c r="G3" s="408">
        <v>306</v>
      </c>
      <c r="H3" s="408">
        <v>408</v>
      </c>
      <c r="I3" s="408">
        <v>409</v>
      </c>
      <c r="J3" s="408">
        <v>410</v>
      </c>
      <c r="K3" s="408">
        <v>415</v>
      </c>
      <c r="L3" s="408">
        <v>416</v>
      </c>
      <c r="M3" s="408">
        <v>418</v>
      </c>
      <c r="N3" s="408">
        <v>419</v>
      </c>
      <c r="O3" s="408">
        <v>420</v>
      </c>
      <c r="P3" s="408">
        <v>421</v>
      </c>
      <c r="Q3" s="408">
        <v>522</v>
      </c>
      <c r="R3" s="408">
        <v>523</v>
      </c>
      <c r="S3" s="408">
        <v>524</v>
      </c>
      <c r="T3" s="408">
        <v>525</v>
      </c>
      <c r="U3" s="408">
        <v>526</v>
      </c>
      <c r="V3" s="408">
        <v>527</v>
      </c>
      <c r="W3" s="408">
        <v>528</v>
      </c>
      <c r="X3" s="408">
        <v>629</v>
      </c>
      <c r="Y3" s="408">
        <v>630</v>
      </c>
      <c r="Z3" s="408">
        <v>636</v>
      </c>
      <c r="AA3" s="408">
        <v>637</v>
      </c>
      <c r="AB3" s="408">
        <v>640</v>
      </c>
      <c r="AC3" s="408">
        <v>642</v>
      </c>
      <c r="AD3" s="408">
        <v>743</v>
      </c>
      <c r="AE3" s="389">
        <v>745</v>
      </c>
      <c r="AF3" s="389">
        <v>746</v>
      </c>
      <c r="AG3" s="731">
        <v>930</v>
      </c>
      <c r="AH3" s="746"/>
    </row>
    <row r="4" spans="1:34" ht="36.6" outlineLevel="1" thickBot="1" x14ac:dyDescent="0.35">
      <c r="A4" s="406">
        <v>2014</v>
      </c>
      <c r="B4" s="523"/>
      <c r="C4" s="390" t="s">
        <v>256</v>
      </c>
      <c r="D4" s="391" t="s">
        <v>257</v>
      </c>
      <c r="E4" s="391" t="s">
        <v>258</v>
      </c>
      <c r="F4" s="409" t="s">
        <v>286</v>
      </c>
      <c r="G4" s="409" t="s">
        <v>287</v>
      </c>
      <c r="H4" s="409" t="s">
        <v>288</v>
      </c>
      <c r="I4" s="409" t="s">
        <v>289</v>
      </c>
      <c r="J4" s="409" t="s">
        <v>290</v>
      </c>
      <c r="K4" s="409" t="s">
        <v>291</v>
      </c>
      <c r="L4" s="409" t="s">
        <v>292</v>
      </c>
      <c r="M4" s="409" t="s">
        <v>293</v>
      </c>
      <c r="N4" s="409" t="s">
        <v>294</v>
      </c>
      <c r="O4" s="409" t="s">
        <v>295</v>
      </c>
      <c r="P4" s="409" t="s">
        <v>296</v>
      </c>
      <c r="Q4" s="409" t="s">
        <v>297</v>
      </c>
      <c r="R4" s="409" t="s">
        <v>298</v>
      </c>
      <c r="S4" s="409" t="s">
        <v>299</v>
      </c>
      <c r="T4" s="409" t="s">
        <v>300</v>
      </c>
      <c r="U4" s="409" t="s">
        <v>301</v>
      </c>
      <c r="V4" s="409" t="s">
        <v>302</v>
      </c>
      <c r="W4" s="409" t="s">
        <v>311</v>
      </c>
      <c r="X4" s="409" t="s">
        <v>303</v>
      </c>
      <c r="Y4" s="409" t="s">
        <v>312</v>
      </c>
      <c r="Z4" s="409" t="s">
        <v>304</v>
      </c>
      <c r="AA4" s="409" t="s">
        <v>305</v>
      </c>
      <c r="AB4" s="409" t="s">
        <v>306</v>
      </c>
      <c r="AC4" s="409" t="s">
        <v>307</v>
      </c>
      <c r="AD4" s="409" t="s">
        <v>308</v>
      </c>
      <c r="AE4" s="391" t="s">
        <v>309</v>
      </c>
      <c r="AF4" s="391" t="s">
        <v>310</v>
      </c>
      <c r="AG4" s="732" t="s">
        <v>276</v>
      </c>
      <c r="AH4" s="746"/>
    </row>
    <row r="5" spans="1:34" x14ac:dyDescent="0.3">
      <c r="A5" s="392" t="s">
        <v>259</v>
      </c>
      <c r="B5" s="428"/>
      <c r="C5" s="429"/>
      <c r="D5" s="430"/>
      <c r="E5" s="430"/>
      <c r="F5" s="430"/>
      <c r="G5" s="430"/>
      <c r="H5" s="430"/>
      <c r="I5" s="430"/>
      <c r="J5" s="430"/>
      <c r="K5" s="430"/>
      <c r="L5" s="430"/>
      <c r="M5" s="430"/>
      <c r="N5" s="430"/>
      <c r="O5" s="430"/>
      <c r="P5" s="430"/>
      <c r="Q5" s="430"/>
      <c r="R5" s="430"/>
      <c r="S5" s="430"/>
      <c r="T5" s="430"/>
      <c r="U5" s="430"/>
      <c r="V5" s="430"/>
      <c r="W5" s="430"/>
      <c r="X5" s="430"/>
      <c r="Y5" s="430"/>
      <c r="Z5" s="430"/>
      <c r="AA5" s="430"/>
      <c r="AB5" s="430"/>
      <c r="AC5" s="430"/>
      <c r="AD5" s="430"/>
      <c r="AE5" s="430"/>
      <c r="AF5" s="430"/>
      <c r="AG5" s="733"/>
      <c r="AH5" s="746"/>
    </row>
    <row r="6" spans="1:34" ht="15" collapsed="1" thickBot="1" x14ac:dyDescent="0.35">
      <c r="A6" s="393" t="s">
        <v>94</v>
      </c>
      <c r="B6" s="431">
        <f xml:space="preserve">
TRUNC(IF($A$4&lt;=12,SUMIFS('ON Data'!F:F,'ON Data'!$D:$D,$A$4,'ON Data'!$E:$E,1),SUMIFS('ON Data'!F:F,'ON Data'!$E:$E,1)/'ON Data'!$D$3),1)</f>
        <v>152.1</v>
      </c>
      <c r="C6" s="432">
        <f xml:space="preserve">
TRUNC(IF($A$4&lt;=12,SUMIFS('ON Data'!G:G,'ON Data'!$D:$D,$A$4,'ON Data'!$E:$E,1),SUMIFS('ON Data'!G:G,'ON Data'!$E:$E,1)/'ON Data'!$D$3),1)</f>
        <v>0</v>
      </c>
      <c r="D6" s="433">
        <f xml:space="preserve">
TRUNC(IF($A$4&lt;=12,SUMIFS('ON Data'!H:H,'ON Data'!$D:$D,$A$4,'ON Data'!$E:$E,1),SUMIFS('ON Data'!H:H,'ON Data'!$E:$E,1)/'ON Data'!$D$3),1)</f>
        <v>47.3</v>
      </c>
      <c r="E6" s="433">
        <f xml:space="preserve">
TRUNC(IF($A$4&lt;=12,SUMIFS('ON Data'!I:I,'ON Data'!$D:$D,$A$4,'ON Data'!$E:$E,1),SUMIFS('ON Data'!I:I,'ON Data'!$E:$E,1)/'ON Data'!$D$3),1)</f>
        <v>0</v>
      </c>
      <c r="F6" s="433">
        <f xml:space="preserve">
TRUNC(IF($A$4&lt;=12,SUMIFS('ON Data'!K:K,'ON Data'!$D:$D,$A$4,'ON Data'!$E:$E,1),SUMIFS('ON Data'!K:K,'ON Data'!$E:$E,1)/'ON Data'!$D$3),1)</f>
        <v>91.8</v>
      </c>
      <c r="G6" s="433">
        <f xml:space="preserve">
TRUNC(IF($A$4&lt;=12,SUMIFS('ON Data'!L:L,'ON Data'!$D:$D,$A$4,'ON Data'!$E:$E,1),SUMIFS('ON Data'!L:L,'ON Data'!$E:$E,1)/'ON Data'!$D$3),1)</f>
        <v>0</v>
      </c>
      <c r="H6" s="433">
        <f xml:space="preserve">
TRUNC(IF($A$4&lt;=12,SUMIFS('ON Data'!M:M,'ON Data'!$D:$D,$A$4,'ON Data'!$E:$E,1),SUMIFS('ON Data'!M:M,'ON Data'!$E:$E,1)/'ON Data'!$D$3),1)</f>
        <v>0</v>
      </c>
      <c r="I6" s="433">
        <f xml:space="preserve">
TRUNC(IF($A$4&lt;=12,SUMIFS('ON Data'!N:N,'ON Data'!$D:$D,$A$4,'ON Data'!$E:$E,1),SUMIFS('ON Data'!N:N,'ON Data'!$E:$E,1)/'ON Data'!$D$3),1)</f>
        <v>0</v>
      </c>
      <c r="J6" s="433">
        <f xml:space="preserve">
TRUNC(IF($A$4&lt;=12,SUMIFS('ON Data'!O:O,'ON Data'!$D:$D,$A$4,'ON Data'!$E:$E,1),SUMIFS('ON Data'!O:O,'ON Data'!$E:$E,1)/'ON Data'!$D$3),1)</f>
        <v>0</v>
      </c>
      <c r="K6" s="433">
        <f xml:space="preserve">
TRUNC(IF($A$4&lt;=12,SUMIFS('ON Data'!P:P,'ON Data'!$D:$D,$A$4,'ON Data'!$E:$E,1),SUMIFS('ON Data'!P:P,'ON Data'!$E:$E,1)/'ON Data'!$D$3),1)</f>
        <v>0</v>
      </c>
      <c r="L6" s="433">
        <f xml:space="preserve">
TRUNC(IF($A$4&lt;=12,SUMIFS('ON Data'!Q:Q,'ON Data'!$D:$D,$A$4,'ON Data'!$E:$E,1),SUMIFS('ON Data'!Q:Q,'ON Data'!$E:$E,1)/'ON Data'!$D$3),1)</f>
        <v>0</v>
      </c>
      <c r="M6" s="433">
        <f xml:space="preserve">
TRUNC(IF($A$4&lt;=12,SUMIFS('ON Data'!R:R,'ON Data'!$D:$D,$A$4,'ON Data'!$E:$E,1),SUMIFS('ON Data'!R:R,'ON Data'!$E:$E,1)/'ON Data'!$D$3),1)</f>
        <v>0</v>
      </c>
      <c r="N6" s="433">
        <f xml:space="preserve">
TRUNC(IF($A$4&lt;=12,SUMIFS('ON Data'!S:S,'ON Data'!$D:$D,$A$4,'ON Data'!$E:$E,1),SUMIFS('ON Data'!S:S,'ON Data'!$E:$E,1)/'ON Data'!$D$3),1)</f>
        <v>0</v>
      </c>
      <c r="O6" s="433">
        <f xml:space="preserve">
TRUNC(IF($A$4&lt;=12,SUMIFS('ON Data'!T:T,'ON Data'!$D:$D,$A$4,'ON Data'!$E:$E,1),SUMIFS('ON Data'!T:T,'ON Data'!$E:$E,1)/'ON Data'!$D$3),1)</f>
        <v>0</v>
      </c>
      <c r="P6" s="433">
        <f xml:space="preserve">
TRUNC(IF($A$4&lt;=12,SUMIFS('ON Data'!U:U,'ON Data'!$D:$D,$A$4,'ON Data'!$E:$E,1),SUMIFS('ON Data'!U:U,'ON Data'!$E:$E,1)/'ON Data'!$D$3),1)</f>
        <v>0</v>
      </c>
      <c r="Q6" s="433">
        <f xml:space="preserve">
TRUNC(IF($A$4&lt;=12,SUMIFS('ON Data'!V:V,'ON Data'!$D:$D,$A$4,'ON Data'!$E:$E,1),SUMIFS('ON Data'!V:V,'ON Data'!$E:$E,1)/'ON Data'!$D$3),1)</f>
        <v>0</v>
      </c>
      <c r="R6" s="433">
        <f xml:space="preserve">
TRUNC(IF($A$4&lt;=12,SUMIFS('ON Data'!W:W,'ON Data'!$D:$D,$A$4,'ON Data'!$E:$E,1),SUMIFS('ON Data'!W:W,'ON Data'!$E:$E,1)/'ON Data'!$D$3),1)</f>
        <v>0</v>
      </c>
      <c r="S6" s="433">
        <f xml:space="preserve">
TRUNC(IF($A$4&lt;=12,SUMIFS('ON Data'!X:X,'ON Data'!$D:$D,$A$4,'ON Data'!$E:$E,1),SUMIFS('ON Data'!X:X,'ON Data'!$E:$E,1)/'ON Data'!$D$3),1)</f>
        <v>0</v>
      </c>
      <c r="T6" s="433">
        <f xml:space="preserve">
TRUNC(IF($A$4&lt;=12,SUMIFS('ON Data'!Y:Y,'ON Data'!$D:$D,$A$4,'ON Data'!$E:$E,1),SUMIFS('ON Data'!Y:Y,'ON Data'!$E:$E,1)/'ON Data'!$D$3),1)</f>
        <v>0</v>
      </c>
      <c r="U6" s="433">
        <f xml:space="preserve">
TRUNC(IF($A$4&lt;=12,SUMIFS('ON Data'!Z:Z,'ON Data'!$D:$D,$A$4,'ON Data'!$E:$E,1),SUMIFS('ON Data'!Z:Z,'ON Data'!$E:$E,1)/'ON Data'!$D$3),1)</f>
        <v>0</v>
      </c>
      <c r="V6" s="433">
        <f xml:space="preserve">
TRUNC(IF($A$4&lt;=12,SUMIFS('ON Data'!AA:AA,'ON Data'!$D:$D,$A$4,'ON Data'!$E:$E,1),SUMIFS('ON Data'!AA:AA,'ON Data'!$E:$E,1)/'ON Data'!$D$3),1)</f>
        <v>0</v>
      </c>
      <c r="W6" s="433">
        <f xml:space="preserve">
TRUNC(IF($A$4&lt;=12,SUMIFS('ON Data'!AB:AB,'ON Data'!$D:$D,$A$4,'ON Data'!$E:$E,1),SUMIFS('ON Data'!AB:AB,'ON Data'!$E:$E,1)/'ON Data'!$D$3),1)</f>
        <v>0</v>
      </c>
      <c r="X6" s="433">
        <f xml:space="preserve">
TRUNC(IF($A$4&lt;=12,SUMIFS('ON Data'!AC:AC,'ON Data'!$D:$D,$A$4,'ON Data'!$E:$E,1),SUMIFS('ON Data'!AC:AC,'ON Data'!$E:$E,1)/'ON Data'!$D$3),1)</f>
        <v>0</v>
      </c>
      <c r="Y6" s="433">
        <f xml:space="preserve">
TRUNC(IF($A$4&lt;=12,SUMIFS('ON Data'!AD:AD,'ON Data'!$D:$D,$A$4,'ON Data'!$E:$E,1),SUMIFS('ON Data'!AD:AD,'ON Data'!$E:$E,1)/'ON Data'!$D$3),1)</f>
        <v>0</v>
      </c>
      <c r="Z6" s="433">
        <f xml:space="preserve">
TRUNC(IF($A$4&lt;=12,SUMIFS('ON Data'!AE:AE,'ON Data'!$D:$D,$A$4,'ON Data'!$E:$E,1),SUMIFS('ON Data'!AE:AE,'ON Data'!$E:$E,1)/'ON Data'!$D$3),1)</f>
        <v>0</v>
      </c>
      <c r="AA6" s="433">
        <f xml:space="preserve">
TRUNC(IF($A$4&lt;=12,SUMIFS('ON Data'!AF:AF,'ON Data'!$D:$D,$A$4,'ON Data'!$E:$E,1),SUMIFS('ON Data'!AF:AF,'ON Data'!$E:$E,1)/'ON Data'!$D$3),1)</f>
        <v>0</v>
      </c>
      <c r="AB6" s="433">
        <f xml:space="preserve">
TRUNC(IF($A$4&lt;=12,SUMIFS('ON Data'!AG:AG,'ON Data'!$D:$D,$A$4,'ON Data'!$E:$E,1),SUMIFS('ON Data'!AG:AG,'ON Data'!$E:$E,1)/'ON Data'!$D$3),1)</f>
        <v>0</v>
      </c>
      <c r="AC6" s="433">
        <f xml:space="preserve">
TRUNC(IF($A$4&lt;=12,SUMIFS('ON Data'!AH:AH,'ON Data'!$D:$D,$A$4,'ON Data'!$E:$E,1),SUMIFS('ON Data'!AH:AH,'ON Data'!$E:$E,1)/'ON Data'!$D$3),1)</f>
        <v>10.8</v>
      </c>
      <c r="AD6" s="433">
        <f xml:space="preserve">
TRUNC(IF($A$4&lt;=12,SUMIFS('ON Data'!AI:AI,'ON Data'!$D:$D,$A$4,'ON Data'!$E:$E,1),SUMIFS('ON Data'!AI:AI,'ON Data'!$E:$E,1)/'ON Data'!$D$3),1)</f>
        <v>0</v>
      </c>
      <c r="AE6" s="433">
        <f xml:space="preserve">
TRUNC(IF($A$4&lt;=12,SUMIFS('ON Data'!AJ:AJ,'ON Data'!$D:$D,$A$4,'ON Data'!$E:$E,1),SUMIFS('ON Data'!AJ:AJ,'ON Data'!$E:$E,1)/'ON Data'!$D$3),1)</f>
        <v>0</v>
      </c>
      <c r="AF6" s="433">
        <f xml:space="preserve">
TRUNC(IF($A$4&lt;=12,SUMIFS('ON Data'!AK:AK,'ON Data'!$D:$D,$A$4,'ON Data'!$E:$E,1),SUMIFS('ON Data'!AK:AK,'ON Data'!$E:$E,1)/'ON Data'!$D$3),1)</f>
        <v>0</v>
      </c>
      <c r="AG6" s="734">
        <f xml:space="preserve">
TRUNC(IF($A$4&lt;=12,SUMIFS('ON Data'!AM:AM,'ON Data'!$D:$D,$A$4,'ON Data'!$E:$E,1),SUMIFS('ON Data'!AM:AM,'ON Data'!$E:$E,1)/'ON Data'!$D$3),1)</f>
        <v>2.2000000000000002</v>
      </c>
      <c r="AH6" s="746"/>
    </row>
    <row r="7" spans="1:34" ht="15" hidden="1" outlineLevel="1" thickBot="1" x14ac:dyDescent="0.35">
      <c r="A7" s="393" t="s">
        <v>132</v>
      </c>
      <c r="B7" s="431"/>
      <c r="C7" s="434"/>
      <c r="D7" s="433"/>
      <c r="E7" s="433"/>
      <c r="F7" s="433"/>
      <c r="G7" s="433"/>
      <c r="H7" s="433"/>
      <c r="I7" s="433"/>
      <c r="J7" s="433"/>
      <c r="K7" s="433"/>
      <c r="L7" s="433"/>
      <c r="M7" s="433"/>
      <c r="N7" s="433"/>
      <c r="O7" s="433"/>
      <c r="P7" s="433"/>
      <c r="Q7" s="433"/>
      <c r="R7" s="433"/>
      <c r="S7" s="433"/>
      <c r="T7" s="433"/>
      <c r="U7" s="433"/>
      <c r="V7" s="433"/>
      <c r="W7" s="433"/>
      <c r="X7" s="433"/>
      <c r="Y7" s="433"/>
      <c r="Z7" s="433"/>
      <c r="AA7" s="433"/>
      <c r="AB7" s="433"/>
      <c r="AC7" s="433"/>
      <c r="AD7" s="433"/>
      <c r="AE7" s="433"/>
      <c r="AF7" s="433"/>
      <c r="AG7" s="734"/>
      <c r="AH7" s="746"/>
    </row>
    <row r="8" spans="1:34" ht="15" hidden="1" outlineLevel="1" thickBot="1" x14ac:dyDescent="0.35">
      <c r="A8" s="393" t="s">
        <v>96</v>
      </c>
      <c r="B8" s="431"/>
      <c r="C8" s="434"/>
      <c r="D8" s="433"/>
      <c r="E8" s="433"/>
      <c r="F8" s="433"/>
      <c r="G8" s="433"/>
      <c r="H8" s="433"/>
      <c r="I8" s="433"/>
      <c r="J8" s="433"/>
      <c r="K8" s="433"/>
      <c r="L8" s="433"/>
      <c r="M8" s="433"/>
      <c r="N8" s="433"/>
      <c r="O8" s="433"/>
      <c r="P8" s="433"/>
      <c r="Q8" s="433"/>
      <c r="R8" s="433"/>
      <c r="S8" s="433"/>
      <c r="T8" s="433"/>
      <c r="U8" s="433"/>
      <c r="V8" s="433"/>
      <c r="W8" s="433"/>
      <c r="X8" s="433"/>
      <c r="Y8" s="433"/>
      <c r="Z8" s="433"/>
      <c r="AA8" s="433"/>
      <c r="AB8" s="433"/>
      <c r="AC8" s="433"/>
      <c r="AD8" s="433"/>
      <c r="AE8" s="433"/>
      <c r="AF8" s="433"/>
      <c r="AG8" s="734"/>
      <c r="AH8" s="746"/>
    </row>
    <row r="9" spans="1:34" ht="15" hidden="1" outlineLevel="1" thickBot="1" x14ac:dyDescent="0.35">
      <c r="A9" s="394" t="s">
        <v>69</v>
      </c>
      <c r="B9" s="435"/>
      <c r="C9" s="436"/>
      <c r="D9" s="437"/>
      <c r="E9" s="437"/>
      <c r="F9" s="437"/>
      <c r="G9" s="437"/>
      <c r="H9" s="437"/>
      <c r="I9" s="437"/>
      <c r="J9" s="437"/>
      <c r="K9" s="437"/>
      <c r="L9" s="437"/>
      <c r="M9" s="437"/>
      <c r="N9" s="437"/>
      <c r="O9" s="437"/>
      <c r="P9" s="437"/>
      <c r="Q9" s="437"/>
      <c r="R9" s="437"/>
      <c r="S9" s="437"/>
      <c r="T9" s="437"/>
      <c r="U9" s="437"/>
      <c r="V9" s="437"/>
      <c r="W9" s="437"/>
      <c r="X9" s="437"/>
      <c r="Y9" s="437"/>
      <c r="Z9" s="437"/>
      <c r="AA9" s="437"/>
      <c r="AB9" s="437"/>
      <c r="AC9" s="437"/>
      <c r="AD9" s="437"/>
      <c r="AE9" s="437"/>
      <c r="AF9" s="437"/>
      <c r="AG9" s="735"/>
      <c r="AH9" s="746"/>
    </row>
    <row r="10" spans="1:34" x14ac:dyDescent="0.3">
      <c r="A10" s="395" t="s">
        <v>260</v>
      </c>
      <c r="B10" s="410"/>
      <c r="C10" s="411"/>
      <c r="D10" s="412"/>
      <c r="E10" s="412"/>
      <c r="F10" s="412"/>
      <c r="G10" s="412"/>
      <c r="H10" s="412"/>
      <c r="I10" s="412"/>
      <c r="J10" s="412"/>
      <c r="K10" s="412"/>
      <c r="L10" s="412"/>
      <c r="M10" s="412"/>
      <c r="N10" s="412"/>
      <c r="O10" s="412"/>
      <c r="P10" s="412"/>
      <c r="Q10" s="412"/>
      <c r="R10" s="412"/>
      <c r="S10" s="412"/>
      <c r="T10" s="412"/>
      <c r="U10" s="412"/>
      <c r="V10" s="412"/>
      <c r="W10" s="412"/>
      <c r="X10" s="412"/>
      <c r="Y10" s="412"/>
      <c r="Z10" s="412"/>
      <c r="AA10" s="412"/>
      <c r="AB10" s="412"/>
      <c r="AC10" s="412"/>
      <c r="AD10" s="412"/>
      <c r="AE10" s="412"/>
      <c r="AF10" s="412"/>
      <c r="AG10" s="736"/>
      <c r="AH10" s="746"/>
    </row>
    <row r="11" spans="1:34" x14ac:dyDescent="0.3">
      <c r="A11" s="396" t="s">
        <v>261</v>
      </c>
      <c r="B11" s="413">
        <f xml:space="preserve">
IF($A$4&lt;=12,SUMIFS('ON Data'!F:F,'ON Data'!$D:$D,$A$4,'ON Data'!$E:$E,2),SUMIFS('ON Data'!F:F,'ON Data'!$E:$E,2))</f>
        <v>110360.73999999999</v>
      </c>
      <c r="C11" s="414">
        <f xml:space="preserve">
IF($A$4&lt;=12,SUMIFS('ON Data'!G:G,'ON Data'!$D:$D,$A$4,'ON Data'!$E:$E,2),SUMIFS('ON Data'!G:G,'ON Data'!$E:$E,2))</f>
        <v>0</v>
      </c>
      <c r="D11" s="415">
        <f xml:space="preserve">
IF($A$4&lt;=12,SUMIFS('ON Data'!H:H,'ON Data'!$D:$D,$A$4,'ON Data'!$E:$E,2),SUMIFS('ON Data'!H:H,'ON Data'!$E:$E,2))</f>
        <v>37108</v>
      </c>
      <c r="E11" s="415">
        <f xml:space="preserve">
IF($A$4&lt;=12,SUMIFS('ON Data'!I:I,'ON Data'!$D:$D,$A$4,'ON Data'!$E:$E,2),SUMIFS('ON Data'!I:I,'ON Data'!$E:$E,2))</f>
        <v>0</v>
      </c>
      <c r="F11" s="415">
        <f xml:space="preserve">
IF($A$4&lt;=12,SUMIFS('ON Data'!K:K,'ON Data'!$D:$D,$A$4,'ON Data'!$E:$E,2),SUMIFS('ON Data'!K:K,'ON Data'!$E:$E,2))</f>
        <v>63849.759999999995</v>
      </c>
      <c r="G11" s="415">
        <f xml:space="preserve">
IF($A$4&lt;=12,SUMIFS('ON Data'!L:L,'ON Data'!$D:$D,$A$4,'ON Data'!$E:$E,2),SUMIFS('ON Data'!L:L,'ON Data'!$E:$E,2))</f>
        <v>0</v>
      </c>
      <c r="H11" s="415">
        <f xml:space="preserve">
IF($A$4&lt;=12,SUMIFS('ON Data'!M:M,'ON Data'!$D:$D,$A$4,'ON Data'!$E:$E,2),SUMIFS('ON Data'!M:M,'ON Data'!$E:$E,2))</f>
        <v>0</v>
      </c>
      <c r="I11" s="415">
        <f xml:space="preserve">
IF($A$4&lt;=12,SUMIFS('ON Data'!N:N,'ON Data'!$D:$D,$A$4,'ON Data'!$E:$E,2),SUMIFS('ON Data'!N:N,'ON Data'!$E:$E,2))</f>
        <v>0</v>
      </c>
      <c r="J11" s="415">
        <f xml:space="preserve">
IF($A$4&lt;=12,SUMIFS('ON Data'!O:O,'ON Data'!$D:$D,$A$4,'ON Data'!$E:$E,2),SUMIFS('ON Data'!O:O,'ON Data'!$E:$E,2))</f>
        <v>0</v>
      </c>
      <c r="K11" s="415">
        <f xml:space="preserve">
IF($A$4&lt;=12,SUMIFS('ON Data'!P:P,'ON Data'!$D:$D,$A$4,'ON Data'!$E:$E,2),SUMIFS('ON Data'!P:P,'ON Data'!$E:$E,2))</f>
        <v>0</v>
      </c>
      <c r="L11" s="415">
        <f xml:space="preserve">
IF($A$4&lt;=12,SUMIFS('ON Data'!Q:Q,'ON Data'!$D:$D,$A$4,'ON Data'!$E:$E,2),SUMIFS('ON Data'!Q:Q,'ON Data'!$E:$E,2))</f>
        <v>0</v>
      </c>
      <c r="M11" s="415">
        <f xml:space="preserve">
IF($A$4&lt;=12,SUMIFS('ON Data'!R:R,'ON Data'!$D:$D,$A$4,'ON Data'!$E:$E,2),SUMIFS('ON Data'!R:R,'ON Data'!$E:$E,2))</f>
        <v>0</v>
      </c>
      <c r="N11" s="415">
        <f xml:space="preserve">
IF($A$4&lt;=12,SUMIFS('ON Data'!S:S,'ON Data'!$D:$D,$A$4,'ON Data'!$E:$E,2),SUMIFS('ON Data'!S:S,'ON Data'!$E:$E,2))</f>
        <v>0</v>
      </c>
      <c r="O11" s="415">
        <f xml:space="preserve">
IF($A$4&lt;=12,SUMIFS('ON Data'!T:T,'ON Data'!$D:$D,$A$4,'ON Data'!$E:$E,2),SUMIFS('ON Data'!T:T,'ON Data'!$E:$E,2))</f>
        <v>0</v>
      </c>
      <c r="P11" s="415">
        <f xml:space="preserve">
IF($A$4&lt;=12,SUMIFS('ON Data'!U:U,'ON Data'!$D:$D,$A$4,'ON Data'!$E:$E,2),SUMIFS('ON Data'!U:U,'ON Data'!$E:$E,2))</f>
        <v>0</v>
      </c>
      <c r="Q11" s="415">
        <f xml:space="preserve">
IF($A$4&lt;=12,SUMIFS('ON Data'!V:V,'ON Data'!$D:$D,$A$4,'ON Data'!$E:$E,2),SUMIFS('ON Data'!V:V,'ON Data'!$E:$E,2))</f>
        <v>0</v>
      </c>
      <c r="R11" s="415">
        <f xml:space="preserve">
IF($A$4&lt;=12,SUMIFS('ON Data'!W:W,'ON Data'!$D:$D,$A$4,'ON Data'!$E:$E,2),SUMIFS('ON Data'!W:W,'ON Data'!$E:$E,2))</f>
        <v>0</v>
      </c>
      <c r="S11" s="415">
        <f xml:space="preserve">
IF($A$4&lt;=12,SUMIFS('ON Data'!X:X,'ON Data'!$D:$D,$A$4,'ON Data'!$E:$E,2),SUMIFS('ON Data'!X:X,'ON Data'!$E:$E,2))</f>
        <v>0</v>
      </c>
      <c r="T11" s="415">
        <f xml:space="preserve">
IF($A$4&lt;=12,SUMIFS('ON Data'!Y:Y,'ON Data'!$D:$D,$A$4,'ON Data'!$E:$E,2),SUMIFS('ON Data'!Y:Y,'ON Data'!$E:$E,2))</f>
        <v>0</v>
      </c>
      <c r="U11" s="415">
        <f xml:space="preserve">
IF($A$4&lt;=12,SUMIFS('ON Data'!Z:Z,'ON Data'!$D:$D,$A$4,'ON Data'!$E:$E,2),SUMIFS('ON Data'!Z:Z,'ON Data'!$E:$E,2))</f>
        <v>0</v>
      </c>
      <c r="V11" s="415">
        <f xml:space="preserve">
IF($A$4&lt;=12,SUMIFS('ON Data'!AA:AA,'ON Data'!$D:$D,$A$4,'ON Data'!$E:$E,2),SUMIFS('ON Data'!AA:AA,'ON Data'!$E:$E,2))</f>
        <v>0</v>
      </c>
      <c r="W11" s="415">
        <f xml:space="preserve">
IF($A$4&lt;=12,SUMIFS('ON Data'!AB:AB,'ON Data'!$D:$D,$A$4,'ON Data'!$E:$E,2),SUMIFS('ON Data'!AB:AB,'ON Data'!$E:$E,2))</f>
        <v>0</v>
      </c>
      <c r="X11" s="415">
        <f xml:space="preserve">
IF($A$4&lt;=12,SUMIFS('ON Data'!AC:AC,'ON Data'!$D:$D,$A$4,'ON Data'!$E:$E,2),SUMIFS('ON Data'!AC:AC,'ON Data'!$E:$E,2))</f>
        <v>0</v>
      </c>
      <c r="Y11" s="415">
        <f xml:space="preserve">
IF($A$4&lt;=12,SUMIFS('ON Data'!AD:AD,'ON Data'!$D:$D,$A$4,'ON Data'!$E:$E,2),SUMIFS('ON Data'!AD:AD,'ON Data'!$E:$E,2))</f>
        <v>0</v>
      </c>
      <c r="Z11" s="415">
        <f xml:space="preserve">
IF($A$4&lt;=12,SUMIFS('ON Data'!AE:AE,'ON Data'!$D:$D,$A$4,'ON Data'!$E:$E,2),SUMIFS('ON Data'!AE:AE,'ON Data'!$E:$E,2))</f>
        <v>0</v>
      </c>
      <c r="AA11" s="415">
        <f xml:space="preserve">
IF($A$4&lt;=12,SUMIFS('ON Data'!AF:AF,'ON Data'!$D:$D,$A$4,'ON Data'!$E:$E,2),SUMIFS('ON Data'!AF:AF,'ON Data'!$E:$E,2))</f>
        <v>0</v>
      </c>
      <c r="AB11" s="415">
        <f xml:space="preserve">
IF($A$4&lt;=12,SUMIFS('ON Data'!AG:AG,'ON Data'!$D:$D,$A$4,'ON Data'!$E:$E,2),SUMIFS('ON Data'!AG:AG,'ON Data'!$E:$E,2))</f>
        <v>0</v>
      </c>
      <c r="AC11" s="415">
        <f xml:space="preserve">
IF($A$4&lt;=12,SUMIFS('ON Data'!AH:AH,'ON Data'!$D:$D,$A$4,'ON Data'!$E:$E,2),SUMIFS('ON Data'!AH:AH,'ON Data'!$E:$E,2))</f>
        <v>7815</v>
      </c>
      <c r="AD11" s="415">
        <f xml:space="preserve">
IF($A$4&lt;=12,SUMIFS('ON Data'!AI:AI,'ON Data'!$D:$D,$A$4,'ON Data'!$E:$E,2),SUMIFS('ON Data'!AI:AI,'ON Data'!$E:$E,2))</f>
        <v>0</v>
      </c>
      <c r="AE11" s="415">
        <f xml:space="preserve">
IF($A$4&lt;=12,SUMIFS('ON Data'!AJ:AJ,'ON Data'!$D:$D,$A$4,'ON Data'!$E:$E,2),SUMIFS('ON Data'!AJ:AJ,'ON Data'!$E:$E,2))</f>
        <v>0</v>
      </c>
      <c r="AF11" s="415">
        <f xml:space="preserve">
IF($A$4&lt;=12,SUMIFS('ON Data'!AK:AK,'ON Data'!$D:$D,$A$4,'ON Data'!$E:$E,2),SUMIFS('ON Data'!AK:AK,'ON Data'!$E:$E,2))</f>
        <v>0</v>
      </c>
      <c r="AG11" s="737">
        <f xml:space="preserve">
IF($A$4&lt;=12,SUMIFS('ON Data'!AM:AM,'ON Data'!$D:$D,$A$4,'ON Data'!$E:$E,2),SUMIFS('ON Data'!AM:AM,'ON Data'!$E:$E,2))</f>
        <v>1588</v>
      </c>
      <c r="AH11" s="746"/>
    </row>
    <row r="12" spans="1:34" x14ac:dyDescent="0.3">
      <c r="A12" s="396" t="s">
        <v>262</v>
      </c>
      <c r="B12" s="413">
        <f xml:space="preserve">
IF($A$4&lt;=12,SUMIFS('ON Data'!F:F,'ON Data'!$D:$D,$A$4,'ON Data'!$E:$E,3),SUMIFS('ON Data'!F:F,'ON Data'!$E:$E,3))</f>
        <v>719</v>
      </c>
      <c r="C12" s="414">
        <f xml:space="preserve">
IF($A$4&lt;=12,SUMIFS('ON Data'!G:G,'ON Data'!$D:$D,$A$4,'ON Data'!$E:$E,3),SUMIFS('ON Data'!G:G,'ON Data'!$E:$E,3))</f>
        <v>0</v>
      </c>
      <c r="D12" s="415">
        <f xml:space="preserve">
IF($A$4&lt;=12,SUMIFS('ON Data'!H:H,'ON Data'!$D:$D,$A$4,'ON Data'!$E:$E,3),SUMIFS('ON Data'!H:H,'ON Data'!$E:$E,3))</f>
        <v>92</v>
      </c>
      <c r="E12" s="415">
        <f xml:space="preserve">
IF($A$4&lt;=12,SUMIFS('ON Data'!I:I,'ON Data'!$D:$D,$A$4,'ON Data'!$E:$E,3),SUMIFS('ON Data'!I:I,'ON Data'!$E:$E,3))</f>
        <v>0</v>
      </c>
      <c r="F12" s="415">
        <f xml:space="preserve">
IF($A$4&lt;=12,SUMIFS('ON Data'!K:K,'ON Data'!$D:$D,$A$4,'ON Data'!$E:$E,3),SUMIFS('ON Data'!K:K,'ON Data'!$E:$E,3))</f>
        <v>627</v>
      </c>
      <c r="G12" s="415">
        <f xml:space="preserve">
IF($A$4&lt;=12,SUMIFS('ON Data'!L:L,'ON Data'!$D:$D,$A$4,'ON Data'!$E:$E,3),SUMIFS('ON Data'!L:L,'ON Data'!$E:$E,3))</f>
        <v>0</v>
      </c>
      <c r="H12" s="415">
        <f xml:space="preserve">
IF($A$4&lt;=12,SUMIFS('ON Data'!M:M,'ON Data'!$D:$D,$A$4,'ON Data'!$E:$E,3),SUMIFS('ON Data'!M:M,'ON Data'!$E:$E,3))</f>
        <v>0</v>
      </c>
      <c r="I12" s="415">
        <f xml:space="preserve">
IF($A$4&lt;=12,SUMIFS('ON Data'!N:N,'ON Data'!$D:$D,$A$4,'ON Data'!$E:$E,3),SUMIFS('ON Data'!N:N,'ON Data'!$E:$E,3))</f>
        <v>0</v>
      </c>
      <c r="J12" s="415">
        <f xml:space="preserve">
IF($A$4&lt;=12,SUMIFS('ON Data'!O:O,'ON Data'!$D:$D,$A$4,'ON Data'!$E:$E,3),SUMIFS('ON Data'!O:O,'ON Data'!$E:$E,3))</f>
        <v>0</v>
      </c>
      <c r="K12" s="415">
        <f xml:space="preserve">
IF($A$4&lt;=12,SUMIFS('ON Data'!P:P,'ON Data'!$D:$D,$A$4,'ON Data'!$E:$E,3),SUMIFS('ON Data'!P:P,'ON Data'!$E:$E,3))</f>
        <v>0</v>
      </c>
      <c r="L12" s="415">
        <f xml:space="preserve">
IF($A$4&lt;=12,SUMIFS('ON Data'!Q:Q,'ON Data'!$D:$D,$A$4,'ON Data'!$E:$E,3),SUMIFS('ON Data'!Q:Q,'ON Data'!$E:$E,3))</f>
        <v>0</v>
      </c>
      <c r="M12" s="415">
        <f xml:space="preserve">
IF($A$4&lt;=12,SUMIFS('ON Data'!R:R,'ON Data'!$D:$D,$A$4,'ON Data'!$E:$E,3),SUMIFS('ON Data'!R:R,'ON Data'!$E:$E,3))</f>
        <v>0</v>
      </c>
      <c r="N12" s="415">
        <f xml:space="preserve">
IF($A$4&lt;=12,SUMIFS('ON Data'!S:S,'ON Data'!$D:$D,$A$4,'ON Data'!$E:$E,3),SUMIFS('ON Data'!S:S,'ON Data'!$E:$E,3))</f>
        <v>0</v>
      </c>
      <c r="O12" s="415">
        <f xml:space="preserve">
IF($A$4&lt;=12,SUMIFS('ON Data'!T:T,'ON Data'!$D:$D,$A$4,'ON Data'!$E:$E,3),SUMIFS('ON Data'!T:T,'ON Data'!$E:$E,3))</f>
        <v>0</v>
      </c>
      <c r="P12" s="415">
        <f xml:space="preserve">
IF($A$4&lt;=12,SUMIFS('ON Data'!U:U,'ON Data'!$D:$D,$A$4,'ON Data'!$E:$E,3),SUMIFS('ON Data'!U:U,'ON Data'!$E:$E,3))</f>
        <v>0</v>
      </c>
      <c r="Q12" s="415">
        <f xml:space="preserve">
IF($A$4&lt;=12,SUMIFS('ON Data'!V:V,'ON Data'!$D:$D,$A$4,'ON Data'!$E:$E,3),SUMIFS('ON Data'!V:V,'ON Data'!$E:$E,3))</f>
        <v>0</v>
      </c>
      <c r="R12" s="415">
        <f xml:space="preserve">
IF($A$4&lt;=12,SUMIFS('ON Data'!W:W,'ON Data'!$D:$D,$A$4,'ON Data'!$E:$E,3),SUMIFS('ON Data'!W:W,'ON Data'!$E:$E,3))</f>
        <v>0</v>
      </c>
      <c r="S12" s="415">
        <f xml:space="preserve">
IF($A$4&lt;=12,SUMIFS('ON Data'!X:X,'ON Data'!$D:$D,$A$4,'ON Data'!$E:$E,3),SUMIFS('ON Data'!X:X,'ON Data'!$E:$E,3))</f>
        <v>0</v>
      </c>
      <c r="T12" s="415">
        <f xml:space="preserve">
IF($A$4&lt;=12,SUMIFS('ON Data'!Y:Y,'ON Data'!$D:$D,$A$4,'ON Data'!$E:$E,3),SUMIFS('ON Data'!Y:Y,'ON Data'!$E:$E,3))</f>
        <v>0</v>
      </c>
      <c r="U12" s="415">
        <f xml:space="preserve">
IF($A$4&lt;=12,SUMIFS('ON Data'!Z:Z,'ON Data'!$D:$D,$A$4,'ON Data'!$E:$E,3),SUMIFS('ON Data'!Z:Z,'ON Data'!$E:$E,3))</f>
        <v>0</v>
      </c>
      <c r="V12" s="415">
        <f xml:space="preserve">
IF($A$4&lt;=12,SUMIFS('ON Data'!AA:AA,'ON Data'!$D:$D,$A$4,'ON Data'!$E:$E,3),SUMIFS('ON Data'!AA:AA,'ON Data'!$E:$E,3))</f>
        <v>0</v>
      </c>
      <c r="W12" s="415">
        <f xml:space="preserve">
IF($A$4&lt;=12,SUMIFS('ON Data'!AB:AB,'ON Data'!$D:$D,$A$4,'ON Data'!$E:$E,3),SUMIFS('ON Data'!AB:AB,'ON Data'!$E:$E,3))</f>
        <v>0</v>
      </c>
      <c r="X12" s="415">
        <f xml:space="preserve">
IF($A$4&lt;=12,SUMIFS('ON Data'!AC:AC,'ON Data'!$D:$D,$A$4,'ON Data'!$E:$E,3),SUMIFS('ON Data'!AC:AC,'ON Data'!$E:$E,3))</f>
        <v>0</v>
      </c>
      <c r="Y12" s="415">
        <f xml:space="preserve">
IF($A$4&lt;=12,SUMIFS('ON Data'!AD:AD,'ON Data'!$D:$D,$A$4,'ON Data'!$E:$E,3),SUMIFS('ON Data'!AD:AD,'ON Data'!$E:$E,3))</f>
        <v>0</v>
      </c>
      <c r="Z12" s="415">
        <f xml:space="preserve">
IF($A$4&lt;=12,SUMIFS('ON Data'!AE:AE,'ON Data'!$D:$D,$A$4,'ON Data'!$E:$E,3),SUMIFS('ON Data'!AE:AE,'ON Data'!$E:$E,3))</f>
        <v>0</v>
      </c>
      <c r="AA12" s="415">
        <f xml:space="preserve">
IF($A$4&lt;=12,SUMIFS('ON Data'!AF:AF,'ON Data'!$D:$D,$A$4,'ON Data'!$E:$E,3),SUMIFS('ON Data'!AF:AF,'ON Data'!$E:$E,3))</f>
        <v>0</v>
      </c>
      <c r="AB12" s="415">
        <f xml:space="preserve">
IF($A$4&lt;=12,SUMIFS('ON Data'!AG:AG,'ON Data'!$D:$D,$A$4,'ON Data'!$E:$E,3),SUMIFS('ON Data'!AG:AG,'ON Data'!$E:$E,3))</f>
        <v>0</v>
      </c>
      <c r="AC12" s="415">
        <f xml:space="preserve">
IF($A$4&lt;=12,SUMIFS('ON Data'!AH:AH,'ON Data'!$D:$D,$A$4,'ON Data'!$E:$E,3),SUMIFS('ON Data'!AH:AH,'ON Data'!$E:$E,3))</f>
        <v>0</v>
      </c>
      <c r="AD12" s="415">
        <f xml:space="preserve">
IF($A$4&lt;=12,SUMIFS('ON Data'!AI:AI,'ON Data'!$D:$D,$A$4,'ON Data'!$E:$E,3),SUMIFS('ON Data'!AI:AI,'ON Data'!$E:$E,3))</f>
        <v>0</v>
      </c>
      <c r="AE12" s="415">
        <f xml:space="preserve">
IF($A$4&lt;=12,SUMIFS('ON Data'!AJ:AJ,'ON Data'!$D:$D,$A$4,'ON Data'!$E:$E,3),SUMIFS('ON Data'!AJ:AJ,'ON Data'!$E:$E,3))</f>
        <v>0</v>
      </c>
      <c r="AF12" s="415">
        <f xml:space="preserve">
IF($A$4&lt;=12,SUMIFS('ON Data'!AK:AK,'ON Data'!$D:$D,$A$4,'ON Data'!$E:$E,3),SUMIFS('ON Data'!AK:AK,'ON Data'!$E:$E,3))</f>
        <v>0</v>
      </c>
      <c r="AG12" s="737">
        <f xml:space="preserve">
IF($A$4&lt;=12,SUMIFS('ON Data'!AM:AM,'ON Data'!$D:$D,$A$4,'ON Data'!$E:$E,3),SUMIFS('ON Data'!AM:AM,'ON Data'!$E:$E,3))</f>
        <v>0</v>
      </c>
      <c r="AH12" s="746"/>
    </row>
    <row r="13" spans="1:34" x14ac:dyDescent="0.3">
      <c r="A13" s="396" t="s">
        <v>269</v>
      </c>
      <c r="B13" s="413">
        <f xml:space="preserve">
IF($A$4&lt;=12,SUMIFS('ON Data'!F:F,'ON Data'!$D:$D,$A$4,'ON Data'!$E:$E,4),SUMIFS('ON Data'!F:F,'ON Data'!$E:$E,4))</f>
        <v>9691</v>
      </c>
      <c r="C13" s="414">
        <f xml:space="preserve">
IF($A$4&lt;=12,SUMIFS('ON Data'!G:G,'ON Data'!$D:$D,$A$4,'ON Data'!$E:$E,4),SUMIFS('ON Data'!G:G,'ON Data'!$E:$E,4))</f>
        <v>0</v>
      </c>
      <c r="D13" s="415">
        <f xml:space="preserve">
IF($A$4&lt;=12,SUMIFS('ON Data'!H:H,'ON Data'!$D:$D,$A$4,'ON Data'!$E:$E,4),SUMIFS('ON Data'!H:H,'ON Data'!$E:$E,4))</f>
        <v>6462</v>
      </c>
      <c r="E13" s="415">
        <f xml:space="preserve">
IF($A$4&lt;=12,SUMIFS('ON Data'!I:I,'ON Data'!$D:$D,$A$4,'ON Data'!$E:$E,4),SUMIFS('ON Data'!I:I,'ON Data'!$E:$E,4))</f>
        <v>0</v>
      </c>
      <c r="F13" s="415">
        <f xml:space="preserve">
IF($A$4&lt;=12,SUMIFS('ON Data'!K:K,'ON Data'!$D:$D,$A$4,'ON Data'!$E:$E,4),SUMIFS('ON Data'!K:K,'ON Data'!$E:$E,4))</f>
        <v>2843</v>
      </c>
      <c r="G13" s="415">
        <f xml:space="preserve">
IF($A$4&lt;=12,SUMIFS('ON Data'!L:L,'ON Data'!$D:$D,$A$4,'ON Data'!$E:$E,4),SUMIFS('ON Data'!L:L,'ON Data'!$E:$E,4))</f>
        <v>0</v>
      </c>
      <c r="H13" s="415">
        <f xml:space="preserve">
IF($A$4&lt;=12,SUMIFS('ON Data'!M:M,'ON Data'!$D:$D,$A$4,'ON Data'!$E:$E,4),SUMIFS('ON Data'!M:M,'ON Data'!$E:$E,4))</f>
        <v>0</v>
      </c>
      <c r="I13" s="415">
        <f xml:space="preserve">
IF($A$4&lt;=12,SUMIFS('ON Data'!N:N,'ON Data'!$D:$D,$A$4,'ON Data'!$E:$E,4),SUMIFS('ON Data'!N:N,'ON Data'!$E:$E,4))</f>
        <v>0</v>
      </c>
      <c r="J13" s="415">
        <f xml:space="preserve">
IF($A$4&lt;=12,SUMIFS('ON Data'!O:O,'ON Data'!$D:$D,$A$4,'ON Data'!$E:$E,4),SUMIFS('ON Data'!O:O,'ON Data'!$E:$E,4))</f>
        <v>0</v>
      </c>
      <c r="K13" s="415">
        <f xml:space="preserve">
IF($A$4&lt;=12,SUMIFS('ON Data'!P:P,'ON Data'!$D:$D,$A$4,'ON Data'!$E:$E,4),SUMIFS('ON Data'!P:P,'ON Data'!$E:$E,4))</f>
        <v>0</v>
      </c>
      <c r="L13" s="415">
        <f xml:space="preserve">
IF($A$4&lt;=12,SUMIFS('ON Data'!Q:Q,'ON Data'!$D:$D,$A$4,'ON Data'!$E:$E,4),SUMIFS('ON Data'!Q:Q,'ON Data'!$E:$E,4))</f>
        <v>0</v>
      </c>
      <c r="M13" s="415">
        <f xml:space="preserve">
IF($A$4&lt;=12,SUMIFS('ON Data'!R:R,'ON Data'!$D:$D,$A$4,'ON Data'!$E:$E,4),SUMIFS('ON Data'!R:R,'ON Data'!$E:$E,4))</f>
        <v>0</v>
      </c>
      <c r="N13" s="415">
        <f xml:space="preserve">
IF($A$4&lt;=12,SUMIFS('ON Data'!S:S,'ON Data'!$D:$D,$A$4,'ON Data'!$E:$E,4),SUMIFS('ON Data'!S:S,'ON Data'!$E:$E,4))</f>
        <v>0</v>
      </c>
      <c r="O13" s="415">
        <f xml:space="preserve">
IF($A$4&lt;=12,SUMIFS('ON Data'!T:T,'ON Data'!$D:$D,$A$4,'ON Data'!$E:$E,4),SUMIFS('ON Data'!T:T,'ON Data'!$E:$E,4))</f>
        <v>0</v>
      </c>
      <c r="P13" s="415">
        <f xml:space="preserve">
IF($A$4&lt;=12,SUMIFS('ON Data'!U:U,'ON Data'!$D:$D,$A$4,'ON Data'!$E:$E,4),SUMIFS('ON Data'!U:U,'ON Data'!$E:$E,4))</f>
        <v>0</v>
      </c>
      <c r="Q13" s="415">
        <f xml:space="preserve">
IF($A$4&lt;=12,SUMIFS('ON Data'!V:V,'ON Data'!$D:$D,$A$4,'ON Data'!$E:$E,4),SUMIFS('ON Data'!V:V,'ON Data'!$E:$E,4))</f>
        <v>0</v>
      </c>
      <c r="R13" s="415">
        <f xml:space="preserve">
IF($A$4&lt;=12,SUMIFS('ON Data'!W:W,'ON Data'!$D:$D,$A$4,'ON Data'!$E:$E,4),SUMIFS('ON Data'!W:W,'ON Data'!$E:$E,4))</f>
        <v>0</v>
      </c>
      <c r="S13" s="415">
        <f xml:space="preserve">
IF($A$4&lt;=12,SUMIFS('ON Data'!X:X,'ON Data'!$D:$D,$A$4,'ON Data'!$E:$E,4),SUMIFS('ON Data'!X:X,'ON Data'!$E:$E,4))</f>
        <v>0</v>
      </c>
      <c r="T13" s="415">
        <f xml:space="preserve">
IF($A$4&lt;=12,SUMIFS('ON Data'!Y:Y,'ON Data'!$D:$D,$A$4,'ON Data'!$E:$E,4),SUMIFS('ON Data'!Y:Y,'ON Data'!$E:$E,4))</f>
        <v>0</v>
      </c>
      <c r="U13" s="415">
        <f xml:space="preserve">
IF($A$4&lt;=12,SUMIFS('ON Data'!Z:Z,'ON Data'!$D:$D,$A$4,'ON Data'!$E:$E,4),SUMIFS('ON Data'!Z:Z,'ON Data'!$E:$E,4))</f>
        <v>0</v>
      </c>
      <c r="V13" s="415">
        <f xml:space="preserve">
IF($A$4&lt;=12,SUMIFS('ON Data'!AA:AA,'ON Data'!$D:$D,$A$4,'ON Data'!$E:$E,4),SUMIFS('ON Data'!AA:AA,'ON Data'!$E:$E,4))</f>
        <v>0</v>
      </c>
      <c r="W13" s="415">
        <f xml:space="preserve">
IF($A$4&lt;=12,SUMIFS('ON Data'!AB:AB,'ON Data'!$D:$D,$A$4,'ON Data'!$E:$E,4),SUMIFS('ON Data'!AB:AB,'ON Data'!$E:$E,4))</f>
        <v>0</v>
      </c>
      <c r="X13" s="415">
        <f xml:space="preserve">
IF($A$4&lt;=12,SUMIFS('ON Data'!AC:AC,'ON Data'!$D:$D,$A$4,'ON Data'!$E:$E,4),SUMIFS('ON Data'!AC:AC,'ON Data'!$E:$E,4))</f>
        <v>0</v>
      </c>
      <c r="Y13" s="415">
        <f xml:space="preserve">
IF($A$4&lt;=12,SUMIFS('ON Data'!AD:AD,'ON Data'!$D:$D,$A$4,'ON Data'!$E:$E,4),SUMIFS('ON Data'!AD:AD,'ON Data'!$E:$E,4))</f>
        <v>0</v>
      </c>
      <c r="Z13" s="415">
        <f xml:space="preserve">
IF($A$4&lt;=12,SUMIFS('ON Data'!AE:AE,'ON Data'!$D:$D,$A$4,'ON Data'!$E:$E,4),SUMIFS('ON Data'!AE:AE,'ON Data'!$E:$E,4))</f>
        <v>0</v>
      </c>
      <c r="AA13" s="415">
        <f xml:space="preserve">
IF($A$4&lt;=12,SUMIFS('ON Data'!AF:AF,'ON Data'!$D:$D,$A$4,'ON Data'!$E:$E,4),SUMIFS('ON Data'!AF:AF,'ON Data'!$E:$E,4))</f>
        <v>0</v>
      </c>
      <c r="AB13" s="415">
        <f xml:space="preserve">
IF($A$4&lt;=12,SUMIFS('ON Data'!AG:AG,'ON Data'!$D:$D,$A$4,'ON Data'!$E:$E,4),SUMIFS('ON Data'!AG:AG,'ON Data'!$E:$E,4))</f>
        <v>0</v>
      </c>
      <c r="AC13" s="415">
        <f xml:space="preserve">
IF($A$4&lt;=12,SUMIFS('ON Data'!AH:AH,'ON Data'!$D:$D,$A$4,'ON Data'!$E:$E,4),SUMIFS('ON Data'!AH:AH,'ON Data'!$E:$E,4))</f>
        <v>386</v>
      </c>
      <c r="AD13" s="415">
        <f xml:space="preserve">
IF($A$4&lt;=12,SUMIFS('ON Data'!AI:AI,'ON Data'!$D:$D,$A$4,'ON Data'!$E:$E,4),SUMIFS('ON Data'!AI:AI,'ON Data'!$E:$E,4))</f>
        <v>0</v>
      </c>
      <c r="AE13" s="415">
        <f xml:space="preserve">
IF($A$4&lt;=12,SUMIFS('ON Data'!AJ:AJ,'ON Data'!$D:$D,$A$4,'ON Data'!$E:$E,4),SUMIFS('ON Data'!AJ:AJ,'ON Data'!$E:$E,4))</f>
        <v>0</v>
      </c>
      <c r="AF13" s="415">
        <f xml:space="preserve">
IF($A$4&lt;=12,SUMIFS('ON Data'!AK:AK,'ON Data'!$D:$D,$A$4,'ON Data'!$E:$E,4),SUMIFS('ON Data'!AK:AK,'ON Data'!$E:$E,4))</f>
        <v>0</v>
      </c>
      <c r="AG13" s="737">
        <f xml:space="preserve">
IF($A$4&lt;=12,SUMIFS('ON Data'!AM:AM,'ON Data'!$D:$D,$A$4,'ON Data'!$E:$E,4),SUMIFS('ON Data'!AM:AM,'ON Data'!$E:$E,4))</f>
        <v>0</v>
      </c>
      <c r="AH13" s="746"/>
    </row>
    <row r="14" spans="1:34" ht="15" thickBot="1" x14ac:dyDescent="0.35">
      <c r="A14" s="397" t="s">
        <v>263</v>
      </c>
      <c r="B14" s="416">
        <f xml:space="preserve">
IF($A$4&lt;=12,SUMIFS('ON Data'!F:F,'ON Data'!$D:$D,$A$4,'ON Data'!$E:$E,5),SUMIFS('ON Data'!F:F,'ON Data'!$E:$E,5))</f>
        <v>520</v>
      </c>
      <c r="C14" s="417">
        <f xml:space="preserve">
IF($A$4&lt;=12,SUMIFS('ON Data'!G:G,'ON Data'!$D:$D,$A$4,'ON Data'!$E:$E,5),SUMIFS('ON Data'!G:G,'ON Data'!$E:$E,5))</f>
        <v>520</v>
      </c>
      <c r="D14" s="418">
        <f xml:space="preserve">
IF($A$4&lt;=12,SUMIFS('ON Data'!H:H,'ON Data'!$D:$D,$A$4,'ON Data'!$E:$E,5),SUMIFS('ON Data'!H:H,'ON Data'!$E:$E,5))</f>
        <v>0</v>
      </c>
      <c r="E14" s="418">
        <f xml:space="preserve">
IF($A$4&lt;=12,SUMIFS('ON Data'!I:I,'ON Data'!$D:$D,$A$4,'ON Data'!$E:$E,5),SUMIFS('ON Data'!I:I,'ON Data'!$E:$E,5))</f>
        <v>0</v>
      </c>
      <c r="F14" s="418">
        <f xml:space="preserve">
IF($A$4&lt;=12,SUMIFS('ON Data'!K:K,'ON Data'!$D:$D,$A$4,'ON Data'!$E:$E,5),SUMIFS('ON Data'!K:K,'ON Data'!$E:$E,5))</f>
        <v>0</v>
      </c>
      <c r="G14" s="418">
        <f xml:space="preserve">
IF($A$4&lt;=12,SUMIFS('ON Data'!L:L,'ON Data'!$D:$D,$A$4,'ON Data'!$E:$E,5),SUMIFS('ON Data'!L:L,'ON Data'!$E:$E,5))</f>
        <v>0</v>
      </c>
      <c r="H14" s="418">
        <f xml:space="preserve">
IF($A$4&lt;=12,SUMIFS('ON Data'!M:M,'ON Data'!$D:$D,$A$4,'ON Data'!$E:$E,5),SUMIFS('ON Data'!M:M,'ON Data'!$E:$E,5))</f>
        <v>0</v>
      </c>
      <c r="I14" s="418">
        <f xml:space="preserve">
IF($A$4&lt;=12,SUMIFS('ON Data'!N:N,'ON Data'!$D:$D,$A$4,'ON Data'!$E:$E,5),SUMIFS('ON Data'!N:N,'ON Data'!$E:$E,5))</f>
        <v>0</v>
      </c>
      <c r="J14" s="418">
        <f xml:space="preserve">
IF($A$4&lt;=12,SUMIFS('ON Data'!O:O,'ON Data'!$D:$D,$A$4,'ON Data'!$E:$E,5),SUMIFS('ON Data'!O:O,'ON Data'!$E:$E,5))</f>
        <v>0</v>
      </c>
      <c r="K14" s="418">
        <f xml:space="preserve">
IF($A$4&lt;=12,SUMIFS('ON Data'!P:P,'ON Data'!$D:$D,$A$4,'ON Data'!$E:$E,5),SUMIFS('ON Data'!P:P,'ON Data'!$E:$E,5))</f>
        <v>0</v>
      </c>
      <c r="L14" s="418">
        <f xml:space="preserve">
IF($A$4&lt;=12,SUMIFS('ON Data'!Q:Q,'ON Data'!$D:$D,$A$4,'ON Data'!$E:$E,5),SUMIFS('ON Data'!Q:Q,'ON Data'!$E:$E,5))</f>
        <v>0</v>
      </c>
      <c r="M14" s="418">
        <f xml:space="preserve">
IF($A$4&lt;=12,SUMIFS('ON Data'!R:R,'ON Data'!$D:$D,$A$4,'ON Data'!$E:$E,5),SUMIFS('ON Data'!R:R,'ON Data'!$E:$E,5))</f>
        <v>0</v>
      </c>
      <c r="N14" s="418">
        <f xml:space="preserve">
IF($A$4&lt;=12,SUMIFS('ON Data'!S:S,'ON Data'!$D:$D,$A$4,'ON Data'!$E:$E,5),SUMIFS('ON Data'!S:S,'ON Data'!$E:$E,5))</f>
        <v>0</v>
      </c>
      <c r="O14" s="418">
        <f xml:space="preserve">
IF($A$4&lt;=12,SUMIFS('ON Data'!T:T,'ON Data'!$D:$D,$A$4,'ON Data'!$E:$E,5),SUMIFS('ON Data'!T:T,'ON Data'!$E:$E,5))</f>
        <v>0</v>
      </c>
      <c r="P14" s="418">
        <f xml:space="preserve">
IF($A$4&lt;=12,SUMIFS('ON Data'!U:U,'ON Data'!$D:$D,$A$4,'ON Data'!$E:$E,5),SUMIFS('ON Data'!U:U,'ON Data'!$E:$E,5))</f>
        <v>0</v>
      </c>
      <c r="Q14" s="418">
        <f xml:space="preserve">
IF($A$4&lt;=12,SUMIFS('ON Data'!V:V,'ON Data'!$D:$D,$A$4,'ON Data'!$E:$E,5),SUMIFS('ON Data'!V:V,'ON Data'!$E:$E,5))</f>
        <v>0</v>
      </c>
      <c r="R14" s="418">
        <f xml:space="preserve">
IF($A$4&lt;=12,SUMIFS('ON Data'!W:W,'ON Data'!$D:$D,$A$4,'ON Data'!$E:$E,5),SUMIFS('ON Data'!W:W,'ON Data'!$E:$E,5))</f>
        <v>0</v>
      </c>
      <c r="S14" s="418">
        <f xml:space="preserve">
IF($A$4&lt;=12,SUMIFS('ON Data'!X:X,'ON Data'!$D:$D,$A$4,'ON Data'!$E:$E,5),SUMIFS('ON Data'!X:X,'ON Data'!$E:$E,5))</f>
        <v>0</v>
      </c>
      <c r="T14" s="418">
        <f xml:space="preserve">
IF($A$4&lt;=12,SUMIFS('ON Data'!Y:Y,'ON Data'!$D:$D,$A$4,'ON Data'!$E:$E,5),SUMIFS('ON Data'!Y:Y,'ON Data'!$E:$E,5))</f>
        <v>0</v>
      </c>
      <c r="U14" s="418">
        <f xml:space="preserve">
IF($A$4&lt;=12,SUMIFS('ON Data'!Z:Z,'ON Data'!$D:$D,$A$4,'ON Data'!$E:$E,5),SUMIFS('ON Data'!Z:Z,'ON Data'!$E:$E,5))</f>
        <v>0</v>
      </c>
      <c r="V14" s="418">
        <f xml:space="preserve">
IF($A$4&lt;=12,SUMIFS('ON Data'!AA:AA,'ON Data'!$D:$D,$A$4,'ON Data'!$E:$E,5),SUMIFS('ON Data'!AA:AA,'ON Data'!$E:$E,5))</f>
        <v>0</v>
      </c>
      <c r="W14" s="418">
        <f xml:space="preserve">
IF($A$4&lt;=12,SUMIFS('ON Data'!AB:AB,'ON Data'!$D:$D,$A$4,'ON Data'!$E:$E,5),SUMIFS('ON Data'!AB:AB,'ON Data'!$E:$E,5))</f>
        <v>0</v>
      </c>
      <c r="X14" s="418">
        <f xml:space="preserve">
IF($A$4&lt;=12,SUMIFS('ON Data'!AC:AC,'ON Data'!$D:$D,$A$4,'ON Data'!$E:$E,5),SUMIFS('ON Data'!AC:AC,'ON Data'!$E:$E,5))</f>
        <v>0</v>
      </c>
      <c r="Y14" s="418">
        <f xml:space="preserve">
IF($A$4&lt;=12,SUMIFS('ON Data'!AD:AD,'ON Data'!$D:$D,$A$4,'ON Data'!$E:$E,5),SUMIFS('ON Data'!AD:AD,'ON Data'!$E:$E,5))</f>
        <v>0</v>
      </c>
      <c r="Z14" s="418">
        <f xml:space="preserve">
IF($A$4&lt;=12,SUMIFS('ON Data'!AE:AE,'ON Data'!$D:$D,$A$4,'ON Data'!$E:$E,5),SUMIFS('ON Data'!AE:AE,'ON Data'!$E:$E,5))</f>
        <v>0</v>
      </c>
      <c r="AA14" s="418">
        <f xml:space="preserve">
IF($A$4&lt;=12,SUMIFS('ON Data'!AF:AF,'ON Data'!$D:$D,$A$4,'ON Data'!$E:$E,5),SUMIFS('ON Data'!AF:AF,'ON Data'!$E:$E,5))</f>
        <v>0</v>
      </c>
      <c r="AB14" s="418">
        <f xml:space="preserve">
IF($A$4&lt;=12,SUMIFS('ON Data'!AG:AG,'ON Data'!$D:$D,$A$4,'ON Data'!$E:$E,5),SUMIFS('ON Data'!AG:AG,'ON Data'!$E:$E,5))</f>
        <v>0</v>
      </c>
      <c r="AC14" s="418">
        <f xml:space="preserve">
IF($A$4&lt;=12,SUMIFS('ON Data'!AH:AH,'ON Data'!$D:$D,$A$4,'ON Data'!$E:$E,5),SUMIFS('ON Data'!AH:AH,'ON Data'!$E:$E,5))</f>
        <v>0</v>
      </c>
      <c r="AD14" s="418">
        <f xml:space="preserve">
IF($A$4&lt;=12,SUMIFS('ON Data'!AI:AI,'ON Data'!$D:$D,$A$4,'ON Data'!$E:$E,5),SUMIFS('ON Data'!AI:AI,'ON Data'!$E:$E,5))</f>
        <v>0</v>
      </c>
      <c r="AE14" s="418">
        <f xml:space="preserve">
IF($A$4&lt;=12,SUMIFS('ON Data'!AJ:AJ,'ON Data'!$D:$D,$A$4,'ON Data'!$E:$E,5),SUMIFS('ON Data'!AJ:AJ,'ON Data'!$E:$E,5))</f>
        <v>0</v>
      </c>
      <c r="AF14" s="418">
        <f xml:space="preserve">
IF($A$4&lt;=12,SUMIFS('ON Data'!AK:AK,'ON Data'!$D:$D,$A$4,'ON Data'!$E:$E,5),SUMIFS('ON Data'!AK:AK,'ON Data'!$E:$E,5))</f>
        <v>0</v>
      </c>
      <c r="AG14" s="738">
        <f xml:space="preserve">
IF($A$4&lt;=12,SUMIFS('ON Data'!AM:AM,'ON Data'!$D:$D,$A$4,'ON Data'!$E:$E,5),SUMIFS('ON Data'!AM:AM,'ON Data'!$E:$E,5))</f>
        <v>0</v>
      </c>
      <c r="AH14" s="746"/>
    </row>
    <row r="15" spans="1:34" x14ac:dyDescent="0.3">
      <c r="A15" s="292" t="s">
        <v>273</v>
      </c>
      <c r="B15" s="419"/>
      <c r="C15" s="420"/>
      <c r="D15" s="421"/>
      <c r="E15" s="421"/>
      <c r="F15" s="421"/>
      <c r="G15" s="421"/>
      <c r="H15" s="421"/>
      <c r="I15" s="421"/>
      <c r="J15" s="421"/>
      <c r="K15" s="421"/>
      <c r="L15" s="421"/>
      <c r="M15" s="421"/>
      <c r="N15" s="421"/>
      <c r="O15" s="421"/>
      <c r="P15" s="421"/>
      <c r="Q15" s="421"/>
      <c r="R15" s="421"/>
      <c r="S15" s="421"/>
      <c r="T15" s="421"/>
      <c r="U15" s="421"/>
      <c r="V15" s="421"/>
      <c r="W15" s="421"/>
      <c r="X15" s="421"/>
      <c r="Y15" s="421"/>
      <c r="Z15" s="421"/>
      <c r="AA15" s="421"/>
      <c r="AB15" s="421"/>
      <c r="AC15" s="421"/>
      <c r="AD15" s="421"/>
      <c r="AE15" s="421"/>
      <c r="AF15" s="421"/>
      <c r="AG15" s="739"/>
      <c r="AH15" s="746"/>
    </row>
    <row r="16" spans="1:34" x14ac:dyDescent="0.3">
      <c r="A16" s="398" t="s">
        <v>264</v>
      </c>
      <c r="B16" s="413">
        <f xml:space="preserve">
IF($A$4&lt;=12,SUMIFS('ON Data'!F:F,'ON Data'!$D:$D,$A$4,'ON Data'!$E:$E,7),SUMIFS('ON Data'!F:F,'ON Data'!$E:$E,7))</f>
        <v>0</v>
      </c>
      <c r="C16" s="414">
        <f xml:space="preserve">
IF($A$4&lt;=12,SUMIFS('ON Data'!G:G,'ON Data'!$D:$D,$A$4,'ON Data'!$E:$E,7),SUMIFS('ON Data'!G:G,'ON Data'!$E:$E,7))</f>
        <v>0</v>
      </c>
      <c r="D16" s="415">
        <f xml:space="preserve">
IF($A$4&lt;=12,SUMIFS('ON Data'!H:H,'ON Data'!$D:$D,$A$4,'ON Data'!$E:$E,7),SUMIFS('ON Data'!H:H,'ON Data'!$E:$E,7))</f>
        <v>0</v>
      </c>
      <c r="E16" s="415">
        <f xml:space="preserve">
IF($A$4&lt;=12,SUMIFS('ON Data'!I:I,'ON Data'!$D:$D,$A$4,'ON Data'!$E:$E,7),SUMIFS('ON Data'!I:I,'ON Data'!$E:$E,7))</f>
        <v>0</v>
      </c>
      <c r="F16" s="415">
        <f xml:space="preserve">
IF($A$4&lt;=12,SUMIFS('ON Data'!K:K,'ON Data'!$D:$D,$A$4,'ON Data'!$E:$E,7),SUMIFS('ON Data'!K:K,'ON Data'!$E:$E,7))</f>
        <v>0</v>
      </c>
      <c r="G16" s="415">
        <f xml:space="preserve">
IF($A$4&lt;=12,SUMIFS('ON Data'!L:L,'ON Data'!$D:$D,$A$4,'ON Data'!$E:$E,7),SUMIFS('ON Data'!L:L,'ON Data'!$E:$E,7))</f>
        <v>0</v>
      </c>
      <c r="H16" s="415">
        <f xml:space="preserve">
IF($A$4&lt;=12,SUMIFS('ON Data'!M:M,'ON Data'!$D:$D,$A$4,'ON Data'!$E:$E,7),SUMIFS('ON Data'!M:M,'ON Data'!$E:$E,7))</f>
        <v>0</v>
      </c>
      <c r="I16" s="415">
        <f xml:space="preserve">
IF($A$4&lt;=12,SUMIFS('ON Data'!N:N,'ON Data'!$D:$D,$A$4,'ON Data'!$E:$E,7),SUMIFS('ON Data'!N:N,'ON Data'!$E:$E,7))</f>
        <v>0</v>
      </c>
      <c r="J16" s="415">
        <f xml:space="preserve">
IF($A$4&lt;=12,SUMIFS('ON Data'!O:O,'ON Data'!$D:$D,$A$4,'ON Data'!$E:$E,7),SUMIFS('ON Data'!O:O,'ON Data'!$E:$E,7))</f>
        <v>0</v>
      </c>
      <c r="K16" s="415">
        <f xml:space="preserve">
IF($A$4&lt;=12,SUMIFS('ON Data'!P:P,'ON Data'!$D:$D,$A$4,'ON Data'!$E:$E,7),SUMIFS('ON Data'!P:P,'ON Data'!$E:$E,7))</f>
        <v>0</v>
      </c>
      <c r="L16" s="415">
        <f xml:space="preserve">
IF($A$4&lt;=12,SUMIFS('ON Data'!Q:Q,'ON Data'!$D:$D,$A$4,'ON Data'!$E:$E,7),SUMIFS('ON Data'!Q:Q,'ON Data'!$E:$E,7))</f>
        <v>0</v>
      </c>
      <c r="M16" s="415">
        <f xml:space="preserve">
IF($A$4&lt;=12,SUMIFS('ON Data'!R:R,'ON Data'!$D:$D,$A$4,'ON Data'!$E:$E,7),SUMIFS('ON Data'!R:R,'ON Data'!$E:$E,7))</f>
        <v>0</v>
      </c>
      <c r="N16" s="415">
        <f xml:space="preserve">
IF($A$4&lt;=12,SUMIFS('ON Data'!S:S,'ON Data'!$D:$D,$A$4,'ON Data'!$E:$E,7),SUMIFS('ON Data'!S:S,'ON Data'!$E:$E,7))</f>
        <v>0</v>
      </c>
      <c r="O16" s="415">
        <f xml:space="preserve">
IF($A$4&lt;=12,SUMIFS('ON Data'!T:T,'ON Data'!$D:$D,$A$4,'ON Data'!$E:$E,7),SUMIFS('ON Data'!T:T,'ON Data'!$E:$E,7))</f>
        <v>0</v>
      </c>
      <c r="P16" s="415">
        <f xml:space="preserve">
IF($A$4&lt;=12,SUMIFS('ON Data'!U:U,'ON Data'!$D:$D,$A$4,'ON Data'!$E:$E,7),SUMIFS('ON Data'!U:U,'ON Data'!$E:$E,7))</f>
        <v>0</v>
      </c>
      <c r="Q16" s="415">
        <f xml:space="preserve">
IF($A$4&lt;=12,SUMIFS('ON Data'!V:V,'ON Data'!$D:$D,$A$4,'ON Data'!$E:$E,7),SUMIFS('ON Data'!V:V,'ON Data'!$E:$E,7))</f>
        <v>0</v>
      </c>
      <c r="R16" s="415">
        <f xml:space="preserve">
IF($A$4&lt;=12,SUMIFS('ON Data'!W:W,'ON Data'!$D:$D,$A$4,'ON Data'!$E:$E,7),SUMIFS('ON Data'!W:W,'ON Data'!$E:$E,7))</f>
        <v>0</v>
      </c>
      <c r="S16" s="415">
        <f xml:space="preserve">
IF($A$4&lt;=12,SUMIFS('ON Data'!X:X,'ON Data'!$D:$D,$A$4,'ON Data'!$E:$E,7),SUMIFS('ON Data'!X:X,'ON Data'!$E:$E,7))</f>
        <v>0</v>
      </c>
      <c r="T16" s="415">
        <f xml:space="preserve">
IF($A$4&lt;=12,SUMIFS('ON Data'!Y:Y,'ON Data'!$D:$D,$A$4,'ON Data'!$E:$E,7),SUMIFS('ON Data'!Y:Y,'ON Data'!$E:$E,7))</f>
        <v>0</v>
      </c>
      <c r="U16" s="415">
        <f xml:space="preserve">
IF($A$4&lt;=12,SUMIFS('ON Data'!Z:Z,'ON Data'!$D:$D,$A$4,'ON Data'!$E:$E,7),SUMIFS('ON Data'!Z:Z,'ON Data'!$E:$E,7))</f>
        <v>0</v>
      </c>
      <c r="V16" s="415">
        <f xml:space="preserve">
IF($A$4&lt;=12,SUMIFS('ON Data'!AA:AA,'ON Data'!$D:$D,$A$4,'ON Data'!$E:$E,7),SUMIFS('ON Data'!AA:AA,'ON Data'!$E:$E,7))</f>
        <v>0</v>
      </c>
      <c r="W16" s="415">
        <f xml:space="preserve">
IF($A$4&lt;=12,SUMIFS('ON Data'!AB:AB,'ON Data'!$D:$D,$A$4,'ON Data'!$E:$E,7),SUMIFS('ON Data'!AB:AB,'ON Data'!$E:$E,7))</f>
        <v>0</v>
      </c>
      <c r="X16" s="415">
        <f xml:space="preserve">
IF($A$4&lt;=12,SUMIFS('ON Data'!AC:AC,'ON Data'!$D:$D,$A$4,'ON Data'!$E:$E,7),SUMIFS('ON Data'!AC:AC,'ON Data'!$E:$E,7))</f>
        <v>0</v>
      </c>
      <c r="Y16" s="415">
        <f xml:space="preserve">
IF($A$4&lt;=12,SUMIFS('ON Data'!AD:AD,'ON Data'!$D:$D,$A$4,'ON Data'!$E:$E,7),SUMIFS('ON Data'!AD:AD,'ON Data'!$E:$E,7))</f>
        <v>0</v>
      </c>
      <c r="Z16" s="415">
        <f xml:space="preserve">
IF($A$4&lt;=12,SUMIFS('ON Data'!AE:AE,'ON Data'!$D:$D,$A$4,'ON Data'!$E:$E,7),SUMIFS('ON Data'!AE:AE,'ON Data'!$E:$E,7))</f>
        <v>0</v>
      </c>
      <c r="AA16" s="415">
        <f xml:space="preserve">
IF($A$4&lt;=12,SUMIFS('ON Data'!AF:AF,'ON Data'!$D:$D,$A$4,'ON Data'!$E:$E,7),SUMIFS('ON Data'!AF:AF,'ON Data'!$E:$E,7))</f>
        <v>0</v>
      </c>
      <c r="AB16" s="415">
        <f xml:space="preserve">
IF($A$4&lt;=12,SUMIFS('ON Data'!AG:AG,'ON Data'!$D:$D,$A$4,'ON Data'!$E:$E,7),SUMIFS('ON Data'!AG:AG,'ON Data'!$E:$E,7))</f>
        <v>0</v>
      </c>
      <c r="AC16" s="415">
        <f xml:space="preserve">
IF($A$4&lt;=12,SUMIFS('ON Data'!AH:AH,'ON Data'!$D:$D,$A$4,'ON Data'!$E:$E,7),SUMIFS('ON Data'!AH:AH,'ON Data'!$E:$E,7))</f>
        <v>0</v>
      </c>
      <c r="AD16" s="415">
        <f xml:space="preserve">
IF($A$4&lt;=12,SUMIFS('ON Data'!AI:AI,'ON Data'!$D:$D,$A$4,'ON Data'!$E:$E,7),SUMIFS('ON Data'!AI:AI,'ON Data'!$E:$E,7))</f>
        <v>0</v>
      </c>
      <c r="AE16" s="415">
        <f xml:space="preserve">
IF($A$4&lt;=12,SUMIFS('ON Data'!AJ:AJ,'ON Data'!$D:$D,$A$4,'ON Data'!$E:$E,7),SUMIFS('ON Data'!AJ:AJ,'ON Data'!$E:$E,7))</f>
        <v>0</v>
      </c>
      <c r="AF16" s="415">
        <f xml:space="preserve">
IF($A$4&lt;=12,SUMIFS('ON Data'!AK:AK,'ON Data'!$D:$D,$A$4,'ON Data'!$E:$E,7),SUMIFS('ON Data'!AK:AK,'ON Data'!$E:$E,7))</f>
        <v>0</v>
      </c>
      <c r="AG16" s="737">
        <f xml:space="preserve">
IF($A$4&lt;=12,SUMIFS('ON Data'!AM:AM,'ON Data'!$D:$D,$A$4,'ON Data'!$E:$E,7),SUMIFS('ON Data'!AM:AM,'ON Data'!$E:$E,7))</f>
        <v>0</v>
      </c>
      <c r="AH16" s="746"/>
    </row>
    <row r="17" spans="1:34" x14ac:dyDescent="0.3">
      <c r="A17" s="398" t="s">
        <v>265</v>
      </c>
      <c r="B17" s="413">
        <f xml:space="preserve">
IF($A$4&lt;=12,SUMIFS('ON Data'!F:F,'ON Data'!$D:$D,$A$4,'ON Data'!$E:$E,8),SUMIFS('ON Data'!F:F,'ON Data'!$E:$E,8))</f>
        <v>0</v>
      </c>
      <c r="C17" s="414">
        <f xml:space="preserve">
IF($A$4&lt;=12,SUMIFS('ON Data'!G:G,'ON Data'!$D:$D,$A$4,'ON Data'!$E:$E,8),SUMIFS('ON Data'!G:G,'ON Data'!$E:$E,8))</f>
        <v>0</v>
      </c>
      <c r="D17" s="415">
        <f xml:space="preserve">
IF($A$4&lt;=12,SUMIFS('ON Data'!H:H,'ON Data'!$D:$D,$A$4,'ON Data'!$E:$E,8),SUMIFS('ON Data'!H:H,'ON Data'!$E:$E,8))</f>
        <v>0</v>
      </c>
      <c r="E17" s="415">
        <f xml:space="preserve">
IF($A$4&lt;=12,SUMIFS('ON Data'!I:I,'ON Data'!$D:$D,$A$4,'ON Data'!$E:$E,8),SUMIFS('ON Data'!I:I,'ON Data'!$E:$E,8))</f>
        <v>0</v>
      </c>
      <c r="F17" s="415">
        <f xml:space="preserve">
IF($A$4&lt;=12,SUMIFS('ON Data'!K:K,'ON Data'!$D:$D,$A$4,'ON Data'!$E:$E,8),SUMIFS('ON Data'!K:K,'ON Data'!$E:$E,8))</f>
        <v>0</v>
      </c>
      <c r="G17" s="415">
        <f xml:space="preserve">
IF($A$4&lt;=12,SUMIFS('ON Data'!L:L,'ON Data'!$D:$D,$A$4,'ON Data'!$E:$E,8),SUMIFS('ON Data'!L:L,'ON Data'!$E:$E,8))</f>
        <v>0</v>
      </c>
      <c r="H17" s="415">
        <f xml:space="preserve">
IF($A$4&lt;=12,SUMIFS('ON Data'!M:M,'ON Data'!$D:$D,$A$4,'ON Data'!$E:$E,8),SUMIFS('ON Data'!M:M,'ON Data'!$E:$E,8))</f>
        <v>0</v>
      </c>
      <c r="I17" s="415">
        <f xml:space="preserve">
IF($A$4&lt;=12,SUMIFS('ON Data'!N:N,'ON Data'!$D:$D,$A$4,'ON Data'!$E:$E,8),SUMIFS('ON Data'!N:N,'ON Data'!$E:$E,8))</f>
        <v>0</v>
      </c>
      <c r="J17" s="415">
        <f xml:space="preserve">
IF($A$4&lt;=12,SUMIFS('ON Data'!O:O,'ON Data'!$D:$D,$A$4,'ON Data'!$E:$E,8),SUMIFS('ON Data'!O:O,'ON Data'!$E:$E,8))</f>
        <v>0</v>
      </c>
      <c r="K17" s="415">
        <f xml:space="preserve">
IF($A$4&lt;=12,SUMIFS('ON Data'!P:P,'ON Data'!$D:$D,$A$4,'ON Data'!$E:$E,8),SUMIFS('ON Data'!P:P,'ON Data'!$E:$E,8))</f>
        <v>0</v>
      </c>
      <c r="L17" s="415">
        <f xml:space="preserve">
IF($A$4&lt;=12,SUMIFS('ON Data'!Q:Q,'ON Data'!$D:$D,$A$4,'ON Data'!$E:$E,8),SUMIFS('ON Data'!Q:Q,'ON Data'!$E:$E,8))</f>
        <v>0</v>
      </c>
      <c r="M17" s="415">
        <f xml:space="preserve">
IF($A$4&lt;=12,SUMIFS('ON Data'!R:R,'ON Data'!$D:$D,$A$4,'ON Data'!$E:$E,8),SUMIFS('ON Data'!R:R,'ON Data'!$E:$E,8))</f>
        <v>0</v>
      </c>
      <c r="N17" s="415">
        <f xml:space="preserve">
IF($A$4&lt;=12,SUMIFS('ON Data'!S:S,'ON Data'!$D:$D,$A$4,'ON Data'!$E:$E,8),SUMIFS('ON Data'!S:S,'ON Data'!$E:$E,8))</f>
        <v>0</v>
      </c>
      <c r="O17" s="415">
        <f xml:space="preserve">
IF($A$4&lt;=12,SUMIFS('ON Data'!T:T,'ON Data'!$D:$D,$A$4,'ON Data'!$E:$E,8),SUMIFS('ON Data'!T:T,'ON Data'!$E:$E,8))</f>
        <v>0</v>
      </c>
      <c r="P17" s="415">
        <f xml:space="preserve">
IF($A$4&lt;=12,SUMIFS('ON Data'!U:U,'ON Data'!$D:$D,$A$4,'ON Data'!$E:$E,8),SUMIFS('ON Data'!U:U,'ON Data'!$E:$E,8))</f>
        <v>0</v>
      </c>
      <c r="Q17" s="415">
        <f xml:space="preserve">
IF($A$4&lt;=12,SUMIFS('ON Data'!V:V,'ON Data'!$D:$D,$A$4,'ON Data'!$E:$E,8),SUMIFS('ON Data'!V:V,'ON Data'!$E:$E,8))</f>
        <v>0</v>
      </c>
      <c r="R17" s="415">
        <f xml:space="preserve">
IF($A$4&lt;=12,SUMIFS('ON Data'!W:W,'ON Data'!$D:$D,$A$4,'ON Data'!$E:$E,8),SUMIFS('ON Data'!W:W,'ON Data'!$E:$E,8))</f>
        <v>0</v>
      </c>
      <c r="S17" s="415">
        <f xml:space="preserve">
IF($A$4&lt;=12,SUMIFS('ON Data'!X:X,'ON Data'!$D:$D,$A$4,'ON Data'!$E:$E,8),SUMIFS('ON Data'!X:X,'ON Data'!$E:$E,8))</f>
        <v>0</v>
      </c>
      <c r="T17" s="415">
        <f xml:space="preserve">
IF($A$4&lt;=12,SUMIFS('ON Data'!Y:Y,'ON Data'!$D:$D,$A$4,'ON Data'!$E:$E,8),SUMIFS('ON Data'!Y:Y,'ON Data'!$E:$E,8))</f>
        <v>0</v>
      </c>
      <c r="U17" s="415">
        <f xml:space="preserve">
IF($A$4&lt;=12,SUMIFS('ON Data'!Z:Z,'ON Data'!$D:$D,$A$4,'ON Data'!$E:$E,8),SUMIFS('ON Data'!Z:Z,'ON Data'!$E:$E,8))</f>
        <v>0</v>
      </c>
      <c r="V17" s="415">
        <f xml:space="preserve">
IF($A$4&lt;=12,SUMIFS('ON Data'!AA:AA,'ON Data'!$D:$D,$A$4,'ON Data'!$E:$E,8),SUMIFS('ON Data'!AA:AA,'ON Data'!$E:$E,8))</f>
        <v>0</v>
      </c>
      <c r="W17" s="415">
        <f xml:space="preserve">
IF($A$4&lt;=12,SUMIFS('ON Data'!AB:AB,'ON Data'!$D:$D,$A$4,'ON Data'!$E:$E,8),SUMIFS('ON Data'!AB:AB,'ON Data'!$E:$E,8))</f>
        <v>0</v>
      </c>
      <c r="X17" s="415">
        <f xml:space="preserve">
IF($A$4&lt;=12,SUMIFS('ON Data'!AC:AC,'ON Data'!$D:$D,$A$4,'ON Data'!$E:$E,8),SUMIFS('ON Data'!AC:AC,'ON Data'!$E:$E,8))</f>
        <v>0</v>
      </c>
      <c r="Y17" s="415">
        <f xml:space="preserve">
IF($A$4&lt;=12,SUMIFS('ON Data'!AD:AD,'ON Data'!$D:$D,$A$4,'ON Data'!$E:$E,8),SUMIFS('ON Data'!AD:AD,'ON Data'!$E:$E,8))</f>
        <v>0</v>
      </c>
      <c r="Z17" s="415">
        <f xml:space="preserve">
IF($A$4&lt;=12,SUMIFS('ON Data'!AE:AE,'ON Data'!$D:$D,$A$4,'ON Data'!$E:$E,8),SUMIFS('ON Data'!AE:AE,'ON Data'!$E:$E,8))</f>
        <v>0</v>
      </c>
      <c r="AA17" s="415">
        <f xml:space="preserve">
IF($A$4&lt;=12,SUMIFS('ON Data'!AF:AF,'ON Data'!$D:$D,$A$4,'ON Data'!$E:$E,8),SUMIFS('ON Data'!AF:AF,'ON Data'!$E:$E,8))</f>
        <v>0</v>
      </c>
      <c r="AB17" s="415">
        <f xml:space="preserve">
IF($A$4&lt;=12,SUMIFS('ON Data'!AG:AG,'ON Data'!$D:$D,$A$4,'ON Data'!$E:$E,8),SUMIFS('ON Data'!AG:AG,'ON Data'!$E:$E,8))</f>
        <v>0</v>
      </c>
      <c r="AC17" s="415">
        <f xml:space="preserve">
IF($A$4&lt;=12,SUMIFS('ON Data'!AH:AH,'ON Data'!$D:$D,$A$4,'ON Data'!$E:$E,8),SUMIFS('ON Data'!AH:AH,'ON Data'!$E:$E,8))</f>
        <v>0</v>
      </c>
      <c r="AD17" s="415">
        <f xml:space="preserve">
IF($A$4&lt;=12,SUMIFS('ON Data'!AI:AI,'ON Data'!$D:$D,$A$4,'ON Data'!$E:$E,8),SUMIFS('ON Data'!AI:AI,'ON Data'!$E:$E,8))</f>
        <v>0</v>
      </c>
      <c r="AE17" s="415">
        <f xml:space="preserve">
IF($A$4&lt;=12,SUMIFS('ON Data'!AJ:AJ,'ON Data'!$D:$D,$A$4,'ON Data'!$E:$E,8),SUMIFS('ON Data'!AJ:AJ,'ON Data'!$E:$E,8))</f>
        <v>0</v>
      </c>
      <c r="AF17" s="415">
        <f xml:space="preserve">
IF($A$4&lt;=12,SUMIFS('ON Data'!AK:AK,'ON Data'!$D:$D,$A$4,'ON Data'!$E:$E,8),SUMIFS('ON Data'!AK:AK,'ON Data'!$E:$E,8))</f>
        <v>0</v>
      </c>
      <c r="AG17" s="737">
        <f xml:space="preserve">
IF($A$4&lt;=12,SUMIFS('ON Data'!AM:AM,'ON Data'!$D:$D,$A$4,'ON Data'!$E:$E,8),SUMIFS('ON Data'!AM:AM,'ON Data'!$E:$E,8))</f>
        <v>0</v>
      </c>
      <c r="AH17" s="746"/>
    </row>
    <row r="18" spans="1:34" x14ac:dyDescent="0.3">
      <c r="A18" s="398" t="s">
        <v>266</v>
      </c>
      <c r="B18" s="413">
        <f xml:space="preserve">
B19-B16-B17</f>
        <v>916101</v>
      </c>
      <c r="C18" s="414">
        <f t="shared" ref="C18" si="0" xml:space="preserve">
C19-C16-C17</f>
        <v>0</v>
      </c>
      <c r="D18" s="415">
        <f t="shared" ref="D18:AG18" si="1" xml:space="preserve">
D19-D16-D17</f>
        <v>720261</v>
      </c>
      <c r="E18" s="415">
        <f t="shared" si="1"/>
        <v>0</v>
      </c>
      <c r="F18" s="415">
        <f t="shared" si="1"/>
        <v>191840</v>
      </c>
      <c r="G18" s="415">
        <f t="shared" si="1"/>
        <v>0</v>
      </c>
      <c r="H18" s="415">
        <f t="shared" si="1"/>
        <v>0</v>
      </c>
      <c r="I18" s="415">
        <f t="shared" si="1"/>
        <v>0</v>
      </c>
      <c r="J18" s="415">
        <f t="shared" si="1"/>
        <v>0</v>
      </c>
      <c r="K18" s="415">
        <f t="shared" si="1"/>
        <v>0</v>
      </c>
      <c r="L18" s="415">
        <f t="shared" si="1"/>
        <v>0</v>
      </c>
      <c r="M18" s="415">
        <f t="shared" si="1"/>
        <v>0</v>
      </c>
      <c r="N18" s="415">
        <f t="shared" si="1"/>
        <v>0</v>
      </c>
      <c r="O18" s="415">
        <f t="shared" si="1"/>
        <v>0</v>
      </c>
      <c r="P18" s="415">
        <f t="shared" si="1"/>
        <v>0</v>
      </c>
      <c r="Q18" s="415">
        <f t="shared" si="1"/>
        <v>0</v>
      </c>
      <c r="R18" s="415">
        <f t="shared" si="1"/>
        <v>0</v>
      </c>
      <c r="S18" s="415">
        <f t="shared" si="1"/>
        <v>0</v>
      </c>
      <c r="T18" s="415">
        <f t="shared" si="1"/>
        <v>0</v>
      </c>
      <c r="U18" s="415">
        <f t="shared" si="1"/>
        <v>0</v>
      </c>
      <c r="V18" s="415">
        <f t="shared" si="1"/>
        <v>0</v>
      </c>
      <c r="W18" s="415">
        <f t="shared" si="1"/>
        <v>0</v>
      </c>
      <c r="X18" s="415">
        <f t="shared" si="1"/>
        <v>0</v>
      </c>
      <c r="Y18" s="415">
        <f t="shared" si="1"/>
        <v>0</v>
      </c>
      <c r="Z18" s="415">
        <f t="shared" si="1"/>
        <v>0</v>
      </c>
      <c r="AA18" s="415">
        <f t="shared" si="1"/>
        <v>0</v>
      </c>
      <c r="AB18" s="415">
        <f t="shared" si="1"/>
        <v>0</v>
      </c>
      <c r="AC18" s="415">
        <f t="shared" si="1"/>
        <v>4000</v>
      </c>
      <c r="AD18" s="415">
        <f t="shared" si="1"/>
        <v>0</v>
      </c>
      <c r="AE18" s="415">
        <f t="shared" si="1"/>
        <v>0</v>
      </c>
      <c r="AF18" s="415">
        <f t="shared" si="1"/>
        <v>0</v>
      </c>
      <c r="AG18" s="737">
        <f t="shared" si="1"/>
        <v>0</v>
      </c>
      <c r="AH18" s="746"/>
    </row>
    <row r="19" spans="1:34" ht="15" thickBot="1" x14ac:dyDescent="0.35">
      <c r="A19" s="399" t="s">
        <v>267</v>
      </c>
      <c r="B19" s="422">
        <f xml:space="preserve">
IF($A$4&lt;=12,SUMIFS('ON Data'!F:F,'ON Data'!$D:$D,$A$4,'ON Data'!$E:$E,9),SUMIFS('ON Data'!F:F,'ON Data'!$E:$E,9))</f>
        <v>916101</v>
      </c>
      <c r="C19" s="423">
        <f xml:space="preserve">
IF($A$4&lt;=12,SUMIFS('ON Data'!G:G,'ON Data'!$D:$D,$A$4,'ON Data'!$E:$E,9),SUMIFS('ON Data'!G:G,'ON Data'!$E:$E,9))</f>
        <v>0</v>
      </c>
      <c r="D19" s="424">
        <f xml:space="preserve">
IF($A$4&lt;=12,SUMIFS('ON Data'!H:H,'ON Data'!$D:$D,$A$4,'ON Data'!$E:$E,9),SUMIFS('ON Data'!H:H,'ON Data'!$E:$E,9))</f>
        <v>720261</v>
      </c>
      <c r="E19" s="424">
        <f xml:space="preserve">
IF($A$4&lt;=12,SUMIFS('ON Data'!I:I,'ON Data'!$D:$D,$A$4,'ON Data'!$E:$E,9),SUMIFS('ON Data'!I:I,'ON Data'!$E:$E,9))</f>
        <v>0</v>
      </c>
      <c r="F19" s="424">
        <f xml:space="preserve">
IF($A$4&lt;=12,SUMIFS('ON Data'!K:K,'ON Data'!$D:$D,$A$4,'ON Data'!$E:$E,9),SUMIFS('ON Data'!K:K,'ON Data'!$E:$E,9))</f>
        <v>191840</v>
      </c>
      <c r="G19" s="424">
        <f xml:space="preserve">
IF($A$4&lt;=12,SUMIFS('ON Data'!L:L,'ON Data'!$D:$D,$A$4,'ON Data'!$E:$E,9),SUMIFS('ON Data'!L:L,'ON Data'!$E:$E,9))</f>
        <v>0</v>
      </c>
      <c r="H19" s="424">
        <f xml:space="preserve">
IF($A$4&lt;=12,SUMIFS('ON Data'!M:M,'ON Data'!$D:$D,$A$4,'ON Data'!$E:$E,9),SUMIFS('ON Data'!M:M,'ON Data'!$E:$E,9))</f>
        <v>0</v>
      </c>
      <c r="I19" s="424">
        <f xml:space="preserve">
IF($A$4&lt;=12,SUMIFS('ON Data'!N:N,'ON Data'!$D:$D,$A$4,'ON Data'!$E:$E,9),SUMIFS('ON Data'!N:N,'ON Data'!$E:$E,9))</f>
        <v>0</v>
      </c>
      <c r="J19" s="424">
        <f xml:space="preserve">
IF($A$4&lt;=12,SUMIFS('ON Data'!O:O,'ON Data'!$D:$D,$A$4,'ON Data'!$E:$E,9),SUMIFS('ON Data'!O:O,'ON Data'!$E:$E,9))</f>
        <v>0</v>
      </c>
      <c r="K19" s="424">
        <f xml:space="preserve">
IF($A$4&lt;=12,SUMIFS('ON Data'!P:P,'ON Data'!$D:$D,$A$4,'ON Data'!$E:$E,9),SUMIFS('ON Data'!P:P,'ON Data'!$E:$E,9))</f>
        <v>0</v>
      </c>
      <c r="L19" s="424">
        <f xml:space="preserve">
IF($A$4&lt;=12,SUMIFS('ON Data'!Q:Q,'ON Data'!$D:$D,$A$4,'ON Data'!$E:$E,9),SUMIFS('ON Data'!Q:Q,'ON Data'!$E:$E,9))</f>
        <v>0</v>
      </c>
      <c r="M19" s="424">
        <f xml:space="preserve">
IF($A$4&lt;=12,SUMIFS('ON Data'!R:R,'ON Data'!$D:$D,$A$4,'ON Data'!$E:$E,9),SUMIFS('ON Data'!R:R,'ON Data'!$E:$E,9))</f>
        <v>0</v>
      </c>
      <c r="N19" s="424">
        <f xml:space="preserve">
IF($A$4&lt;=12,SUMIFS('ON Data'!S:S,'ON Data'!$D:$D,$A$4,'ON Data'!$E:$E,9),SUMIFS('ON Data'!S:S,'ON Data'!$E:$E,9))</f>
        <v>0</v>
      </c>
      <c r="O19" s="424">
        <f xml:space="preserve">
IF($A$4&lt;=12,SUMIFS('ON Data'!T:T,'ON Data'!$D:$D,$A$4,'ON Data'!$E:$E,9),SUMIFS('ON Data'!T:T,'ON Data'!$E:$E,9))</f>
        <v>0</v>
      </c>
      <c r="P19" s="424">
        <f xml:space="preserve">
IF($A$4&lt;=12,SUMIFS('ON Data'!U:U,'ON Data'!$D:$D,$A$4,'ON Data'!$E:$E,9),SUMIFS('ON Data'!U:U,'ON Data'!$E:$E,9))</f>
        <v>0</v>
      </c>
      <c r="Q19" s="424">
        <f xml:space="preserve">
IF($A$4&lt;=12,SUMIFS('ON Data'!V:V,'ON Data'!$D:$D,$A$4,'ON Data'!$E:$E,9),SUMIFS('ON Data'!V:V,'ON Data'!$E:$E,9))</f>
        <v>0</v>
      </c>
      <c r="R19" s="424">
        <f xml:space="preserve">
IF($A$4&lt;=12,SUMIFS('ON Data'!W:W,'ON Data'!$D:$D,$A$4,'ON Data'!$E:$E,9),SUMIFS('ON Data'!W:W,'ON Data'!$E:$E,9))</f>
        <v>0</v>
      </c>
      <c r="S19" s="424">
        <f xml:space="preserve">
IF($A$4&lt;=12,SUMIFS('ON Data'!X:X,'ON Data'!$D:$D,$A$4,'ON Data'!$E:$E,9),SUMIFS('ON Data'!X:X,'ON Data'!$E:$E,9))</f>
        <v>0</v>
      </c>
      <c r="T19" s="424">
        <f xml:space="preserve">
IF($A$4&lt;=12,SUMIFS('ON Data'!Y:Y,'ON Data'!$D:$D,$A$4,'ON Data'!$E:$E,9),SUMIFS('ON Data'!Y:Y,'ON Data'!$E:$E,9))</f>
        <v>0</v>
      </c>
      <c r="U19" s="424">
        <f xml:space="preserve">
IF($A$4&lt;=12,SUMIFS('ON Data'!Z:Z,'ON Data'!$D:$D,$A$4,'ON Data'!$E:$E,9),SUMIFS('ON Data'!Z:Z,'ON Data'!$E:$E,9))</f>
        <v>0</v>
      </c>
      <c r="V19" s="424">
        <f xml:space="preserve">
IF($A$4&lt;=12,SUMIFS('ON Data'!AA:AA,'ON Data'!$D:$D,$A$4,'ON Data'!$E:$E,9),SUMIFS('ON Data'!AA:AA,'ON Data'!$E:$E,9))</f>
        <v>0</v>
      </c>
      <c r="W19" s="424">
        <f xml:space="preserve">
IF($A$4&lt;=12,SUMIFS('ON Data'!AB:AB,'ON Data'!$D:$D,$A$4,'ON Data'!$E:$E,9),SUMIFS('ON Data'!AB:AB,'ON Data'!$E:$E,9))</f>
        <v>0</v>
      </c>
      <c r="X19" s="424">
        <f xml:space="preserve">
IF($A$4&lt;=12,SUMIFS('ON Data'!AC:AC,'ON Data'!$D:$D,$A$4,'ON Data'!$E:$E,9),SUMIFS('ON Data'!AC:AC,'ON Data'!$E:$E,9))</f>
        <v>0</v>
      </c>
      <c r="Y19" s="424">
        <f xml:space="preserve">
IF($A$4&lt;=12,SUMIFS('ON Data'!AD:AD,'ON Data'!$D:$D,$A$4,'ON Data'!$E:$E,9),SUMIFS('ON Data'!AD:AD,'ON Data'!$E:$E,9))</f>
        <v>0</v>
      </c>
      <c r="Z19" s="424">
        <f xml:space="preserve">
IF($A$4&lt;=12,SUMIFS('ON Data'!AE:AE,'ON Data'!$D:$D,$A$4,'ON Data'!$E:$E,9),SUMIFS('ON Data'!AE:AE,'ON Data'!$E:$E,9))</f>
        <v>0</v>
      </c>
      <c r="AA19" s="424">
        <f xml:space="preserve">
IF($A$4&lt;=12,SUMIFS('ON Data'!AF:AF,'ON Data'!$D:$D,$A$4,'ON Data'!$E:$E,9),SUMIFS('ON Data'!AF:AF,'ON Data'!$E:$E,9))</f>
        <v>0</v>
      </c>
      <c r="AB19" s="424">
        <f xml:space="preserve">
IF($A$4&lt;=12,SUMIFS('ON Data'!AG:AG,'ON Data'!$D:$D,$A$4,'ON Data'!$E:$E,9),SUMIFS('ON Data'!AG:AG,'ON Data'!$E:$E,9))</f>
        <v>0</v>
      </c>
      <c r="AC19" s="424">
        <f xml:space="preserve">
IF($A$4&lt;=12,SUMIFS('ON Data'!AH:AH,'ON Data'!$D:$D,$A$4,'ON Data'!$E:$E,9),SUMIFS('ON Data'!AH:AH,'ON Data'!$E:$E,9))</f>
        <v>4000</v>
      </c>
      <c r="AD19" s="424">
        <f xml:space="preserve">
IF($A$4&lt;=12,SUMIFS('ON Data'!AI:AI,'ON Data'!$D:$D,$A$4,'ON Data'!$E:$E,9),SUMIFS('ON Data'!AI:AI,'ON Data'!$E:$E,9))</f>
        <v>0</v>
      </c>
      <c r="AE19" s="424">
        <f xml:space="preserve">
IF($A$4&lt;=12,SUMIFS('ON Data'!AJ:AJ,'ON Data'!$D:$D,$A$4,'ON Data'!$E:$E,9),SUMIFS('ON Data'!AJ:AJ,'ON Data'!$E:$E,9))</f>
        <v>0</v>
      </c>
      <c r="AF19" s="424">
        <f xml:space="preserve">
IF($A$4&lt;=12,SUMIFS('ON Data'!AK:AK,'ON Data'!$D:$D,$A$4,'ON Data'!$E:$E,9),SUMIFS('ON Data'!AK:AK,'ON Data'!$E:$E,9))</f>
        <v>0</v>
      </c>
      <c r="AG19" s="740">
        <f xml:space="preserve">
IF($A$4&lt;=12,SUMIFS('ON Data'!AM:AM,'ON Data'!$D:$D,$A$4,'ON Data'!$E:$E,9),SUMIFS('ON Data'!AM:AM,'ON Data'!$E:$E,9))</f>
        <v>0</v>
      </c>
      <c r="AH19" s="746"/>
    </row>
    <row r="20" spans="1:34" ht="15" collapsed="1" thickBot="1" x14ac:dyDescent="0.35">
      <c r="A20" s="400" t="s">
        <v>94</v>
      </c>
      <c r="B20" s="425">
        <f xml:space="preserve">
IF($A$4&lt;=12,SUMIFS('ON Data'!F:F,'ON Data'!$D:$D,$A$4,'ON Data'!$E:$E,6),SUMIFS('ON Data'!F:F,'ON Data'!$E:$E,6))</f>
        <v>30793709</v>
      </c>
      <c r="C20" s="426">
        <f xml:space="preserve">
IF($A$4&lt;=12,SUMIFS('ON Data'!G:G,'ON Data'!$D:$D,$A$4,'ON Data'!$E:$E,6),SUMIFS('ON Data'!G:G,'ON Data'!$E:$E,6))</f>
        <v>158200</v>
      </c>
      <c r="D20" s="427">
        <f xml:space="preserve">
IF($A$4&lt;=12,SUMIFS('ON Data'!H:H,'ON Data'!$D:$D,$A$4,'ON Data'!$E:$E,6),SUMIFS('ON Data'!H:H,'ON Data'!$E:$E,6))</f>
        <v>17097228</v>
      </c>
      <c r="E20" s="427">
        <f xml:space="preserve">
IF($A$4&lt;=12,SUMIFS('ON Data'!I:I,'ON Data'!$D:$D,$A$4,'ON Data'!$E:$E,6),SUMIFS('ON Data'!I:I,'ON Data'!$E:$E,6))</f>
        <v>0</v>
      </c>
      <c r="F20" s="427">
        <f xml:space="preserve">
IF($A$4&lt;=12,SUMIFS('ON Data'!K:K,'ON Data'!$D:$D,$A$4,'ON Data'!$E:$E,6),SUMIFS('ON Data'!K:K,'ON Data'!$E:$E,6))</f>
        <v>12267687</v>
      </c>
      <c r="G20" s="427">
        <f xml:space="preserve">
IF($A$4&lt;=12,SUMIFS('ON Data'!L:L,'ON Data'!$D:$D,$A$4,'ON Data'!$E:$E,6),SUMIFS('ON Data'!L:L,'ON Data'!$E:$E,6))</f>
        <v>0</v>
      </c>
      <c r="H20" s="427">
        <f xml:space="preserve">
IF($A$4&lt;=12,SUMIFS('ON Data'!M:M,'ON Data'!$D:$D,$A$4,'ON Data'!$E:$E,6),SUMIFS('ON Data'!M:M,'ON Data'!$E:$E,6))</f>
        <v>0</v>
      </c>
      <c r="I20" s="427">
        <f xml:space="preserve">
IF($A$4&lt;=12,SUMIFS('ON Data'!N:N,'ON Data'!$D:$D,$A$4,'ON Data'!$E:$E,6),SUMIFS('ON Data'!N:N,'ON Data'!$E:$E,6))</f>
        <v>0</v>
      </c>
      <c r="J20" s="427">
        <f xml:space="preserve">
IF($A$4&lt;=12,SUMIFS('ON Data'!O:O,'ON Data'!$D:$D,$A$4,'ON Data'!$E:$E,6),SUMIFS('ON Data'!O:O,'ON Data'!$E:$E,6))</f>
        <v>0</v>
      </c>
      <c r="K20" s="427">
        <f xml:space="preserve">
IF($A$4&lt;=12,SUMIFS('ON Data'!P:P,'ON Data'!$D:$D,$A$4,'ON Data'!$E:$E,6),SUMIFS('ON Data'!P:P,'ON Data'!$E:$E,6))</f>
        <v>0</v>
      </c>
      <c r="L20" s="427">
        <f xml:space="preserve">
IF($A$4&lt;=12,SUMIFS('ON Data'!Q:Q,'ON Data'!$D:$D,$A$4,'ON Data'!$E:$E,6),SUMIFS('ON Data'!Q:Q,'ON Data'!$E:$E,6))</f>
        <v>0</v>
      </c>
      <c r="M20" s="427">
        <f xml:space="preserve">
IF($A$4&lt;=12,SUMIFS('ON Data'!R:R,'ON Data'!$D:$D,$A$4,'ON Data'!$E:$E,6),SUMIFS('ON Data'!R:R,'ON Data'!$E:$E,6))</f>
        <v>0</v>
      </c>
      <c r="N20" s="427">
        <f xml:space="preserve">
IF($A$4&lt;=12,SUMIFS('ON Data'!S:S,'ON Data'!$D:$D,$A$4,'ON Data'!$E:$E,6),SUMIFS('ON Data'!S:S,'ON Data'!$E:$E,6))</f>
        <v>0</v>
      </c>
      <c r="O20" s="427">
        <f xml:space="preserve">
IF($A$4&lt;=12,SUMIFS('ON Data'!T:T,'ON Data'!$D:$D,$A$4,'ON Data'!$E:$E,6),SUMIFS('ON Data'!T:T,'ON Data'!$E:$E,6))</f>
        <v>0</v>
      </c>
      <c r="P20" s="427">
        <f xml:space="preserve">
IF($A$4&lt;=12,SUMIFS('ON Data'!U:U,'ON Data'!$D:$D,$A$4,'ON Data'!$E:$E,6),SUMIFS('ON Data'!U:U,'ON Data'!$E:$E,6))</f>
        <v>0</v>
      </c>
      <c r="Q20" s="427">
        <f xml:space="preserve">
IF($A$4&lt;=12,SUMIFS('ON Data'!V:V,'ON Data'!$D:$D,$A$4,'ON Data'!$E:$E,6),SUMIFS('ON Data'!V:V,'ON Data'!$E:$E,6))</f>
        <v>0</v>
      </c>
      <c r="R20" s="427">
        <f xml:space="preserve">
IF($A$4&lt;=12,SUMIFS('ON Data'!W:W,'ON Data'!$D:$D,$A$4,'ON Data'!$E:$E,6),SUMIFS('ON Data'!W:W,'ON Data'!$E:$E,6))</f>
        <v>0</v>
      </c>
      <c r="S20" s="427">
        <f xml:space="preserve">
IF($A$4&lt;=12,SUMIFS('ON Data'!X:X,'ON Data'!$D:$D,$A$4,'ON Data'!$E:$E,6),SUMIFS('ON Data'!X:X,'ON Data'!$E:$E,6))</f>
        <v>0</v>
      </c>
      <c r="T20" s="427">
        <f xml:space="preserve">
IF($A$4&lt;=12,SUMIFS('ON Data'!Y:Y,'ON Data'!$D:$D,$A$4,'ON Data'!$E:$E,6),SUMIFS('ON Data'!Y:Y,'ON Data'!$E:$E,6))</f>
        <v>0</v>
      </c>
      <c r="U20" s="427">
        <f xml:space="preserve">
IF($A$4&lt;=12,SUMIFS('ON Data'!Z:Z,'ON Data'!$D:$D,$A$4,'ON Data'!$E:$E,6),SUMIFS('ON Data'!Z:Z,'ON Data'!$E:$E,6))</f>
        <v>0</v>
      </c>
      <c r="V20" s="427">
        <f xml:space="preserve">
IF($A$4&lt;=12,SUMIFS('ON Data'!AA:AA,'ON Data'!$D:$D,$A$4,'ON Data'!$E:$E,6),SUMIFS('ON Data'!AA:AA,'ON Data'!$E:$E,6))</f>
        <v>0</v>
      </c>
      <c r="W20" s="427">
        <f xml:space="preserve">
IF($A$4&lt;=12,SUMIFS('ON Data'!AB:AB,'ON Data'!$D:$D,$A$4,'ON Data'!$E:$E,6),SUMIFS('ON Data'!AB:AB,'ON Data'!$E:$E,6))</f>
        <v>0</v>
      </c>
      <c r="X20" s="427">
        <f xml:space="preserve">
IF($A$4&lt;=12,SUMIFS('ON Data'!AC:AC,'ON Data'!$D:$D,$A$4,'ON Data'!$E:$E,6),SUMIFS('ON Data'!AC:AC,'ON Data'!$E:$E,6))</f>
        <v>0</v>
      </c>
      <c r="Y20" s="427">
        <f xml:space="preserve">
IF($A$4&lt;=12,SUMIFS('ON Data'!AD:AD,'ON Data'!$D:$D,$A$4,'ON Data'!$E:$E,6),SUMIFS('ON Data'!AD:AD,'ON Data'!$E:$E,6))</f>
        <v>0</v>
      </c>
      <c r="Z20" s="427">
        <f xml:space="preserve">
IF($A$4&lt;=12,SUMIFS('ON Data'!AE:AE,'ON Data'!$D:$D,$A$4,'ON Data'!$E:$E,6),SUMIFS('ON Data'!AE:AE,'ON Data'!$E:$E,6))</f>
        <v>0</v>
      </c>
      <c r="AA20" s="427">
        <f xml:space="preserve">
IF($A$4&lt;=12,SUMIFS('ON Data'!AF:AF,'ON Data'!$D:$D,$A$4,'ON Data'!$E:$E,6),SUMIFS('ON Data'!AF:AF,'ON Data'!$E:$E,6))</f>
        <v>0</v>
      </c>
      <c r="AB20" s="427">
        <f xml:space="preserve">
IF($A$4&lt;=12,SUMIFS('ON Data'!AG:AG,'ON Data'!$D:$D,$A$4,'ON Data'!$E:$E,6),SUMIFS('ON Data'!AG:AG,'ON Data'!$E:$E,6))</f>
        <v>0</v>
      </c>
      <c r="AC20" s="427">
        <f xml:space="preserve">
IF($A$4&lt;=12,SUMIFS('ON Data'!AH:AH,'ON Data'!$D:$D,$A$4,'ON Data'!$E:$E,6),SUMIFS('ON Data'!AH:AH,'ON Data'!$E:$E,6))</f>
        <v>1047485</v>
      </c>
      <c r="AD20" s="427">
        <f xml:space="preserve">
IF($A$4&lt;=12,SUMIFS('ON Data'!AI:AI,'ON Data'!$D:$D,$A$4,'ON Data'!$E:$E,6),SUMIFS('ON Data'!AI:AI,'ON Data'!$E:$E,6))</f>
        <v>0</v>
      </c>
      <c r="AE20" s="427">
        <f xml:space="preserve">
IF($A$4&lt;=12,SUMIFS('ON Data'!AJ:AJ,'ON Data'!$D:$D,$A$4,'ON Data'!$E:$E,6),SUMIFS('ON Data'!AJ:AJ,'ON Data'!$E:$E,6))</f>
        <v>0</v>
      </c>
      <c r="AF20" s="427">
        <f xml:space="preserve">
IF($A$4&lt;=12,SUMIFS('ON Data'!AK:AK,'ON Data'!$D:$D,$A$4,'ON Data'!$E:$E,6),SUMIFS('ON Data'!AK:AK,'ON Data'!$E:$E,6))</f>
        <v>0</v>
      </c>
      <c r="AG20" s="741">
        <f xml:space="preserve">
IF($A$4&lt;=12,SUMIFS('ON Data'!AM:AM,'ON Data'!$D:$D,$A$4,'ON Data'!$E:$E,6),SUMIFS('ON Data'!AM:AM,'ON Data'!$E:$E,6))</f>
        <v>223109</v>
      </c>
      <c r="AH20" s="746"/>
    </row>
    <row r="21" spans="1:34" ht="15" hidden="1" outlineLevel="1" thickBot="1" x14ac:dyDescent="0.35">
      <c r="A21" s="393" t="s">
        <v>132</v>
      </c>
      <c r="B21" s="413"/>
      <c r="C21" s="414"/>
      <c r="D21" s="415"/>
      <c r="E21" s="415"/>
      <c r="F21" s="415"/>
      <c r="G21" s="415"/>
      <c r="H21" s="415"/>
      <c r="I21" s="415"/>
      <c r="J21" s="415"/>
      <c r="K21" s="415"/>
      <c r="L21" s="415"/>
      <c r="M21" s="415"/>
      <c r="N21" s="415"/>
      <c r="O21" s="415"/>
      <c r="P21" s="415"/>
      <c r="Q21" s="415"/>
      <c r="R21" s="415"/>
      <c r="S21" s="415"/>
      <c r="T21" s="415"/>
      <c r="U21" s="415"/>
      <c r="V21" s="415"/>
      <c r="W21" s="415"/>
      <c r="X21" s="415"/>
      <c r="Y21" s="415"/>
      <c r="Z21" s="415"/>
      <c r="AA21" s="415"/>
      <c r="AB21" s="415"/>
      <c r="AC21" s="415"/>
      <c r="AD21" s="415"/>
      <c r="AE21" s="415"/>
      <c r="AF21" s="415"/>
      <c r="AG21" s="737"/>
      <c r="AH21" s="746"/>
    </row>
    <row r="22" spans="1:34" ht="15" hidden="1" outlineLevel="1" thickBot="1" x14ac:dyDescent="0.35">
      <c r="A22" s="393" t="s">
        <v>96</v>
      </c>
      <c r="B22" s="413"/>
      <c r="C22" s="414"/>
      <c r="D22" s="415"/>
      <c r="E22" s="415"/>
      <c r="F22" s="415"/>
      <c r="G22" s="415"/>
      <c r="H22" s="415"/>
      <c r="I22" s="415"/>
      <c r="J22" s="415"/>
      <c r="K22" s="415"/>
      <c r="L22" s="415"/>
      <c r="M22" s="415"/>
      <c r="N22" s="415"/>
      <c r="O22" s="415"/>
      <c r="P22" s="415"/>
      <c r="Q22" s="415"/>
      <c r="R22" s="415"/>
      <c r="S22" s="415"/>
      <c r="T22" s="415"/>
      <c r="U22" s="415"/>
      <c r="V22" s="415"/>
      <c r="W22" s="415"/>
      <c r="X22" s="415"/>
      <c r="Y22" s="415"/>
      <c r="Z22" s="415"/>
      <c r="AA22" s="415"/>
      <c r="AB22" s="415"/>
      <c r="AC22" s="415"/>
      <c r="AD22" s="415"/>
      <c r="AE22" s="415"/>
      <c r="AF22" s="415"/>
      <c r="AG22" s="737"/>
      <c r="AH22" s="746"/>
    </row>
    <row r="23" spans="1:34" ht="15" hidden="1" outlineLevel="1" thickBot="1" x14ac:dyDescent="0.35">
      <c r="A23" s="401" t="s">
        <v>69</v>
      </c>
      <c r="B23" s="416"/>
      <c r="C23" s="417"/>
      <c r="D23" s="418"/>
      <c r="E23" s="418"/>
      <c r="F23" s="418"/>
      <c r="G23" s="418"/>
      <c r="H23" s="418"/>
      <c r="I23" s="418"/>
      <c r="J23" s="418"/>
      <c r="K23" s="418"/>
      <c r="L23" s="418"/>
      <c r="M23" s="418"/>
      <c r="N23" s="418"/>
      <c r="O23" s="418"/>
      <c r="P23" s="418"/>
      <c r="Q23" s="418"/>
      <c r="R23" s="418"/>
      <c r="S23" s="418"/>
      <c r="T23" s="418"/>
      <c r="U23" s="418"/>
      <c r="V23" s="418"/>
      <c r="W23" s="418"/>
      <c r="X23" s="418"/>
      <c r="Y23" s="418"/>
      <c r="Z23" s="418"/>
      <c r="AA23" s="418"/>
      <c r="AB23" s="418"/>
      <c r="AC23" s="418"/>
      <c r="AD23" s="418"/>
      <c r="AE23" s="418"/>
      <c r="AF23" s="418"/>
      <c r="AG23" s="738"/>
      <c r="AH23" s="746"/>
    </row>
    <row r="24" spans="1:34" x14ac:dyDescent="0.3">
      <c r="A24" s="395" t="s">
        <v>268</v>
      </c>
      <c r="B24" s="442" t="s">
        <v>3</v>
      </c>
      <c r="C24" s="747" t="s">
        <v>279</v>
      </c>
      <c r="D24" s="722"/>
      <c r="E24" s="723"/>
      <c r="F24" s="723" t="s">
        <v>280</v>
      </c>
      <c r="G24" s="723"/>
      <c r="H24" s="723"/>
      <c r="I24" s="723"/>
      <c r="J24" s="723"/>
      <c r="K24" s="723"/>
      <c r="L24" s="723"/>
      <c r="M24" s="723"/>
      <c r="N24" s="723"/>
      <c r="O24" s="723"/>
      <c r="P24" s="723"/>
      <c r="Q24" s="723"/>
      <c r="R24" s="723"/>
      <c r="S24" s="723"/>
      <c r="T24" s="723"/>
      <c r="U24" s="723"/>
      <c r="V24" s="723"/>
      <c r="W24" s="723"/>
      <c r="X24" s="723"/>
      <c r="Y24" s="723"/>
      <c r="Z24" s="723"/>
      <c r="AA24" s="723"/>
      <c r="AB24" s="723"/>
      <c r="AC24" s="723"/>
      <c r="AD24" s="723"/>
      <c r="AE24" s="723"/>
      <c r="AF24" s="723"/>
      <c r="AG24" s="742" t="s">
        <v>281</v>
      </c>
      <c r="AH24" s="746"/>
    </row>
    <row r="25" spans="1:34" x14ac:dyDescent="0.3">
      <c r="A25" s="396" t="s">
        <v>94</v>
      </c>
      <c r="B25" s="413">
        <f xml:space="preserve">
SUM(C25:AG25)</f>
        <v>47803.020000000004</v>
      </c>
      <c r="C25" s="748">
        <f xml:space="preserve">
IF($A$4&lt;=12,SUMIFS('ON Data'!H:H,'ON Data'!$D:$D,$A$4,'ON Data'!$E:$E,10),SUMIFS('ON Data'!H:H,'ON Data'!$E:$E,10))</f>
        <v>27500.02</v>
      </c>
      <c r="D25" s="724"/>
      <c r="E25" s="725"/>
      <c r="F25" s="725">
        <f xml:space="preserve">
IF($A$4&lt;=12,SUMIFS('ON Data'!K:K,'ON Data'!$D:$D,$A$4,'ON Data'!$E:$E,10),SUMIFS('ON Data'!K:K,'ON Data'!$E:$E,10))</f>
        <v>20303</v>
      </c>
      <c r="G25" s="725"/>
      <c r="H25" s="725"/>
      <c r="I25" s="725"/>
      <c r="J25" s="725"/>
      <c r="K25" s="725"/>
      <c r="L25" s="725"/>
      <c r="M25" s="725"/>
      <c r="N25" s="725"/>
      <c r="O25" s="725"/>
      <c r="P25" s="725"/>
      <c r="Q25" s="725"/>
      <c r="R25" s="725"/>
      <c r="S25" s="725"/>
      <c r="T25" s="725"/>
      <c r="U25" s="725"/>
      <c r="V25" s="725"/>
      <c r="W25" s="725"/>
      <c r="X25" s="725"/>
      <c r="Y25" s="725"/>
      <c r="Z25" s="725"/>
      <c r="AA25" s="725"/>
      <c r="AB25" s="725"/>
      <c r="AC25" s="725"/>
      <c r="AD25" s="725"/>
      <c r="AE25" s="725"/>
      <c r="AF25" s="725"/>
      <c r="AG25" s="743">
        <f xml:space="preserve">
IF($A$4&lt;=12,SUMIFS('ON Data'!AM:AM,'ON Data'!$D:$D,$A$4,'ON Data'!$E:$E,10),SUMIFS('ON Data'!AM:AM,'ON Data'!$E:$E,10))</f>
        <v>0</v>
      </c>
      <c r="AH25" s="746"/>
    </row>
    <row r="26" spans="1:34" x14ac:dyDescent="0.3">
      <c r="A26" s="402" t="s">
        <v>278</v>
      </c>
      <c r="B26" s="422">
        <f xml:space="preserve">
SUM(C26:AG26)</f>
        <v>120042.5</v>
      </c>
      <c r="C26" s="748">
        <f xml:space="preserve">
IF($A$4&lt;=12,SUMIFS('ON Data'!H:H,'ON Data'!$D:$D,$A$4,'ON Data'!$E:$E,11),SUMIFS('ON Data'!H:H,'ON Data'!$E:$E,11))</f>
        <v>74209.166666666672</v>
      </c>
      <c r="D26" s="724"/>
      <c r="E26" s="725"/>
      <c r="F26" s="726">
        <f xml:space="preserve">
IF($A$4&lt;=12,SUMIFS('ON Data'!K:K,'ON Data'!$D:$D,$A$4,'ON Data'!$E:$E,11),SUMIFS('ON Data'!K:K,'ON Data'!$E:$E,11))</f>
        <v>45833.333333333328</v>
      </c>
      <c r="G26" s="726"/>
      <c r="H26" s="726"/>
      <c r="I26" s="726"/>
      <c r="J26" s="726"/>
      <c r="K26" s="726"/>
      <c r="L26" s="726"/>
      <c r="M26" s="726"/>
      <c r="N26" s="726"/>
      <c r="O26" s="726"/>
      <c r="P26" s="726"/>
      <c r="Q26" s="726"/>
      <c r="R26" s="726"/>
      <c r="S26" s="726"/>
      <c r="T26" s="726"/>
      <c r="U26" s="726"/>
      <c r="V26" s="726"/>
      <c r="W26" s="726"/>
      <c r="X26" s="726"/>
      <c r="Y26" s="726"/>
      <c r="Z26" s="726"/>
      <c r="AA26" s="726"/>
      <c r="AB26" s="726"/>
      <c r="AC26" s="726"/>
      <c r="AD26" s="726"/>
      <c r="AE26" s="726"/>
      <c r="AF26" s="726"/>
      <c r="AG26" s="743">
        <f xml:space="preserve">
IF($A$4&lt;=12,SUMIFS('ON Data'!AM:AM,'ON Data'!$D:$D,$A$4,'ON Data'!$E:$E,11),SUMIFS('ON Data'!AM:AM,'ON Data'!$E:$E,11))</f>
        <v>0</v>
      </c>
      <c r="AH26" s="746"/>
    </row>
    <row r="27" spans="1:34" x14ac:dyDescent="0.3">
      <c r="A27" s="402" t="s">
        <v>96</v>
      </c>
      <c r="B27" s="443">
        <f xml:space="preserve">
IF(B26=0,0,B25/B26)</f>
        <v>0.39821746464793722</v>
      </c>
      <c r="C27" s="749">
        <f xml:space="preserve">
IF(C26=0,0,C25/C26)</f>
        <v>0.37057443487439778</v>
      </c>
      <c r="D27" s="727"/>
      <c r="E27" s="728"/>
      <c r="F27" s="728">
        <f xml:space="preserve">
IF(F26=0,0,F25/F26)</f>
        <v>0.44297454545454551</v>
      </c>
      <c r="G27" s="728"/>
      <c r="H27" s="728"/>
      <c r="I27" s="728"/>
      <c r="J27" s="728"/>
      <c r="K27" s="728"/>
      <c r="L27" s="728"/>
      <c r="M27" s="728"/>
      <c r="N27" s="728"/>
      <c r="O27" s="728"/>
      <c r="P27" s="728"/>
      <c r="Q27" s="728"/>
      <c r="R27" s="728"/>
      <c r="S27" s="728"/>
      <c r="T27" s="728"/>
      <c r="U27" s="728"/>
      <c r="V27" s="728"/>
      <c r="W27" s="728"/>
      <c r="X27" s="728"/>
      <c r="Y27" s="728"/>
      <c r="Z27" s="728"/>
      <c r="AA27" s="728"/>
      <c r="AB27" s="728"/>
      <c r="AC27" s="728"/>
      <c r="AD27" s="728"/>
      <c r="AE27" s="728"/>
      <c r="AF27" s="728"/>
      <c r="AG27" s="744">
        <f xml:space="preserve">
IF(AG26=0,0,AG25/AG26)</f>
        <v>0</v>
      </c>
      <c r="AH27" s="746"/>
    </row>
    <row r="28" spans="1:34" ht="15" thickBot="1" x14ac:dyDescent="0.35">
      <c r="A28" s="402" t="s">
        <v>277</v>
      </c>
      <c r="B28" s="422">
        <f xml:space="preserve">
SUM(C28:AG28)</f>
        <v>72239.48</v>
      </c>
      <c r="C28" s="750">
        <f xml:space="preserve">
C26-C25</f>
        <v>46709.146666666667</v>
      </c>
      <c r="D28" s="729"/>
      <c r="E28" s="730"/>
      <c r="F28" s="730">
        <f xml:space="preserve">
F26-F25</f>
        <v>25530.333333333328</v>
      </c>
      <c r="G28" s="730"/>
      <c r="H28" s="730"/>
      <c r="I28" s="730"/>
      <c r="J28" s="730"/>
      <c r="K28" s="730"/>
      <c r="L28" s="730"/>
      <c r="M28" s="730"/>
      <c r="N28" s="730"/>
      <c r="O28" s="730"/>
      <c r="P28" s="730"/>
      <c r="Q28" s="730"/>
      <c r="R28" s="730"/>
      <c r="S28" s="730"/>
      <c r="T28" s="730"/>
      <c r="U28" s="730"/>
      <c r="V28" s="730"/>
      <c r="W28" s="730"/>
      <c r="X28" s="730"/>
      <c r="Y28" s="730"/>
      <c r="Z28" s="730"/>
      <c r="AA28" s="730"/>
      <c r="AB28" s="730"/>
      <c r="AC28" s="730"/>
      <c r="AD28" s="730"/>
      <c r="AE28" s="730"/>
      <c r="AF28" s="730"/>
      <c r="AG28" s="745">
        <f xml:space="preserve">
AG26-AG25</f>
        <v>0</v>
      </c>
      <c r="AH28" s="746"/>
    </row>
    <row r="29" spans="1:34" x14ac:dyDescent="0.3">
      <c r="A29" s="403"/>
      <c r="B29" s="403"/>
      <c r="C29" s="404"/>
      <c r="D29" s="403"/>
      <c r="E29" s="403"/>
      <c r="F29" s="404"/>
      <c r="G29" s="404"/>
      <c r="H29" s="404"/>
      <c r="I29" s="404"/>
      <c r="J29" s="404"/>
      <c r="K29" s="404"/>
      <c r="L29" s="404"/>
      <c r="M29" s="404"/>
      <c r="N29" s="404"/>
      <c r="O29" s="404"/>
      <c r="P29" s="404"/>
      <c r="Q29" s="404"/>
      <c r="R29" s="404"/>
      <c r="S29" s="404"/>
      <c r="T29" s="404"/>
      <c r="U29" s="404"/>
      <c r="V29" s="404"/>
      <c r="W29" s="404"/>
      <c r="X29" s="404"/>
      <c r="Y29" s="404"/>
      <c r="Z29" s="404"/>
      <c r="AA29" s="404"/>
      <c r="AB29" s="404"/>
      <c r="AC29" s="404"/>
      <c r="AD29" s="404"/>
      <c r="AE29" s="403"/>
      <c r="AF29" s="403"/>
      <c r="AG29" s="403"/>
    </row>
    <row r="30" spans="1:34" x14ac:dyDescent="0.3">
      <c r="A30" s="229" t="s">
        <v>203</v>
      </c>
      <c r="B30" s="257"/>
      <c r="C30" s="257"/>
      <c r="D30" s="257"/>
      <c r="E30" s="257"/>
      <c r="F30" s="257"/>
      <c r="G30" s="257"/>
      <c r="H30" s="257"/>
      <c r="I30" s="257"/>
      <c r="J30" s="257"/>
      <c r="K30" s="257"/>
      <c r="L30" s="257"/>
      <c r="M30" s="257"/>
      <c r="N30" s="257"/>
      <c r="O30" s="257"/>
      <c r="P30" s="257"/>
      <c r="Q30" s="257"/>
      <c r="R30" s="257"/>
      <c r="S30" s="257"/>
      <c r="T30" s="257"/>
      <c r="U30" s="257"/>
      <c r="V30" s="257"/>
      <c r="W30" s="257"/>
      <c r="X30" s="257"/>
      <c r="Y30" s="257"/>
      <c r="Z30" s="257"/>
      <c r="AA30" s="257"/>
      <c r="AB30" s="257"/>
      <c r="AC30" s="257"/>
      <c r="AD30" s="257"/>
      <c r="AE30" s="257"/>
      <c r="AF30" s="257"/>
      <c r="AG30" s="280"/>
    </row>
    <row r="31" spans="1:34" x14ac:dyDescent="0.3">
      <c r="A31" s="230" t="s">
        <v>275</v>
      </c>
      <c r="B31" s="257"/>
      <c r="C31" s="257"/>
      <c r="D31" s="257"/>
      <c r="E31" s="257"/>
      <c r="F31" s="257"/>
      <c r="G31" s="257"/>
      <c r="H31" s="257"/>
      <c r="I31" s="257"/>
      <c r="J31" s="257"/>
      <c r="K31" s="257"/>
      <c r="L31" s="257"/>
      <c r="M31" s="257"/>
      <c r="N31" s="257"/>
      <c r="O31" s="257"/>
      <c r="P31" s="257"/>
      <c r="Q31" s="257"/>
      <c r="R31" s="257"/>
      <c r="S31" s="257"/>
      <c r="T31" s="257"/>
      <c r="U31" s="257"/>
      <c r="V31" s="257"/>
      <c r="W31" s="257"/>
      <c r="X31" s="257"/>
      <c r="Y31" s="257"/>
      <c r="Z31" s="257"/>
      <c r="AA31" s="257"/>
      <c r="AB31" s="257"/>
      <c r="AC31" s="257"/>
      <c r="AD31" s="257"/>
      <c r="AE31" s="257"/>
      <c r="AF31" s="257"/>
      <c r="AG31" s="280"/>
    </row>
    <row r="32" spans="1:34" ht="14.4" customHeight="1" x14ac:dyDescent="0.3">
      <c r="A32" s="439" t="s">
        <v>272</v>
      </c>
      <c r="B32" s="440"/>
      <c r="C32" s="440"/>
      <c r="D32" s="440"/>
      <c r="E32" s="440"/>
      <c r="F32" s="440"/>
      <c r="G32" s="440"/>
      <c r="H32" s="440"/>
      <c r="I32" s="440"/>
      <c r="J32" s="440"/>
      <c r="K32" s="440"/>
      <c r="L32" s="440"/>
      <c r="M32" s="440"/>
      <c r="N32" s="440"/>
      <c r="O32" s="440"/>
      <c r="P32" s="440"/>
      <c r="Q32" s="440"/>
      <c r="R32" s="440"/>
      <c r="S32" s="440"/>
      <c r="T32" s="440"/>
      <c r="U32" s="440"/>
      <c r="V32" s="440"/>
      <c r="W32" s="440"/>
      <c r="X32" s="440"/>
      <c r="Y32" s="440"/>
      <c r="Z32" s="440"/>
      <c r="AA32" s="440"/>
      <c r="AB32" s="440"/>
      <c r="AC32" s="440"/>
      <c r="AD32" s="440"/>
      <c r="AE32" s="440"/>
      <c r="AF32" s="440"/>
    </row>
    <row r="33" spans="1:1" x14ac:dyDescent="0.3">
      <c r="A33" s="441" t="s">
        <v>282</v>
      </c>
    </row>
    <row r="34" spans="1:1" x14ac:dyDescent="0.3">
      <c r="A34" s="441" t="s">
        <v>283</v>
      </c>
    </row>
    <row r="35" spans="1:1" x14ac:dyDescent="0.3">
      <c r="A35" s="441" t="s">
        <v>284</v>
      </c>
    </row>
    <row r="36" spans="1:1" x14ac:dyDescent="0.3">
      <c r="A36" s="441" t="s">
        <v>285</v>
      </c>
    </row>
  </sheetData>
  <mergeCells count="12">
    <mergeCell ref="A1:AG1"/>
    <mergeCell ref="B3:B4"/>
    <mergeCell ref="C24:E24"/>
    <mergeCell ref="C25:E25"/>
    <mergeCell ref="C26:E26"/>
    <mergeCell ref="F24:AF24"/>
    <mergeCell ref="F25:AF25"/>
    <mergeCell ref="F26:AF26"/>
    <mergeCell ref="C28:E28"/>
    <mergeCell ref="C27:E27"/>
    <mergeCell ref="F27:AF27"/>
    <mergeCell ref="F28:AF28"/>
  </mergeCells>
  <conditionalFormatting sqref="C27 AG27 F27">
    <cfRule type="cellIs" dxfId="20" priority="2" operator="greaterThan">
      <formula>1</formula>
    </cfRule>
  </conditionalFormatting>
  <conditionalFormatting sqref="C28 AG28 F28">
    <cfRule type="cellIs" dxfId="19" priority="1" operator="lessThan">
      <formula>0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scale="28" orientation="landscape" r:id="rId1"/>
  <ignoredErrors>
    <ignoredError sqref="B6" evalError="1"/>
    <ignoredError sqref="B27" formula="1"/>
  </ignoredErrors>
  <legacy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'ON Data'!$B$3:$B$16</xm:f>
          </x14:formula1>
          <xm:sqref>A4</xm:sqref>
        </x14:dataValidation>
      </x14:dataValidations>
    </ext>
  </extLst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6">
    <tabColor theme="7" tint="0.39997558519241921"/>
  </sheetPr>
  <dimension ref="A1:AN49"/>
  <sheetViews>
    <sheetView showGridLines="0" showRowColHeaders="0" workbookViewId="0"/>
  </sheetViews>
  <sheetFormatPr defaultRowHeight="14.4" x14ac:dyDescent="0.3"/>
  <cols>
    <col min="1" max="16384" width="8.88671875" style="382"/>
  </cols>
  <sheetData>
    <row r="1" spans="1:40" x14ac:dyDescent="0.3">
      <c r="A1" s="382" t="s">
        <v>4076</v>
      </c>
    </row>
    <row r="2" spans="1:40" x14ac:dyDescent="0.3">
      <c r="A2" s="386" t="s">
        <v>321</v>
      </c>
    </row>
    <row r="3" spans="1:40" x14ac:dyDescent="0.3">
      <c r="A3" s="382" t="s">
        <v>242</v>
      </c>
      <c r="B3" s="407">
        <v>2014</v>
      </c>
      <c r="D3" s="383">
        <f>MAX(D5:D1048576)</f>
        <v>5</v>
      </c>
      <c r="F3" s="383">
        <f>SUMIF($E5:$E1048576,"&lt;10",F5:F1048576)</f>
        <v>31831861.289999999</v>
      </c>
      <c r="G3" s="383">
        <f t="shared" ref="G3:AN3" si="0">SUMIF($E5:$E1048576,"&lt;10",G5:G1048576)</f>
        <v>158720</v>
      </c>
      <c r="H3" s="383">
        <f t="shared" si="0"/>
        <v>17861387.549999997</v>
      </c>
      <c r="I3" s="383">
        <f t="shared" si="0"/>
        <v>0</v>
      </c>
      <c r="J3" s="383">
        <f t="shared" si="0"/>
        <v>0</v>
      </c>
      <c r="K3" s="383">
        <f t="shared" si="0"/>
        <v>12527305.76</v>
      </c>
      <c r="L3" s="383">
        <f t="shared" si="0"/>
        <v>0</v>
      </c>
      <c r="M3" s="383">
        <f t="shared" si="0"/>
        <v>0</v>
      </c>
      <c r="N3" s="383">
        <f t="shared" si="0"/>
        <v>0</v>
      </c>
      <c r="O3" s="383">
        <f t="shared" si="0"/>
        <v>0</v>
      </c>
      <c r="P3" s="383">
        <f t="shared" si="0"/>
        <v>0</v>
      </c>
      <c r="Q3" s="383">
        <f t="shared" si="0"/>
        <v>0</v>
      </c>
      <c r="R3" s="383">
        <f t="shared" si="0"/>
        <v>0</v>
      </c>
      <c r="S3" s="383">
        <f t="shared" si="0"/>
        <v>0</v>
      </c>
      <c r="T3" s="383">
        <f t="shared" si="0"/>
        <v>0</v>
      </c>
      <c r="U3" s="383">
        <f t="shared" si="0"/>
        <v>0</v>
      </c>
      <c r="V3" s="383">
        <f t="shared" si="0"/>
        <v>0</v>
      </c>
      <c r="W3" s="383">
        <f t="shared" si="0"/>
        <v>0</v>
      </c>
      <c r="X3" s="383">
        <f t="shared" si="0"/>
        <v>0</v>
      </c>
      <c r="Y3" s="383">
        <f t="shared" si="0"/>
        <v>0</v>
      </c>
      <c r="Z3" s="383">
        <f t="shared" si="0"/>
        <v>0</v>
      </c>
      <c r="AA3" s="383">
        <f t="shared" si="0"/>
        <v>0</v>
      </c>
      <c r="AB3" s="383">
        <f t="shared" si="0"/>
        <v>0</v>
      </c>
      <c r="AC3" s="383">
        <f t="shared" si="0"/>
        <v>0</v>
      </c>
      <c r="AD3" s="383">
        <f t="shared" si="0"/>
        <v>0</v>
      </c>
      <c r="AE3" s="383">
        <f t="shared" si="0"/>
        <v>0</v>
      </c>
      <c r="AF3" s="383">
        <f t="shared" si="0"/>
        <v>0</v>
      </c>
      <c r="AG3" s="383">
        <f t="shared" si="0"/>
        <v>0</v>
      </c>
      <c r="AH3" s="383">
        <f t="shared" si="0"/>
        <v>1059740</v>
      </c>
      <c r="AI3" s="383">
        <f t="shared" si="0"/>
        <v>0</v>
      </c>
      <c r="AJ3" s="383">
        <f t="shared" si="0"/>
        <v>0</v>
      </c>
      <c r="AK3" s="383">
        <f t="shared" si="0"/>
        <v>0</v>
      </c>
      <c r="AL3" s="383">
        <f t="shared" si="0"/>
        <v>0</v>
      </c>
      <c r="AM3" s="383">
        <f t="shared" si="0"/>
        <v>224708</v>
      </c>
      <c r="AN3" s="383">
        <f t="shared" si="0"/>
        <v>0</v>
      </c>
    </row>
    <row r="4" spans="1:40" x14ac:dyDescent="0.3">
      <c r="A4" s="382" t="s">
        <v>243</v>
      </c>
      <c r="B4" s="407">
        <v>1</v>
      </c>
      <c r="C4" s="384" t="s">
        <v>5</v>
      </c>
      <c r="D4" s="385" t="s">
        <v>68</v>
      </c>
      <c r="E4" s="385" t="s">
        <v>237</v>
      </c>
      <c r="F4" s="385" t="s">
        <v>3</v>
      </c>
      <c r="G4" s="385" t="s">
        <v>238</v>
      </c>
      <c r="H4" s="385" t="s">
        <v>239</v>
      </c>
      <c r="I4" s="385" t="s">
        <v>240</v>
      </c>
      <c r="J4" s="385" t="s">
        <v>241</v>
      </c>
      <c r="K4" s="385">
        <v>305</v>
      </c>
      <c r="L4" s="385">
        <v>306</v>
      </c>
      <c r="M4" s="385">
        <v>408</v>
      </c>
      <c r="N4" s="385">
        <v>409</v>
      </c>
      <c r="O4" s="385">
        <v>410</v>
      </c>
      <c r="P4" s="385">
        <v>415</v>
      </c>
      <c r="Q4" s="385">
        <v>416</v>
      </c>
      <c r="R4" s="385">
        <v>418</v>
      </c>
      <c r="S4" s="385">
        <v>419</v>
      </c>
      <c r="T4" s="385">
        <v>420</v>
      </c>
      <c r="U4" s="385">
        <v>421</v>
      </c>
      <c r="V4" s="385">
        <v>522</v>
      </c>
      <c r="W4" s="385">
        <v>523</v>
      </c>
      <c r="X4" s="385">
        <v>524</v>
      </c>
      <c r="Y4" s="385">
        <v>525</v>
      </c>
      <c r="Z4" s="385">
        <v>526</v>
      </c>
      <c r="AA4" s="385">
        <v>527</v>
      </c>
      <c r="AB4" s="385">
        <v>528</v>
      </c>
      <c r="AC4" s="385">
        <v>629</v>
      </c>
      <c r="AD4" s="385">
        <v>630</v>
      </c>
      <c r="AE4" s="385">
        <v>636</v>
      </c>
      <c r="AF4" s="385">
        <v>637</v>
      </c>
      <c r="AG4" s="385">
        <v>640</v>
      </c>
      <c r="AH4" s="385">
        <v>642</v>
      </c>
      <c r="AI4" s="385">
        <v>743</v>
      </c>
      <c r="AJ4" s="385">
        <v>745</v>
      </c>
      <c r="AK4" s="385">
        <v>746</v>
      </c>
      <c r="AL4" s="385">
        <v>747</v>
      </c>
      <c r="AM4" s="385">
        <v>930</v>
      </c>
      <c r="AN4" s="385">
        <v>940</v>
      </c>
    </row>
    <row r="5" spans="1:40" x14ac:dyDescent="0.3">
      <c r="A5" s="382" t="s">
        <v>244</v>
      </c>
      <c r="B5" s="407">
        <v>2</v>
      </c>
      <c r="C5" s="382">
        <v>7</v>
      </c>
      <c r="D5" s="382">
        <v>1</v>
      </c>
      <c r="E5" s="382">
        <v>1</v>
      </c>
      <c r="F5" s="382">
        <v>148.55000000000001</v>
      </c>
      <c r="G5" s="382">
        <v>0</v>
      </c>
      <c r="H5" s="382">
        <v>46.05</v>
      </c>
      <c r="I5" s="382">
        <v>0</v>
      </c>
      <c r="J5" s="382">
        <v>0</v>
      </c>
      <c r="K5" s="382">
        <v>89.5</v>
      </c>
      <c r="L5" s="382">
        <v>0</v>
      </c>
      <c r="M5" s="382">
        <v>0</v>
      </c>
      <c r="N5" s="382">
        <v>0</v>
      </c>
      <c r="O5" s="382">
        <v>0</v>
      </c>
      <c r="P5" s="382">
        <v>0</v>
      </c>
      <c r="Q5" s="382">
        <v>0</v>
      </c>
      <c r="R5" s="382">
        <v>0</v>
      </c>
      <c r="S5" s="382">
        <v>0</v>
      </c>
      <c r="T5" s="382">
        <v>0</v>
      </c>
      <c r="U5" s="382">
        <v>0</v>
      </c>
      <c r="V5" s="382">
        <v>0</v>
      </c>
      <c r="W5" s="382">
        <v>0</v>
      </c>
      <c r="X5" s="382">
        <v>0</v>
      </c>
      <c r="Y5" s="382">
        <v>0</v>
      </c>
      <c r="Z5" s="382">
        <v>0</v>
      </c>
      <c r="AA5" s="382">
        <v>0</v>
      </c>
      <c r="AB5" s="382">
        <v>0</v>
      </c>
      <c r="AC5" s="382">
        <v>0</v>
      </c>
      <c r="AD5" s="382">
        <v>0</v>
      </c>
      <c r="AE5" s="382">
        <v>0</v>
      </c>
      <c r="AF5" s="382">
        <v>0</v>
      </c>
      <c r="AG5" s="382">
        <v>0</v>
      </c>
      <c r="AH5" s="382">
        <v>10</v>
      </c>
      <c r="AI5" s="382">
        <v>0</v>
      </c>
      <c r="AJ5" s="382">
        <v>0</v>
      </c>
      <c r="AK5" s="382">
        <v>0</v>
      </c>
      <c r="AL5" s="382">
        <v>0</v>
      </c>
      <c r="AM5" s="382">
        <v>3</v>
      </c>
      <c r="AN5" s="382">
        <v>0</v>
      </c>
    </row>
    <row r="6" spans="1:40" x14ac:dyDescent="0.3">
      <c r="A6" s="382" t="s">
        <v>245</v>
      </c>
      <c r="B6" s="407">
        <v>3</v>
      </c>
      <c r="C6" s="382">
        <v>7</v>
      </c>
      <c r="D6" s="382">
        <v>1</v>
      </c>
      <c r="E6" s="382">
        <v>2</v>
      </c>
      <c r="F6" s="382">
        <v>23189.07</v>
      </c>
      <c r="G6" s="382">
        <v>0</v>
      </c>
      <c r="H6" s="382">
        <v>7913.2</v>
      </c>
      <c r="I6" s="382">
        <v>0</v>
      </c>
      <c r="J6" s="382">
        <v>0</v>
      </c>
      <c r="K6" s="382">
        <v>13522.38</v>
      </c>
      <c r="L6" s="382">
        <v>0</v>
      </c>
      <c r="M6" s="382">
        <v>0</v>
      </c>
      <c r="N6" s="382">
        <v>0</v>
      </c>
      <c r="O6" s="382">
        <v>0</v>
      </c>
      <c r="P6" s="382">
        <v>0</v>
      </c>
      <c r="Q6" s="382">
        <v>0</v>
      </c>
      <c r="R6" s="382">
        <v>0</v>
      </c>
      <c r="S6" s="382">
        <v>0</v>
      </c>
      <c r="T6" s="382">
        <v>0</v>
      </c>
      <c r="U6" s="382">
        <v>0</v>
      </c>
      <c r="V6" s="382">
        <v>0</v>
      </c>
      <c r="W6" s="382">
        <v>0</v>
      </c>
      <c r="X6" s="382">
        <v>0</v>
      </c>
      <c r="Y6" s="382">
        <v>0</v>
      </c>
      <c r="Z6" s="382">
        <v>0</v>
      </c>
      <c r="AA6" s="382">
        <v>0</v>
      </c>
      <c r="AB6" s="382">
        <v>0</v>
      </c>
      <c r="AC6" s="382">
        <v>0</v>
      </c>
      <c r="AD6" s="382">
        <v>0</v>
      </c>
      <c r="AE6" s="382">
        <v>0</v>
      </c>
      <c r="AF6" s="382">
        <v>0</v>
      </c>
      <c r="AG6" s="382">
        <v>0</v>
      </c>
      <c r="AH6" s="382">
        <v>1417.5</v>
      </c>
      <c r="AI6" s="382">
        <v>0</v>
      </c>
      <c r="AJ6" s="382">
        <v>0</v>
      </c>
      <c r="AK6" s="382">
        <v>0</v>
      </c>
      <c r="AL6" s="382">
        <v>0</v>
      </c>
      <c r="AM6" s="382">
        <v>336</v>
      </c>
      <c r="AN6" s="382">
        <v>0</v>
      </c>
    </row>
    <row r="7" spans="1:40" x14ac:dyDescent="0.3">
      <c r="A7" s="382" t="s">
        <v>246</v>
      </c>
      <c r="B7" s="407">
        <v>4</v>
      </c>
      <c r="C7" s="382">
        <v>7</v>
      </c>
      <c r="D7" s="382">
        <v>1</v>
      </c>
      <c r="E7" s="382">
        <v>3</v>
      </c>
      <c r="F7" s="382">
        <v>129</v>
      </c>
      <c r="G7" s="382">
        <v>0</v>
      </c>
      <c r="H7" s="382">
        <v>25</v>
      </c>
      <c r="I7" s="382">
        <v>0</v>
      </c>
      <c r="J7" s="382">
        <v>0</v>
      </c>
      <c r="K7" s="382">
        <v>104</v>
      </c>
      <c r="L7" s="382">
        <v>0</v>
      </c>
      <c r="M7" s="382">
        <v>0</v>
      </c>
      <c r="N7" s="382">
        <v>0</v>
      </c>
      <c r="O7" s="382">
        <v>0</v>
      </c>
      <c r="P7" s="382">
        <v>0</v>
      </c>
      <c r="Q7" s="382">
        <v>0</v>
      </c>
      <c r="R7" s="382">
        <v>0</v>
      </c>
      <c r="S7" s="382">
        <v>0</v>
      </c>
      <c r="T7" s="382">
        <v>0</v>
      </c>
      <c r="U7" s="382">
        <v>0</v>
      </c>
      <c r="V7" s="382">
        <v>0</v>
      </c>
      <c r="W7" s="382">
        <v>0</v>
      </c>
      <c r="X7" s="382">
        <v>0</v>
      </c>
      <c r="Y7" s="382">
        <v>0</v>
      </c>
      <c r="Z7" s="382">
        <v>0</v>
      </c>
      <c r="AA7" s="382">
        <v>0</v>
      </c>
      <c r="AB7" s="382">
        <v>0</v>
      </c>
      <c r="AC7" s="382">
        <v>0</v>
      </c>
      <c r="AD7" s="382">
        <v>0</v>
      </c>
      <c r="AE7" s="382">
        <v>0</v>
      </c>
      <c r="AF7" s="382">
        <v>0</v>
      </c>
      <c r="AG7" s="382">
        <v>0</v>
      </c>
      <c r="AH7" s="382">
        <v>0</v>
      </c>
      <c r="AI7" s="382">
        <v>0</v>
      </c>
      <c r="AJ7" s="382">
        <v>0</v>
      </c>
      <c r="AK7" s="382">
        <v>0</v>
      </c>
      <c r="AL7" s="382">
        <v>0</v>
      </c>
      <c r="AM7" s="382">
        <v>0</v>
      </c>
      <c r="AN7" s="382">
        <v>0</v>
      </c>
    </row>
    <row r="8" spans="1:40" x14ac:dyDescent="0.3">
      <c r="A8" s="382" t="s">
        <v>247</v>
      </c>
      <c r="B8" s="407">
        <v>5</v>
      </c>
      <c r="C8" s="382">
        <v>7</v>
      </c>
      <c r="D8" s="382">
        <v>1</v>
      </c>
      <c r="E8" s="382">
        <v>4</v>
      </c>
      <c r="F8" s="382">
        <v>2011</v>
      </c>
      <c r="G8" s="382">
        <v>0</v>
      </c>
      <c r="H8" s="382">
        <v>1248</v>
      </c>
      <c r="I8" s="382">
        <v>0</v>
      </c>
      <c r="J8" s="382">
        <v>0</v>
      </c>
      <c r="K8" s="382">
        <v>617</v>
      </c>
      <c r="L8" s="382">
        <v>0</v>
      </c>
      <c r="M8" s="382">
        <v>0</v>
      </c>
      <c r="N8" s="382">
        <v>0</v>
      </c>
      <c r="O8" s="382">
        <v>0</v>
      </c>
      <c r="P8" s="382">
        <v>0</v>
      </c>
      <c r="Q8" s="382">
        <v>0</v>
      </c>
      <c r="R8" s="382">
        <v>0</v>
      </c>
      <c r="S8" s="382">
        <v>0</v>
      </c>
      <c r="T8" s="382">
        <v>0</v>
      </c>
      <c r="U8" s="382">
        <v>0</v>
      </c>
      <c r="V8" s="382">
        <v>0</v>
      </c>
      <c r="W8" s="382">
        <v>0</v>
      </c>
      <c r="X8" s="382">
        <v>0</v>
      </c>
      <c r="Y8" s="382">
        <v>0</v>
      </c>
      <c r="Z8" s="382">
        <v>0</v>
      </c>
      <c r="AA8" s="382">
        <v>0</v>
      </c>
      <c r="AB8" s="382">
        <v>0</v>
      </c>
      <c r="AC8" s="382">
        <v>0</v>
      </c>
      <c r="AD8" s="382">
        <v>0</v>
      </c>
      <c r="AE8" s="382">
        <v>0</v>
      </c>
      <c r="AF8" s="382">
        <v>0</v>
      </c>
      <c r="AG8" s="382">
        <v>0</v>
      </c>
      <c r="AH8" s="382">
        <v>146</v>
      </c>
      <c r="AI8" s="382">
        <v>0</v>
      </c>
      <c r="AJ8" s="382">
        <v>0</v>
      </c>
      <c r="AK8" s="382">
        <v>0</v>
      </c>
      <c r="AL8" s="382">
        <v>0</v>
      </c>
      <c r="AM8" s="382">
        <v>0</v>
      </c>
      <c r="AN8" s="382">
        <v>0</v>
      </c>
    </row>
    <row r="9" spans="1:40" x14ac:dyDescent="0.3">
      <c r="A9" s="382" t="s">
        <v>248</v>
      </c>
      <c r="B9" s="407">
        <v>6</v>
      </c>
      <c r="C9" s="382">
        <v>7</v>
      </c>
      <c r="D9" s="382">
        <v>1</v>
      </c>
      <c r="E9" s="382">
        <v>5</v>
      </c>
      <c r="F9" s="382">
        <v>143</v>
      </c>
      <c r="G9" s="382">
        <v>143</v>
      </c>
      <c r="H9" s="382">
        <v>0</v>
      </c>
      <c r="I9" s="382">
        <v>0</v>
      </c>
      <c r="J9" s="382">
        <v>0</v>
      </c>
      <c r="K9" s="382">
        <v>0</v>
      </c>
      <c r="L9" s="382">
        <v>0</v>
      </c>
      <c r="M9" s="382">
        <v>0</v>
      </c>
      <c r="N9" s="382">
        <v>0</v>
      </c>
      <c r="O9" s="382">
        <v>0</v>
      </c>
      <c r="P9" s="382">
        <v>0</v>
      </c>
      <c r="Q9" s="382">
        <v>0</v>
      </c>
      <c r="R9" s="382">
        <v>0</v>
      </c>
      <c r="S9" s="382">
        <v>0</v>
      </c>
      <c r="T9" s="382">
        <v>0</v>
      </c>
      <c r="U9" s="382">
        <v>0</v>
      </c>
      <c r="V9" s="382">
        <v>0</v>
      </c>
      <c r="W9" s="382">
        <v>0</v>
      </c>
      <c r="X9" s="382">
        <v>0</v>
      </c>
      <c r="Y9" s="382">
        <v>0</v>
      </c>
      <c r="Z9" s="382">
        <v>0</v>
      </c>
      <c r="AA9" s="382">
        <v>0</v>
      </c>
      <c r="AB9" s="382">
        <v>0</v>
      </c>
      <c r="AC9" s="382">
        <v>0</v>
      </c>
      <c r="AD9" s="382">
        <v>0</v>
      </c>
      <c r="AE9" s="382">
        <v>0</v>
      </c>
      <c r="AF9" s="382">
        <v>0</v>
      </c>
      <c r="AG9" s="382">
        <v>0</v>
      </c>
      <c r="AH9" s="382">
        <v>0</v>
      </c>
      <c r="AI9" s="382">
        <v>0</v>
      </c>
      <c r="AJ9" s="382">
        <v>0</v>
      </c>
      <c r="AK9" s="382">
        <v>0</v>
      </c>
      <c r="AL9" s="382">
        <v>0</v>
      </c>
      <c r="AM9" s="382">
        <v>0</v>
      </c>
      <c r="AN9" s="382">
        <v>0</v>
      </c>
    </row>
    <row r="10" spans="1:40" x14ac:dyDescent="0.3">
      <c r="A10" s="382" t="s">
        <v>249</v>
      </c>
      <c r="B10" s="407">
        <v>7</v>
      </c>
      <c r="C10" s="382">
        <v>7</v>
      </c>
      <c r="D10" s="382">
        <v>1</v>
      </c>
      <c r="E10" s="382">
        <v>6</v>
      </c>
      <c r="F10" s="382">
        <v>6074813</v>
      </c>
      <c r="G10" s="382">
        <v>45100</v>
      </c>
      <c r="H10" s="382">
        <v>3303522</v>
      </c>
      <c r="I10" s="382">
        <v>0</v>
      </c>
      <c r="J10" s="382">
        <v>0</v>
      </c>
      <c r="K10" s="382">
        <v>2471617</v>
      </c>
      <c r="L10" s="382">
        <v>0</v>
      </c>
      <c r="M10" s="382">
        <v>0</v>
      </c>
      <c r="N10" s="382">
        <v>0</v>
      </c>
      <c r="O10" s="382">
        <v>0</v>
      </c>
      <c r="P10" s="382">
        <v>0</v>
      </c>
      <c r="Q10" s="382">
        <v>0</v>
      </c>
      <c r="R10" s="382">
        <v>0</v>
      </c>
      <c r="S10" s="382">
        <v>0</v>
      </c>
      <c r="T10" s="382">
        <v>0</v>
      </c>
      <c r="U10" s="382">
        <v>0</v>
      </c>
      <c r="V10" s="382">
        <v>0</v>
      </c>
      <c r="W10" s="382">
        <v>0</v>
      </c>
      <c r="X10" s="382">
        <v>0</v>
      </c>
      <c r="Y10" s="382">
        <v>0</v>
      </c>
      <c r="Z10" s="382">
        <v>0</v>
      </c>
      <c r="AA10" s="382">
        <v>0</v>
      </c>
      <c r="AB10" s="382">
        <v>0</v>
      </c>
      <c r="AC10" s="382">
        <v>0</v>
      </c>
      <c r="AD10" s="382">
        <v>0</v>
      </c>
      <c r="AE10" s="382">
        <v>0</v>
      </c>
      <c r="AF10" s="382">
        <v>0</v>
      </c>
      <c r="AG10" s="382">
        <v>0</v>
      </c>
      <c r="AH10" s="382">
        <v>203533</v>
      </c>
      <c r="AI10" s="382">
        <v>0</v>
      </c>
      <c r="AJ10" s="382">
        <v>0</v>
      </c>
      <c r="AK10" s="382">
        <v>0</v>
      </c>
      <c r="AL10" s="382">
        <v>0</v>
      </c>
      <c r="AM10" s="382">
        <v>51041</v>
      </c>
      <c r="AN10" s="382">
        <v>0</v>
      </c>
    </row>
    <row r="11" spans="1:40" x14ac:dyDescent="0.3">
      <c r="A11" s="382" t="s">
        <v>250</v>
      </c>
      <c r="B11" s="407">
        <v>8</v>
      </c>
      <c r="C11" s="382">
        <v>7</v>
      </c>
      <c r="D11" s="382">
        <v>1</v>
      </c>
      <c r="E11" s="382">
        <v>9</v>
      </c>
      <c r="F11" s="382">
        <v>260986</v>
      </c>
      <c r="G11" s="382">
        <v>0</v>
      </c>
      <c r="H11" s="382">
        <v>220000</v>
      </c>
      <c r="I11" s="382">
        <v>0</v>
      </c>
      <c r="J11" s="382">
        <v>0</v>
      </c>
      <c r="K11" s="382">
        <v>40986</v>
      </c>
      <c r="L11" s="382">
        <v>0</v>
      </c>
      <c r="M11" s="382">
        <v>0</v>
      </c>
      <c r="N11" s="382">
        <v>0</v>
      </c>
      <c r="O11" s="382">
        <v>0</v>
      </c>
      <c r="P11" s="382">
        <v>0</v>
      </c>
      <c r="Q11" s="382">
        <v>0</v>
      </c>
      <c r="R11" s="382">
        <v>0</v>
      </c>
      <c r="S11" s="382">
        <v>0</v>
      </c>
      <c r="T11" s="382">
        <v>0</v>
      </c>
      <c r="U11" s="382">
        <v>0</v>
      </c>
      <c r="V11" s="382">
        <v>0</v>
      </c>
      <c r="W11" s="382">
        <v>0</v>
      </c>
      <c r="X11" s="382">
        <v>0</v>
      </c>
      <c r="Y11" s="382">
        <v>0</v>
      </c>
      <c r="Z11" s="382">
        <v>0</v>
      </c>
      <c r="AA11" s="382">
        <v>0</v>
      </c>
      <c r="AB11" s="382">
        <v>0</v>
      </c>
      <c r="AC11" s="382">
        <v>0</v>
      </c>
      <c r="AD11" s="382">
        <v>0</v>
      </c>
      <c r="AE11" s="382">
        <v>0</v>
      </c>
      <c r="AF11" s="382">
        <v>0</v>
      </c>
      <c r="AG11" s="382">
        <v>0</v>
      </c>
      <c r="AH11" s="382">
        <v>0</v>
      </c>
      <c r="AI11" s="382">
        <v>0</v>
      </c>
      <c r="AJ11" s="382">
        <v>0</v>
      </c>
      <c r="AK11" s="382">
        <v>0</v>
      </c>
      <c r="AL11" s="382">
        <v>0</v>
      </c>
      <c r="AM11" s="382">
        <v>0</v>
      </c>
      <c r="AN11" s="382">
        <v>0</v>
      </c>
    </row>
    <row r="12" spans="1:40" x14ac:dyDescent="0.3">
      <c r="A12" s="382" t="s">
        <v>251</v>
      </c>
      <c r="B12" s="407">
        <v>9</v>
      </c>
      <c r="C12" s="382">
        <v>7</v>
      </c>
      <c r="D12" s="382">
        <v>1</v>
      </c>
      <c r="E12" s="382">
        <v>10</v>
      </c>
      <c r="F12" s="382">
        <v>27453</v>
      </c>
      <c r="G12" s="382">
        <v>0</v>
      </c>
      <c r="H12" s="382">
        <v>16100</v>
      </c>
      <c r="I12" s="382">
        <v>0</v>
      </c>
      <c r="J12" s="382">
        <v>0</v>
      </c>
      <c r="K12" s="382">
        <v>11353</v>
      </c>
      <c r="L12" s="382">
        <v>0</v>
      </c>
      <c r="M12" s="382">
        <v>0</v>
      </c>
      <c r="N12" s="382">
        <v>0</v>
      </c>
      <c r="O12" s="382">
        <v>0</v>
      </c>
      <c r="P12" s="382">
        <v>0</v>
      </c>
      <c r="Q12" s="382">
        <v>0</v>
      </c>
      <c r="R12" s="382">
        <v>0</v>
      </c>
      <c r="S12" s="382">
        <v>0</v>
      </c>
      <c r="T12" s="382">
        <v>0</v>
      </c>
      <c r="U12" s="382">
        <v>0</v>
      </c>
      <c r="V12" s="382">
        <v>0</v>
      </c>
      <c r="W12" s="382">
        <v>0</v>
      </c>
      <c r="X12" s="382">
        <v>0</v>
      </c>
      <c r="Y12" s="382">
        <v>0</v>
      </c>
      <c r="Z12" s="382">
        <v>0</v>
      </c>
      <c r="AA12" s="382">
        <v>0</v>
      </c>
      <c r="AB12" s="382">
        <v>0</v>
      </c>
      <c r="AC12" s="382">
        <v>0</v>
      </c>
      <c r="AD12" s="382">
        <v>0</v>
      </c>
      <c r="AE12" s="382">
        <v>0</v>
      </c>
      <c r="AF12" s="382">
        <v>0</v>
      </c>
      <c r="AG12" s="382">
        <v>0</v>
      </c>
      <c r="AH12" s="382">
        <v>0</v>
      </c>
      <c r="AI12" s="382">
        <v>0</v>
      </c>
      <c r="AJ12" s="382">
        <v>0</v>
      </c>
      <c r="AK12" s="382">
        <v>0</v>
      </c>
      <c r="AL12" s="382">
        <v>0</v>
      </c>
      <c r="AM12" s="382">
        <v>0</v>
      </c>
      <c r="AN12" s="382">
        <v>0</v>
      </c>
    </row>
    <row r="13" spans="1:40" x14ac:dyDescent="0.3">
      <c r="A13" s="382" t="s">
        <v>252</v>
      </c>
      <c r="B13" s="407">
        <v>10</v>
      </c>
      <c r="C13" s="382">
        <v>7</v>
      </c>
      <c r="D13" s="382">
        <v>1</v>
      </c>
      <c r="E13" s="382">
        <v>11</v>
      </c>
      <c r="F13" s="382">
        <v>24008.5</v>
      </c>
      <c r="G13" s="382">
        <v>0</v>
      </c>
      <c r="H13" s="382">
        <v>14841.833333333334</v>
      </c>
      <c r="I13" s="382">
        <v>0</v>
      </c>
      <c r="J13" s="382">
        <v>0</v>
      </c>
      <c r="K13" s="382">
        <v>9166.6666666666661</v>
      </c>
      <c r="L13" s="382">
        <v>0</v>
      </c>
      <c r="M13" s="382">
        <v>0</v>
      </c>
      <c r="N13" s="382">
        <v>0</v>
      </c>
      <c r="O13" s="382">
        <v>0</v>
      </c>
      <c r="P13" s="382">
        <v>0</v>
      </c>
      <c r="Q13" s="382">
        <v>0</v>
      </c>
      <c r="R13" s="382">
        <v>0</v>
      </c>
      <c r="S13" s="382">
        <v>0</v>
      </c>
      <c r="T13" s="382">
        <v>0</v>
      </c>
      <c r="U13" s="382">
        <v>0</v>
      </c>
      <c r="V13" s="382">
        <v>0</v>
      </c>
      <c r="W13" s="382">
        <v>0</v>
      </c>
      <c r="X13" s="382">
        <v>0</v>
      </c>
      <c r="Y13" s="382">
        <v>0</v>
      </c>
      <c r="Z13" s="382">
        <v>0</v>
      </c>
      <c r="AA13" s="382">
        <v>0</v>
      </c>
      <c r="AB13" s="382">
        <v>0</v>
      </c>
      <c r="AC13" s="382">
        <v>0</v>
      </c>
      <c r="AD13" s="382">
        <v>0</v>
      </c>
      <c r="AE13" s="382">
        <v>0</v>
      </c>
      <c r="AF13" s="382">
        <v>0</v>
      </c>
      <c r="AG13" s="382">
        <v>0</v>
      </c>
      <c r="AH13" s="382">
        <v>0</v>
      </c>
      <c r="AI13" s="382">
        <v>0</v>
      </c>
      <c r="AJ13" s="382">
        <v>0</v>
      </c>
      <c r="AK13" s="382">
        <v>0</v>
      </c>
      <c r="AL13" s="382">
        <v>0</v>
      </c>
      <c r="AM13" s="382">
        <v>0</v>
      </c>
      <c r="AN13" s="382">
        <v>0</v>
      </c>
    </row>
    <row r="14" spans="1:40" x14ac:dyDescent="0.3">
      <c r="A14" s="382" t="s">
        <v>253</v>
      </c>
      <c r="B14" s="407">
        <v>11</v>
      </c>
      <c r="C14" s="382">
        <v>7</v>
      </c>
      <c r="D14" s="382">
        <v>2</v>
      </c>
      <c r="E14" s="382">
        <v>1</v>
      </c>
      <c r="F14" s="382">
        <v>149.55000000000001</v>
      </c>
      <c r="G14" s="382">
        <v>0</v>
      </c>
      <c r="H14" s="382">
        <v>46.05</v>
      </c>
      <c r="I14" s="382">
        <v>0</v>
      </c>
      <c r="J14" s="382">
        <v>0</v>
      </c>
      <c r="K14" s="382">
        <v>90.5</v>
      </c>
      <c r="L14" s="382">
        <v>0</v>
      </c>
      <c r="M14" s="382">
        <v>0</v>
      </c>
      <c r="N14" s="382">
        <v>0</v>
      </c>
      <c r="O14" s="382">
        <v>0</v>
      </c>
      <c r="P14" s="382">
        <v>0</v>
      </c>
      <c r="Q14" s="382">
        <v>0</v>
      </c>
      <c r="R14" s="382">
        <v>0</v>
      </c>
      <c r="S14" s="382">
        <v>0</v>
      </c>
      <c r="T14" s="382">
        <v>0</v>
      </c>
      <c r="U14" s="382">
        <v>0</v>
      </c>
      <c r="V14" s="382">
        <v>0</v>
      </c>
      <c r="W14" s="382">
        <v>0</v>
      </c>
      <c r="X14" s="382">
        <v>0</v>
      </c>
      <c r="Y14" s="382">
        <v>0</v>
      </c>
      <c r="Z14" s="382">
        <v>0</v>
      </c>
      <c r="AA14" s="382">
        <v>0</v>
      </c>
      <c r="AB14" s="382">
        <v>0</v>
      </c>
      <c r="AC14" s="382">
        <v>0</v>
      </c>
      <c r="AD14" s="382">
        <v>0</v>
      </c>
      <c r="AE14" s="382">
        <v>0</v>
      </c>
      <c r="AF14" s="382">
        <v>0</v>
      </c>
      <c r="AG14" s="382">
        <v>0</v>
      </c>
      <c r="AH14" s="382">
        <v>11</v>
      </c>
      <c r="AI14" s="382">
        <v>0</v>
      </c>
      <c r="AJ14" s="382">
        <v>0</v>
      </c>
      <c r="AK14" s="382">
        <v>0</v>
      </c>
      <c r="AL14" s="382">
        <v>0</v>
      </c>
      <c r="AM14" s="382">
        <v>2</v>
      </c>
      <c r="AN14" s="382">
        <v>0</v>
      </c>
    </row>
    <row r="15" spans="1:40" x14ac:dyDescent="0.3">
      <c r="A15" s="382" t="s">
        <v>254</v>
      </c>
      <c r="B15" s="407">
        <v>12</v>
      </c>
      <c r="C15" s="382">
        <v>7</v>
      </c>
      <c r="D15" s="382">
        <v>2</v>
      </c>
      <c r="E15" s="382">
        <v>2</v>
      </c>
      <c r="F15" s="382">
        <v>19384.52</v>
      </c>
      <c r="G15" s="382">
        <v>0</v>
      </c>
      <c r="H15" s="382">
        <v>6454.4</v>
      </c>
      <c r="I15" s="382">
        <v>0</v>
      </c>
      <c r="J15" s="382">
        <v>0</v>
      </c>
      <c r="K15" s="382">
        <v>11246.13</v>
      </c>
      <c r="L15" s="382">
        <v>0</v>
      </c>
      <c r="M15" s="382">
        <v>0</v>
      </c>
      <c r="N15" s="382">
        <v>0</v>
      </c>
      <c r="O15" s="382">
        <v>0</v>
      </c>
      <c r="P15" s="382">
        <v>0</v>
      </c>
      <c r="Q15" s="382">
        <v>0</v>
      </c>
      <c r="R15" s="382">
        <v>0</v>
      </c>
      <c r="S15" s="382">
        <v>0</v>
      </c>
      <c r="T15" s="382">
        <v>0</v>
      </c>
      <c r="U15" s="382">
        <v>0</v>
      </c>
      <c r="V15" s="382">
        <v>0</v>
      </c>
      <c r="W15" s="382">
        <v>0</v>
      </c>
      <c r="X15" s="382">
        <v>0</v>
      </c>
      <c r="Y15" s="382">
        <v>0</v>
      </c>
      <c r="Z15" s="382">
        <v>0</v>
      </c>
      <c r="AA15" s="382">
        <v>0</v>
      </c>
      <c r="AB15" s="382">
        <v>0</v>
      </c>
      <c r="AC15" s="382">
        <v>0</v>
      </c>
      <c r="AD15" s="382">
        <v>0</v>
      </c>
      <c r="AE15" s="382">
        <v>0</v>
      </c>
      <c r="AF15" s="382">
        <v>0</v>
      </c>
      <c r="AG15" s="382">
        <v>0</v>
      </c>
      <c r="AH15" s="382">
        <v>1380</v>
      </c>
      <c r="AI15" s="382">
        <v>0</v>
      </c>
      <c r="AJ15" s="382">
        <v>0</v>
      </c>
      <c r="AK15" s="382">
        <v>0</v>
      </c>
      <c r="AL15" s="382">
        <v>0</v>
      </c>
      <c r="AM15" s="382">
        <v>304</v>
      </c>
      <c r="AN15" s="382">
        <v>0</v>
      </c>
    </row>
    <row r="16" spans="1:40" x14ac:dyDescent="0.3">
      <c r="A16" s="382" t="s">
        <v>242</v>
      </c>
      <c r="B16" s="407">
        <v>2014</v>
      </c>
      <c r="C16" s="382">
        <v>7</v>
      </c>
      <c r="D16" s="382">
        <v>2</v>
      </c>
      <c r="E16" s="382">
        <v>3</v>
      </c>
      <c r="F16" s="382">
        <v>102</v>
      </c>
      <c r="G16" s="382">
        <v>0</v>
      </c>
      <c r="H16" s="382">
        <v>33</v>
      </c>
      <c r="I16" s="382">
        <v>0</v>
      </c>
      <c r="J16" s="382">
        <v>0</v>
      </c>
      <c r="K16" s="382">
        <v>69</v>
      </c>
      <c r="L16" s="382">
        <v>0</v>
      </c>
      <c r="M16" s="382">
        <v>0</v>
      </c>
      <c r="N16" s="382">
        <v>0</v>
      </c>
      <c r="O16" s="382">
        <v>0</v>
      </c>
      <c r="P16" s="382">
        <v>0</v>
      </c>
      <c r="Q16" s="382">
        <v>0</v>
      </c>
      <c r="R16" s="382">
        <v>0</v>
      </c>
      <c r="S16" s="382">
        <v>0</v>
      </c>
      <c r="T16" s="382">
        <v>0</v>
      </c>
      <c r="U16" s="382">
        <v>0</v>
      </c>
      <c r="V16" s="382">
        <v>0</v>
      </c>
      <c r="W16" s="382">
        <v>0</v>
      </c>
      <c r="X16" s="382">
        <v>0</v>
      </c>
      <c r="Y16" s="382">
        <v>0</v>
      </c>
      <c r="Z16" s="382">
        <v>0</v>
      </c>
      <c r="AA16" s="382">
        <v>0</v>
      </c>
      <c r="AB16" s="382">
        <v>0</v>
      </c>
      <c r="AC16" s="382">
        <v>0</v>
      </c>
      <c r="AD16" s="382">
        <v>0</v>
      </c>
      <c r="AE16" s="382">
        <v>0</v>
      </c>
      <c r="AF16" s="382">
        <v>0</v>
      </c>
      <c r="AG16" s="382">
        <v>0</v>
      </c>
      <c r="AH16" s="382">
        <v>0</v>
      </c>
      <c r="AI16" s="382">
        <v>0</v>
      </c>
      <c r="AJ16" s="382">
        <v>0</v>
      </c>
      <c r="AK16" s="382">
        <v>0</v>
      </c>
      <c r="AL16" s="382">
        <v>0</v>
      </c>
      <c r="AM16" s="382">
        <v>0</v>
      </c>
      <c r="AN16" s="382">
        <v>0</v>
      </c>
    </row>
    <row r="17" spans="3:40" x14ac:dyDescent="0.3">
      <c r="C17" s="382">
        <v>7</v>
      </c>
      <c r="D17" s="382">
        <v>2</v>
      </c>
      <c r="E17" s="382">
        <v>4</v>
      </c>
      <c r="F17" s="382">
        <v>1832</v>
      </c>
      <c r="G17" s="382">
        <v>0</v>
      </c>
      <c r="H17" s="382">
        <v>1254</v>
      </c>
      <c r="I17" s="382">
        <v>0</v>
      </c>
      <c r="J17" s="382">
        <v>0</v>
      </c>
      <c r="K17" s="382">
        <v>496</v>
      </c>
      <c r="L17" s="382">
        <v>0</v>
      </c>
      <c r="M17" s="382">
        <v>0</v>
      </c>
      <c r="N17" s="382">
        <v>0</v>
      </c>
      <c r="O17" s="382">
        <v>0</v>
      </c>
      <c r="P17" s="382">
        <v>0</v>
      </c>
      <c r="Q17" s="382">
        <v>0</v>
      </c>
      <c r="R17" s="382">
        <v>0</v>
      </c>
      <c r="S17" s="382">
        <v>0</v>
      </c>
      <c r="T17" s="382">
        <v>0</v>
      </c>
      <c r="U17" s="382">
        <v>0</v>
      </c>
      <c r="V17" s="382">
        <v>0</v>
      </c>
      <c r="W17" s="382">
        <v>0</v>
      </c>
      <c r="X17" s="382">
        <v>0</v>
      </c>
      <c r="Y17" s="382">
        <v>0</v>
      </c>
      <c r="Z17" s="382">
        <v>0</v>
      </c>
      <c r="AA17" s="382">
        <v>0</v>
      </c>
      <c r="AB17" s="382">
        <v>0</v>
      </c>
      <c r="AC17" s="382">
        <v>0</v>
      </c>
      <c r="AD17" s="382">
        <v>0</v>
      </c>
      <c r="AE17" s="382">
        <v>0</v>
      </c>
      <c r="AF17" s="382">
        <v>0</v>
      </c>
      <c r="AG17" s="382">
        <v>0</v>
      </c>
      <c r="AH17" s="382">
        <v>82</v>
      </c>
      <c r="AI17" s="382">
        <v>0</v>
      </c>
      <c r="AJ17" s="382">
        <v>0</v>
      </c>
      <c r="AK17" s="382">
        <v>0</v>
      </c>
      <c r="AL17" s="382">
        <v>0</v>
      </c>
      <c r="AM17" s="382">
        <v>0</v>
      </c>
      <c r="AN17" s="382">
        <v>0</v>
      </c>
    </row>
    <row r="18" spans="3:40" x14ac:dyDescent="0.3">
      <c r="C18" s="382">
        <v>7</v>
      </c>
      <c r="D18" s="382">
        <v>2</v>
      </c>
      <c r="E18" s="382">
        <v>5</v>
      </c>
      <c r="F18" s="382">
        <v>103</v>
      </c>
      <c r="G18" s="382">
        <v>103</v>
      </c>
      <c r="H18" s="382">
        <v>0</v>
      </c>
      <c r="I18" s="382">
        <v>0</v>
      </c>
      <c r="J18" s="382">
        <v>0</v>
      </c>
      <c r="K18" s="382">
        <v>0</v>
      </c>
      <c r="L18" s="382">
        <v>0</v>
      </c>
      <c r="M18" s="382">
        <v>0</v>
      </c>
      <c r="N18" s="382">
        <v>0</v>
      </c>
      <c r="O18" s="382">
        <v>0</v>
      </c>
      <c r="P18" s="382">
        <v>0</v>
      </c>
      <c r="Q18" s="382">
        <v>0</v>
      </c>
      <c r="R18" s="382">
        <v>0</v>
      </c>
      <c r="S18" s="382">
        <v>0</v>
      </c>
      <c r="T18" s="382">
        <v>0</v>
      </c>
      <c r="U18" s="382">
        <v>0</v>
      </c>
      <c r="V18" s="382">
        <v>0</v>
      </c>
      <c r="W18" s="382">
        <v>0</v>
      </c>
      <c r="X18" s="382">
        <v>0</v>
      </c>
      <c r="Y18" s="382">
        <v>0</v>
      </c>
      <c r="Z18" s="382">
        <v>0</v>
      </c>
      <c r="AA18" s="382">
        <v>0</v>
      </c>
      <c r="AB18" s="382">
        <v>0</v>
      </c>
      <c r="AC18" s="382">
        <v>0</v>
      </c>
      <c r="AD18" s="382">
        <v>0</v>
      </c>
      <c r="AE18" s="382">
        <v>0</v>
      </c>
      <c r="AF18" s="382">
        <v>0</v>
      </c>
      <c r="AG18" s="382">
        <v>0</v>
      </c>
      <c r="AH18" s="382">
        <v>0</v>
      </c>
      <c r="AI18" s="382">
        <v>0</v>
      </c>
      <c r="AJ18" s="382">
        <v>0</v>
      </c>
      <c r="AK18" s="382">
        <v>0</v>
      </c>
      <c r="AL18" s="382">
        <v>0</v>
      </c>
      <c r="AM18" s="382">
        <v>0</v>
      </c>
      <c r="AN18" s="382">
        <v>0</v>
      </c>
    </row>
    <row r="19" spans="3:40" x14ac:dyDescent="0.3">
      <c r="C19" s="382">
        <v>7</v>
      </c>
      <c r="D19" s="382">
        <v>2</v>
      </c>
      <c r="E19" s="382">
        <v>6</v>
      </c>
      <c r="F19" s="382">
        <v>5859168</v>
      </c>
      <c r="G19" s="382">
        <v>30600</v>
      </c>
      <c r="H19" s="382">
        <v>3265234</v>
      </c>
      <c r="I19" s="382">
        <v>0</v>
      </c>
      <c r="J19" s="382">
        <v>0</v>
      </c>
      <c r="K19" s="382">
        <v>2326257</v>
      </c>
      <c r="L19" s="382">
        <v>0</v>
      </c>
      <c r="M19" s="382">
        <v>0</v>
      </c>
      <c r="N19" s="382">
        <v>0</v>
      </c>
      <c r="O19" s="382">
        <v>0</v>
      </c>
      <c r="P19" s="382">
        <v>0</v>
      </c>
      <c r="Q19" s="382">
        <v>0</v>
      </c>
      <c r="R19" s="382">
        <v>0</v>
      </c>
      <c r="S19" s="382">
        <v>0</v>
      </c>
      <c r="T19" s="382">
        <v>0</v>
      </c>
      <c r="U19" s="382">
        <v>0</v>
      </c>
      <c r="V19" s="382">
        <v>0</v>
      </c>
      <c r="W19" s="382">
        <v>0</v>
      </c>
      <c r="X19" s="382">
        <v>0</v>
      </c>
      <c r="Y19" s="382">
        <v>0</v>
      </c>
      <c r="Z19" s="382">
        <v>0</v>
      </c>
      <c r="AA19" s="382">
        <v>0</v>
      </c>
      <c r="AB19" s="382">
        <v>0</v>
      </c>
      <c r="AC19" s="382">
        <v>0</v>
      </c>
      <c r="AD19" s="382">
        <v>0</v>
      </c>
      <c r="AE19" s="382">
        <v>0</v>
      </c>
      <c r="AF19" s="382">
        <v>0</v>
      </c>
      <c r="AG19" s="382">
        <v>0</v>
      </c>
      <c r="AH19" s="382">
        <v>192175</v>
      </c>
      <c r="AI19" s="382">
        <v>0</v>
      </c>
      <c r="AJ19" s="382">
        <v>0</v>
      </c>
      <c r="AK19" s="382">
        <v>0</v>
      </c>
      <c r="AL19" s="382">
        <v>0</v>
      </c>
      <c r="AM19" s="382">
        <v>44902</v>
      </c>
      <c r="AN19" s="382">
        <v>0</v>
      </c>
    </row>
    <row r="20" spans="3:40" x14ac:dyDescent="0.3">
      <c r="C20" s="382">
        <v>7</v>
      </c>
      <c r="D20" s="382">
        <v>2</v>
      </c>
      <c r="E20" s="382">
        <v>9</v>
      </c>
      <c r="F20" s="382">
        <v>239572</v>
      </c>
      <c r="G20" s="382">
        <v>0</v>
      </c>
      <c r="H20" s="382">
        <v>200000</v>
      </c>
      <c r="I20" s="382">
        <v>0</v>
      </c>
      <c r="J20" s="382">
        <v>0</v>
      </c>
      <c r="K20" s="382">
        <v>39572</v>
      </c>
      <c r="L20" s="382">
        <v>0</v>
      </c>
      <c r="M20" s="382">
        <v>0</v>
      </c>
      <c r="N20" s="382">
        <v>0</v>
      </c>
      <c r="O20" s="382">
        <v>0</v>
      </c>
      <c r="P20" s="382">
        <v>0</v>
      </c>
      <c r="Q20" s="382">
        <v>0</v>
      </c>
      <c r="R20" s="382">
        <v>0</v>
      </c>
      <c r="S20" s="382">
        <v>0</v>
      </c>
      <c r="T20" s="382">
        <v>0</v>
      </c>
      <c r="U20" s="382">
        <v>0</v>
      </c>
      <c r="V20" s="382">
        <v>0</v>
      </c>
      <c r="W20" s="382">
        <v>0</v>
      </c>
      <c r="X20" s="382">
        <v>0</v>
      </c>
      <c r="Y20" s="382">
        <v>0</v>
      </c>
      <c r="Z20" s="382">
        <v>0</v>
      </c>
      <c r="AA20" s="382">
        <v>0</v>
      </c>
      <c r="AB20" s="382">
        <v>0</v>
      </c>
      <c r="AC20" s="382">
        <v>0</v>
      </c>
      <c r="AD20" s="382">
        <v>0</v>
      </c>
      <c r="AE20" s="382">
        <v>0</v>
      </c>
      <c r="AF20" s="382">
        <v>0</v>
      </c>
      <c r="AG20" s="382">
        <v>0</v>
      </c>
      <c r="AH20" s="382">
        <v>0</v>
      </c>
      <c r="AI20" s="382">
        <v>0</v>
      </c>
      <c r="AJ20" s="382">
        <v>0</v>
      </c>
      <c r="AK20" s="382">
        <v>0</v>
      </c>
      <c r="AL20" s="382">
        <v>0</v>
      </c>
      <c r="AM20" s="382">
        <v>0</v>
      </c>
      <c r="AN20" s="382">
        <v>0</v>
      </c>
    </row>
    <row r="21" spans="3:40" x14ac:dyDescent="0.3">
      <c r="C21" s="382">
        <v>7</v>
      </c>
      <c r="D21" s="382">
        <v>2</v>
      </c>
      <c r="E21" s="382">
        <v>10</v>
      </c>
      <c r="F21" s="382">
        <v>4700.0200000000004</v>
      </c>
      <c r="G21" s="382">
        <v>0</v>
      </c>
      <c r="H21" s="382">
        <v>4700.0200000000004</v>
      </c>
      <c r="I21" s="382">
        <v>0</v>
      </c>
      <c r="J21" s="382">
        <v>0</v>
      </c>
      <c r="K21" s="382">
        <v>0</v>
      </c>
      <c r="L21" s="382">
        <v>0</v>
      </c>
      <c r="M21" s="382">
        <v>0</v>
      </c>
      <c r="N21" s="382">
        <v>0</v>
      </c>
      <c r="O21" s="382">
        <v>0</v>
      </c>
      <c r="P21" s="382">
        <v>0</v>
      </c>
      <c r="Q21" s="382">
        <v>0</v>
      </c>
      <c r="R21" s="382">
        <v>0</v>
      </c>
      <c r="S21" s="382">
        <v>0</v>
      </c>
      <c r="T21" s="382">
        <v>0</v>
      </c>
      <c r="U21" s="382">
        <v>0</v>
      </c>
      <c r="V21" s="382">
        <v>0</v>
      </c>
      <c r="W21" s="382">
        <v>0</v>
      </c>
      <c r="X21" s="382">
        <v>0</v>
      </c>
      <c r="Y21" s="382">
        <v>0</v>
      </c>
      <c r="Z21" s="382">
        <v>0</v>
      </c>
      <c r="AA21" s="382">
        <v>0</v>
      </c>
      <c r="AB21" s="382">
        <v>0</v>
      </c>
      <c r="AC21" s="382">
        <v>0</v>
      </c>
      <c r="AD21" s="382">
        <v>0</v>
      </c>
      <c r="AE21" s="382">
        <v>0</v>
      </c>
      <c r="AF21" s="382">
        <v>0</v>
      </c>
      <c r="AG21" s="382">
        <v>0</v>
      </c>
      <c r="AH21" s="382">
        <v>0</v>
      </c>
      <c r="AI21" s="382">
        <v>0</v>
      </c>
      <c r="AJ21" s="382">
        <v>0</v>
      </c>
      <c r="AK21" s="382">
        <v>0</v>
      </c>
      <c r="AL21" s="382">
        <v>0</v>
      </c>
      <c r="AM21" s="382">
        <v>0</v>
      </c>
      <c r="AN21" s="382">
        <v>0</v>
      </c>
    </row>
    <row r="22" spans="3:40" x14ac:dyDescent="0.3">
      <c r="C22" s="382">
        <v>7</v>
      </c>
      <c r="D22" s="382">
        <v>2</v>
      </c>
      <c r="E22" s="382">
        <v>11</v>
      </c>
      <c r="F22" s="382">
        <v>24008.5</v>
      </c>
      <c r="G22" s="382">
        <v>0</v>
      </c>
      <c r="H22" s="382">
        <v>14841.833333333334</v>
      </c>
      <c r="I22" s="382">
        <v>0</v>
      </c>
      <c r="J22" s="382">
        <v>0</v>
      </c>
      <c r="K22" s="382">
        <v>9166.6666666666661</v>
      </c>
      <c r="L22" s="382">
        <v>0</v>
      </c>
      <c r="M22" s="382">
        <v>0</v>
      </c>
      <c r="N22" s="382">
        <v>0</v>
      </c>
      <c r="O22" s="382">
        <v>0</v>
      </c>
      <c r="P22" s="382">
        <v>0</v>
      </c>
      <c r="Q22" s="382">
        <v>0</v>
      </c>
      <c r="R22" s="382">
        <v>0</v>
      </c>
      <c r="S22" s="382">
        <v>0</v>
      </c>
      <c r="T22" s="382">
        <v>0</v>
      </c>
      <c r="U22" s="382">
        <v>0</v>
      </c>
      <c r="V22" s="382">
        <v>0</v>
      </c>
      <c r="W22" s="382">
        <v>0</v>
      </c>
      <c r="X22" s="382">
        <v>0</v>
      </c>
      <c r="Y22" s="382">
        <v>0</v>
      </c>
      <c r="Z22" s="382">
        <v>0</v>
      </c>
      <c r="AA22" s="382">
        <v>0</v>
      </c>
      <c r="AB22" s="382">
        <v>0</v>
      </c>
      <c r="AC22" s="382">
        <v>0</v>
      </c>
      <c r="AD22" s="382">
        <v>0</v>
      </c>
      <c r="AE22" s="382">
        <v>0</v>
      </c>
      <c r="AF22" s="382">
        <v>0</v>
      </c>
      <c r="AG22" s="382">
        <v>0</v>
      </c>
      <c r="AH22" s="382">
        <v>0</v>
      </c>
      <c r="AI22" s="382">
        <v>0</v>
      </c>
      <c r="AJ22" s="382">
        <v>0</v>
      </c>
      <c r="AK22" s="382">
        <v>0</v>
      </c>
      <c r="AL22" s="382">
        <v>0</v>
      </c>
      <c r="AM22" s="382">
        <v>0</v>
      </c>
      <c r="AN22" s="382">
        <v>0</v>
      </c>
    </row>
    <row r="23" spans="3:40" x14ac:dyDescent="0.3">
      <c r="C23" s="382">
        <v>7</v>
      </c>
      <c r="D23" s="382">
        <v>3</v>
      </c>
      <c r="E23" s="382">
        <v>1</v>
      </c>
      <c r="F23" s="382">
        <v>151.55000000000001</v>
      </c>
      <c r="G23" s="382">
        <v>0</v>
      </c>
      <c r="H23" s="382">
        <v>47.05</v>
      </c>
      <c r="I23" s="382">
        <v>0</v>
      </c>
      <c r="J23" s="382">
        <v>0</v>
      </c>
      <c r="K23" s="382">
        <v>91.5</v>
      </c>
      <c r="L23" s="382">
        <v>0</v>
      </c>
      <c r="M23" s="382">
        <v>0</v>
      </c>
      <c r="N23" s="382">
        <v>0</v>
      </c>
      <c r="O23" s="382">
        <v>0</v>
      </c>
      <c r="P23" s="382">
        <v>0</v>
      </c>
      <c r="Q23" s="382">
        <v>0</v>
      </c>
      <c r="R23" s="382">
        <v>0</v>
      </c>
      <c r="S23" s="382">
        <v>0</v>
      </c>
      <c r="T23" s="382">
        <v>0</v>
      </c>
      <c r="U23" s="382">
        <v>0</v>
      </c>
      <c r="V23" s="382">
        <v>0</v>
      </c>
      <c r="W23" s="382">
        <v>0</v>
      </c>
      <c r="X23" s="382">
        <v>0</v>
      </c>
      <c r="Y23" s="382">
        <v>0</v>
      </c>
      <c r="Z23" s="382">
        <v>0</v>
      </c>
      <c r="AA23" s="382">
        <v>0</v>
      </c>
      <c r="AB23" s="382">
        <v>0</v>
      </c>
      <c r="AC23" s="382">
        <v>0</v>
      </c>
      <c r="AD23" s="382">
        <v>0</v>
      </c>
      <c r="AE23" s="382">
        <v>0</v>
      </c>
      <c r="AF23" s="382">
        <v>0</v>
      </c>
      <c r="AG23" s="382">
        <v>0</v>
      </c>
      <c r="AH23" s="382">
        <v>11</v>
      </c>
      <c r="AI23" s="382">
        <v>0</v>
      </c>
      <c r="AJ23" s="382">
        <v>0</v>
      </c>
      <c r="AK23" s="382">
        <v>0</v>
      </c>
      <c r="AL23" s="382">
        <v>0</v>
      </c>
      <c r="AM23" s="382">
        <v>2</v>
      </c>
      <c r="AN23" s="382">
        <v>0</v>
      </c>
    </row>
    <row r="24" spans="3:40" x14ac:dyDescent="0.3">
      <c r="C24" s="382">
        <v>7</v>
      </c>
      <c r="D24" s="382">
        <v>3</v>
      </c>
      <c r="E24" s="382">
        <v>2</v>
      </c>
      <c r="F24" s="382">
        <v>22015.4</v>
      </c>
      <c r="G24" s="382">
        <v>0</v>
      </c>
      <c r="H24" s="382">
        <v>7464.4</v>
      </c>
      <c r="I24" s="382">
        <v>0</v>
      </c>
      <c r="J24" s="382">
        <v>0</v>
      </c>
      <c r="K24" s="382">
        <v>12569</v>
      </c>
      <c r="L24" s="382">
        <v>0</v>
      </c>
      <c r="M24" s="382">
        <v>0</v>
      </c>
      <c r="N24" s="382">
        <v>0</v>
      </c>
      <c r="O24" s="382">
        <v>0</v>
      </c>
      <c r="P24" s="382">
        <v>0</v>
      </c>
      <c r="Q24" s="382">
        <v>0</v>
      </c>
      <c r="R24" s="382">
        <v>0</v>
      </c>
      <c r="S24" s="382">
        <v>0</v>
      </c>
      <c r="T24" s="382">
        <v>0</v>
      </c>
      <c r="U24" s="382">
        <v>0</v>
      </c>
      <c r="V24" s="382">
        <v>0</v>
      </c>
      <c r="W24" s="382">
        <v>0</v>
      </c>
      <c r="X24" s="382">
        <v>0</v>
      </c>
      <c r="Y24" s="382">
        <v>0</v>
      </c>
      <c r="Z24" s="382">
        <v>0</v>
      </c>
      <c r="AA24" s="382">
        <v>0</v>
      </c>
      <c r="AB24" s="382">
        <v>0</v>
      </c>
      <c r="AC24" s="382">
        <v>0</v>
      </c>
      <c r="AD24" s="382">
        <v>0</v>
      </c>
      <c r="AE24" s="382">
        <v>0</v>
      </c>
      <c r="AF24" s="382">
        <v>0</v>
      </c>
      <c r="AG24" s="382">
        <v>0</v>
      </c>
      <c r="AH24" s="382">
        <v>1650</v>
      </c>
      <c r="AI24" s="382">
        <v>0</v>
      </c>
      <c r="AJ24" s="382">
        <v>0</v>
      </c>
      <c r="AK24" s="382">
        <v>0</v>
      </c>
      <c r="AL24" s="382">
        <v>0</v>
      </c>
      <c r="AM24" s="382">
        <v>332</v>
      </c>
      <c r="AN24" s="382">
        <v>0</v>
      </c>
    </row>
    <row r="25" spans="3:40" x14ac:dyDescent="0.3">
      <c r="C25" s="382">
        <v>7</v>
      </c>
      <c r="D25" s="382">
        <v>3</v>
      </c>
      <c r="E25" s="382">
        <v>3</v>
      </c>
      <c r="F25" s="382">
        <v>190</v>
      </c>
      <c r="G25" s="382">
        <v>0</v>
      </c>
      <c r="H25" s="382">
        <v>34</v>
      </c>
      <c r="I25" s="382">
        <v>0</v>
      </c>
      <c r="J25" s="382">
        <v>0</v>
      </c>
      <c r="K25" s="382">
        <v>156</v>
      </c>
      <c r="L25" s="382">
        <v>0</v>
      </c>
      <c r="M25" s="382">
        <v>0</v>
      </c>
      <c r="N25" s="382">
        <v>0</v>
      </c>
      <c r="O25" s="382">
        <v>0</v>
      </c>
      <c r="P25" s="382">
        <v>0</v>
      </c>
      <c r="Q25" s="382">
        <v>0</v>
      </c>
      <c r="R25" s="382">
        <v>0</v>
      </c>
      <c r="S25" s="382">
        <v>0</v>
      </c>
      <c r="T25" s="382">
        <v>0</v>
      </c>
      <c r="U25" s="382">
        <v>0</v>
      </c>
      <c r="V25" s="382">
        <v>0</v>
      </c>
      <c r="W25" s="382">
        <v>0</v>
      </c>
      <c r="X25" s="382">
        <v>0</v>
      </c>
      <c r="Y25" s="382">
        <v>0</v>
      </c>
      <c r="Z25" s="382">
        <v>0</v>
      </c>
      <c r="AA25" s="382">
        <v>0</v>
      </c>
      <c r="AB25" s="382">
        <v>0</v>
      </c>
      <c r="AC25" s="382">
        <v>0</v>
      </c>
      <c r="AD25" s="382">
        <v>0</v>
      </c>
      <c r="AE25" s="382">
        <v>0</v>
      </c>
      <c r="AF25" s="382">
        <v>0</v>
      </c>
      <c r="AG25" s="382">
        <v>0</v>
      </c>
      <c r="AH25" s="382">
        <v>0</v>
      </c>
      <c r="AI25" s="382">
        <v>0</v>
      </c>
      <c r="AJ25" s="382">
        <v>0</v>
      </c>
      <c r="AK25" s="382">
        <v>0</v>
      </c>
      <c r="AL25" s="382">
        <v>0</v>
      </c>
      <c r="AM25" s="382">
        <v>0</v>
      </c>
      <c r="AN25" s="382">
        <v>0</v>
      </c>
    </row>
    <row r="26" spans="3:40" x14ac:dyDescent="0.3">
      <c r="C26" s="382">
        <v>7</v>
      </c>
      <c r="D26" s="382">
        <v>3</v>
      </c>
      <c r="E26" s="382">
        <v>4</v>
      </c>
      <c r="F26" s="382">
        <v>2086</v>
      </c>
      <c r="G26" s="382">
        <v>0</v>
      </c>
      <c r="H26" s="382">
        <v>1326</v>
      </c>
      <c r="I26" s="382">
        <v>0</v>
      </c>
      <c r="J26" s="382">
        <v>0</v>
      </c>
      <c r="K26" s="382">
        <v>646</v>
      </c>
      <c r="L26" s="382">
        <v>0</v>
      </c>
      <c r="M26" s="382">
        <v>0</v>
      </c>
      <c r="N26" s="382">
        <v>0</v>
      </c>
      <c r="O26" s="382">
        <v>0</v>
      </c>
      <c r="P26" s="382">
        <v>0</v>
      </c>
      <c r="Q26" s="382">
        <v>0</v>
      </c>
      <c r="R26" s="382">
        <v>0</v>
      </c>
      <c r="S26" s="382">
        <v>0</v>
      </c>
      <c r="T26" s="382">
        <v>0</v>
      </c>
      <c r="U26" s="382">
        <v>0</v>
      </c>
      <c r="V26" s="382">
        <v>0</v>
      </c>
      <c r="W26" s="382">
        <v>0</v>
      </c>
      <c r="X26" s="382">
        <v>0</v>
      </c>
      <c r="Y26" s="382">
        <v>0</v>
      </c>
      <c r="Z26" s="382">
        <v>0</v>
      </c>
      <c r="AA26" s="382">
        <v>0</v>
      </c>
      <c r="AB26" s="382">
        <v>0</v>
      </c>
      <c r="AC26" s="382">
        <v>0</v>
      </c>
      <c r="AD26" s="382">
        <v>0</v>
      </c>
      <c r="AE26" s="382">
        <v>0</v>
      </c>
      <c r="AF26" s="382">
        <v>0</v>
      </c>
      <c r="AG26" s="382">
        <v>0</v>
      </c>
      <c r="AH26" s="382">
        <v>114</v>
      </c>
      <c r="AI26" s="382">
        <v>0</v>
      </c>
      <c r="AJ26" s="382">
        <v>0</v>
      </c>
      <c r="AK26" s="382">
        <v>0</v>
      </c>
      <c r="AL26" s="382">
        <v>0</v>
      </c>
      <c r="AM26" s="382">
        <v>0</v>
      </c>
      <c r="AN26" s="382">
        <v>0</v>
      </c>
    </row>
    <row r="27" spans="3:40" x14ac:dyDescent="0.3">
      <c r="C27" s="382">
        <v>7</v>
      </c>
      <c r="D27" s="382">
        <v>3</v>
      </c>
      <c r="E27" s="382">
        <v>5</v>
      </c>
      <c r="F27" s="382">
        <v>75</v>
      </c>
      <c r="G27" s="382">
        <v>75</v>
      </c>
      <c r="H27" s="382">
        <v>0</v>
      </c>
      <c r="I27" s="382">
        <v>0</v>
      </c>
      <c r="J27" s="382">
        <v>0</v>
      </c>
      <c r="K27" s="382">
        <v>0</v>
      </c>
      <c r="L27" s="382">
        <v>0</v>
      </c>
      <c r="M27" s="382">
        <v>0</v>
      </c>
      <c r="N27" s="382">
        <v>0</v>
      </c>
      <c r="O27" s="382">
        <v>0</v>
      </c>
      <c r="P27" s="382">
        <v>0</v>
      </c>
      <c r="Q27" s="382">
        <v>0</v>
      </c>
      <c r="R27" s="382">
        <v>0</v>
      </c>
      <c r="S27" s="382">
        <v>0</v>
      </c>
      <c r="T27" s="382">
        <v>0</v>
      </c>
      <c r="U27" s="382">
        <v>0</v>
      </c>
      <c r="V27" s="382">
        <v>0</v>
      </c>
      <c r="W27" s="382">
        <v>0</v>
      </c>
      <c r="X27" s="382">
        <v>0</v>
      </c>
      <c r="Y27" s="382">
        <v>0</v>
      </c>
      <c r="Z27" s="382">
        <v>0</v>
      </c>
      <c r="AA27" s="382">
        <v>0</v>
      </c>
      <c r="AB27" s="382">
        <v>0</v>
      </c>
      <c r="AC27" s="382">
        <v>0</v>
      </c>
      <c r="AD27" s="382">
        <v>0</v>
      </c>
      <c r="AE27" s="382">
        <v>0</v>
      </c>
      <c r="AF27" s="382">
        <v>0</v>
      </c>
      <c r="AG27" s="382">
        <v>0</v>
      </c>
      <c r="AH27" s="382">
        <v>0</v>
      </c>
      <c r="AI27" s="382">
        <v>0</v>
      </c>
      <c r="AJ27" s="382">
        <v>0</v>
      </c>
      <c r="AK27" s="382">
        <v>0</v>
      </c>
      <c r="AL27" s="382">
        <v>0</v>
      </c>
      <c r="AM27" s="382">
        <v>0</v>
      </c>
      <c r="AN27" s="382">
        <v>0</v>
      </c>
    </row>
    <row r="28" spans="3:40" x14ac:dyDescent="0.3">
      <c r="C28" s="382">
        <v>7</v>
      </c>
      <c r="D28" s="382">
        <v>3</v>
      </c>
      <c r="E28" s="382">
        <v>6</v>
      </c>
      <c r="F28" s="382">
        <v>6121972</v>
      </c>
      <c r="G28" s="382">
        <v>24800</v>
      </c>
      <c r="H28" s="382">
        <v>3409681</v>
      </c>
      <c r="I28" s="382">
        <v>0</v>
      </c>
      <c r="J28" s="382">
        <v>0</v>
      </c>
      <c r="K28" s="382">
        <v>2428106</v>
      </c>
      <c r="L28" s="382">
        <v>0</v>
      </c>
      <c r="M28" s="382">
        <v>0</v>
      </c>
      <c r="N28" s="382">
        <v>0</v>
      </c>
      <c r="O28" s="382">
        <v>0</v>
      </c>
      <c r="P28" s="382">
        <v>0</v>
      </c>
      <c r="Q28" s="382">
        <v>0</v>
      </c>
      <c r="R28" s="382">
        <v>0</v>
      </c>
      <c r="S28" s="382">
        <v>0</v>
      </c>
      <c r="T28" s="382">
        <v>0</v>
      </c>
      <c r="U28" s="382">
        <v>0</v>
      </c>
      <c r="V28" s="382">
        <v>0</v>
      </c>
      <c r="W28" s="382">
        <v>0</v>
      </c>
      <c r="X28" s="382">
        <v>0</v>
      </c>
      <c r="Y28" s="382">
        <v>0</v>
      </c>
      <c r="Z28" s="382">
        <v>0</v>
      </c>
      <c r="AA28" s="382">
        <v>0</v>
      </c>
      <c r="AB28" s="382">
        <v>0</v>
      </c>
      <c r="AC28" s="382">
        <v>0</v>
      </c>
      <c r="AD28" s="382">
        <v>0</v>
      </c>
      <c r="AE28" s="382">
        <v>0</v>
      </c>
      <c r="AF28" s="382">
        <v>0</v>
      </c>
      <c r="AG28" s="382">
        <v>0</v>
      </c>
      <c r="AH28" s="382">
        <v>217311</v>
      </c>
      <c r="AI28" s="382">
        <v>0</v>
      </c>
      <c r="AJ28" s="382">
        <v>0</v>
      </c>
      <c r="AK28" s="382">
        <v>0</v>
      </c>
      <c r="AL28" s="382">
        <v>0</v>
      </c>
      <c r="AM28" s="382">
        <v>42074</v>
      </c>
      <c r="AN28" s="382">
        <v>0</v>
      </c>
    </row>
    <row r="29" spans="3:40" x14ac:dyDescent="0.3">
      <c r="C29" s="382">
        <v>7</v>
      </c>
      <c r="D29" s="382">
        <v>3</v>
      </c>
      <c r="E29" s="382">
        <v>9</v>
      </c>
      <c r="F29" s="382">
        <v>279458</v>
      </c>
      <c r="G29" s="382">
        <v>0</v>
      </c>
      <c r="H29" s="382">
        <v>240261</v>
      </c>
      <c r="I29" s="382">
        <v>0</v>
      </c>
      <c r="J29" s="382">
        <v>0</v>
      </c>
      <c r="K29" s="382">
        <v>39197</v>
      </c>
      <c r="L29" s="382">
        <v>0</v>
      </c>
      <c r="M29" s="382">
        <v>0</v>
      </c>
      <c r="N29" s="382">
        <v>0</v>
      </c>
      <c r="O29" s="382">
        <v>0</v>
      </c>
      <c r="P29" s="382">
        <v>0</v>
      </c>
      <c r="Q29" s="382">
        <v>0</v>
      </c>
      <c r="R29" s="382">
        <v>0</v>
      </c>
      <c r="S29" s="382">
        <v>0</v>
      </c>
      <c r="T29" s="382">
        <v>0</v>
      </c>
      <c r="U29" s="382">
        <v>0</v>
      </c>
      <c r="V29" s="382">
        <v>0</v>
      </c>
      <c r="W29" s="382">
        <v>0</v>
      </c>
      <c r="X29" s="382">
        <v>0</v>
      </c>
      <c r="Y29" s="382">
        <v>0</v>
      </c>
      <c r="Z29" s="382">
        <v>0</v>
      </c>
      <c r="AA29" s="382">
        <v>0</v>
      </c>
      <c r="AB29" s="382">
        <v>0</v>
      </c>
      <c r="AC29" s="382">
        <v>0</v>
      </c>
      <c r="AD29" s="382">
        <v>0</v>
      </c>
      <c r="AE29" s="382">
        <v>0</v>
      </c>
      <c r="AF29" s="382">
        <v>0</v>
      </c>
      <c r="AG29" s="382">
        <v>0</v>
      </c>
      <c r="AH29" s="382">
        <v>0</v>
      </c>
      <c r="AI29" s="382">
        <v>0</v>
      </c>
      <c r="AJ29" s="382">
        <v>0</v>
      </c>
      <c r="AK29" s="382">
        <v>0</v>
      </c>
      <c r="AL29" s="382">
        <v>0</v>
      </c>
      <c r="AM29" s="382">
        <v>0</v>
      </c>
      <c r="AN29" s="382">
        <v>0</v>
      </c>
    </row>
    <row r="30" spans="3:40" x14ac:dyDescent="0.3">
      <c r="C30" s="382">
        <v>7</v>
      </c>
      <c r="D30" s="382">
        <v>3</v>
      </c>
      <c r="E30" s="382">
        <v>10</v>
      </c>
      <c r="F30" s="382">
        <v>4800</v>
      </c>
      <c r="G30" s="382">
        <v>0</v>
      </c>
      <c r="H30" s="382">
        <v>4800</v>
      </c>
      <c r="I30" s="382">
        <v>0</v>
      </c>
      <c r="J30" s="382">
        <v>0</v>
      </c>
      <c r="K30" s="382">
        <v>0</v>
      </c>
      <c r="L30" s="382">
        <v>0</v>
      </c>
      <c r="M30" s="382">
        <v>0</v>
      </c>
      <c r="N30" s="382">
        <v>0</v>
      </c>
      <c r="O30" s="382">
        <v>0</v>
      </c>
      <c r="P30" s="382">
        <v>0</v>
      </c>
      <c r="Q30" s="382">
        <v>0</v>
      </c>
      <c r="R30" s="382">
        <v>0</v>
      </c>
      <c r="S30" s="382">
        <v>0</v>
      </c>
      <c r="T30" s="382">
        <v>0</v>
      </c>
      <c r="U30" s="382">
        <v>0</v>
      </c>
      <c r="V30" s="382">
        <v>0</v>
      </c>
      <c r="W30" s="382">
        <v>0</v>
      </c>
      <c r="X30" s="382">
        <v>0</v>
      </c>
      <c r="Y30" s="382">
        <v>0</v>
      </c>
      <c r="Z30" s="382">
        <v>0</v>
      </c>
      <c r="AA30" s="382">
        <v>0</v>
      </c>
      <c r="AB30" s="382">
        <v>0</v>
      </c>
      <c r="AC30" s="382">
        <v>0</v>
      </c>
      <c r="AD30" s="382">
        <v>0</v>
      </c>
      <c r="AE30" s="382">
        <v>0</v>
      </c>
      <c r="AF30" s="382">
        <v>0</v>
      </c>
      <c r="AG30" s="382">
        <v>0</v>
      </c>
      <c r="AH30" s="382">
        <v>0</v>
      </c>
      <c r="AI30" s="382">
        <v>0</v>
      </c>
      <c r="AJ30" s="382">
        <v>0</v>
      </c>
      <c r="AK30" s="382">
        <v>0</v>
      </c>
      <c r="AL30" s="382">
        <v>0</v>
      </c>
      <c r="AM30" s="382">
        <v>0</v>
      </c>
      <c r="AN30" s="382">
        <v>0</v>
      </c>
    </row>
    <row r="31" spans="3:40" x14ac:dyDescent="0.3">
      <c r="C31" s="382">
        <v>7</v>
      </c>
      <c r="D31" s="382">
        <v>3</v>
      </c>
      <c r="E31" s="382">
        <v>11</v>
      </c>
      <c r="F31" s="382">
        <v>24008.5</v>
      </c>
      <c r="G31" s="382">
        <v>0</v>
      </c>
      <c r="H31" s="382">
        <v>14841.833333333334</v>
      </c>
      <c r="I31" s="382">
        <v>0</v>
      </c>
      <c r="J31" s="382">
        <v>0</v>
      </c>
      <c r="K31" s="382">
        <v>9166.6666666666661</v>
      </c>
      <c r="L31" s="382">
        <v>0</v>
      </c>
      <c r="M31" s="382">
        <v>0</v>
      </c>
      <c r="N31" s="382">
        <v>0</v>
      </c>
      <c r="O31" s="382">
        <v>0</v>
      </c>
      <c r="P31" s="382">
        <v>0</v>
      </c>
      <c r="Q31" s="382">
        <v>0</v>
      </c>
      <c r="R31" s="382">
        <v>0</v>
      </c>
      <c r="S31" s="382">
        <v>0</v>
      </c>
      <c r="T31" s="382">
        <v>0</v>
      </c>
      <c r="U31" s="382">
        <v>0</v>
      </c>
      <c r="V31" s="382">
        <v>0</v>
      </c>
      <c r="W31" s="382">
        <v>0</v>
      </c>
      <c r="X31" s="382">
        <v>0</v>
      </c>
      <c r="Y31" s="382">
        <v>0</v>
      </c>
      <c r="Z31" s="382">
        <v>0</v>
      </c>
      <c r="AA31" s="382">
        <v>0</v>
      </c>
      <c r="AB31" s="382">
        <v>0</v>
      </c>
      <c r="AC31" s="382">
        <v>0</v>
      </c>
      <c r="AD31" s="382">
        <v>0</v>
      </c>
      <c r="AE31" s="382">
        <v>0</v>
      </c>
      <c r="AF31" s="382">
        <v>0</v>
      </c>
      <c r="AG31" s="382">
        <v>0</v>
      </c>
      <c r="AH31" s="382">
        <v>0</v>
      </c>
      <c r="AI31" s="382">
        <v>0</v>
      </c>
      <c r="AJ31" s="382">
        <v>0</v>
      </c>
      <c r="AK31" s="382">
        <v>0</v>
      </c>
      <c r="AL31" s="382">
        <v>0</v>
      </c>
      <c r="AM31" s="382">
        <v>0</v>
      </c>
      <c r="AN31" s="382">
        <v>0</v>
      </c>
    </row>
    <row r="32" spans="3:40" x14ac:dyDescent="0.3">
      <c r="C32" s="382">
        <v>7</v>
      </c>
      <c r="D32" s="382">
        <v>4</v>
      </c>
      <c r="E32" s="382">
        <v>1</v>
      </c>
      <c r="F32" s="382">
        <v>155.44999999999999</v>
      </c>
      <c r="G32" s="382">
        <v>0</v>
      </c>
      <c r="H32" s="382">
        <v>48.7</v>
      </c>
      <c r="I32" s="382">
        <v>0</v>
      </c>
      <c r="J32" s="382">
        <v>0</v>
      </c>
      <c r="K32" s="382">
        <v>93.75</v>
      </c>
      <c r="L32" s="382">
        <v>0</v>
      </c>
      <c r="M32" s="382">
        <v>0</v>
      </c>
      <c r="N32" s="382">
        <v>0</v>
      </c>
      <c r="O32" s="382">
        <v>0</v>
      </c>
      <c r="P32" s="382">
        <v>0</v>
      </c>
      <c r="Q32" s="382">
        <v>0</v>
      </c>
      <c r="R32" s="382">
        <v>0</v>
      </c>
      <c r="S32" s="382">
        <v>0</v>
      </c>
      <c r="T32" s="382">
        <v>0</v>
      </c>
      <c r="U32" s="382">
        <v>0</v>
      </c>
      <c r="V32" s="382">
        <v>0</v>
      </c>
      <c r="W32" s="382">
        <v>0</v>
      </c>
      <c r="X32" s="382">
        <v>0</v>
      </c>
      <c r="Y32" s="382">
        <v>0</v>
      </c>
      <c r="Z32" s="382">
        <v>0</v>
      </c>
      <c r="AA32" s="382">
        <v>0</v>
      </c>
      <c r="AB32" s="382">
        <v>0</v>
      </c>
      <c r="AC32" s="382">
        <v>0</v>
      </c>
      <c r="AD32" s="382">
        <v>0</v>
      </c>
      <c r="AE32" s="382">
        <v>0</v>
      </c>
      <c r="AF32" s="382">
        <v>0</v>
      </c>
      <c r="AG32" s="382">
        <v>0</v>
      </c>
      <c r="AH32" s="382">
        <v>11</v>
      </c>
      <c r="AI32" s="382">
        <v>0</v>
      </c>
      <c r="AJ32" s="382">
        <v>0</v>
      </c>
      <c r="AK32" s="382">
        <v>0</v>
      </c>
      <c r="AL32" s="382">
        <v>0</v>
      </c>
      <c r="AM32" s="382">
        <v>2</v>
      </c>
      <c r="AN32" s="382">
        <v>0</v>
      </c>
    </row>
    <row r="33" spans="3:40" x14ac:dyDescent="0.3">
      <c r="C33" s="382">
        <v>7</v>
      </c>
      <c r="D33" s="382">
        <v>4</v>
      </c>
      <c r="E33" s="382">
        <v>2</v>
      </c>
      <c r="F33" s="382">
        <v>23363.5</v>
      </c>
      <c r="G33" s="382">
        <v>0</v>
      </c>
      <c r="H33" s="382">
        <v>7930</v>
      </c>
      <c r="I33" s="382">
        <v>0</v>
      </c>
      <c r="J33" s="382">
        <v>0</v>
      </c>
      <c r="K33" s="382">
        <v>13403</v>
      </c>
      <c r="L33" s="382">
        <v>0</v>
      </c>
      <c r="M33" s="382">
        <v>0</v>
      </c>
      <c r="N33" s="382">
        <v>0</v>
      </c>
      <c r="O33" s="382">
        <v>0</v>
      </c>
      <c r="P33" s="382">
        <v>0</v>
      </c>
      <c r="Q33" s="382">
        <v>0</v>
      </c>
      <c r="R33" s="382">
        <v>0</v>
      </c>
      <c r="S33" s="382">
        <v>0</v>
      </c>
      <c r="T33" s="382">
        <v>0</v>
      </c>
      <c r="U33" s="382">
        <v>0</v>
      </c>
      <c r="V33" s="382">
        <v>0</v>
      </c>
      <c r="W33" s="382">
        <v>0</v>
      </c>
      <c r="X33" s="382">
        <v>0</v>
      </c>
      <c r="Y33" s="382">
        <v>0</v>
      </c>
      <c r="Z33" s="382">
        <v>0</v>
      </c>
      <c r="AA33" s="382">
        <v>0</v>
      </c>
      <c r="AB33" s="382">
        <v>0</v>
      </c>
      <c r="AC33" s="382">
        <v>0</v>
      </c>
      <c r="AD33" s="382">
        <v>0</v>
      </c>
      <c r="AE33" s="382">
        <v>0</v>
      </c>
      <c r="AF33" s="382">
        <v>0</v>
      </c>
      <c r="AG33" s="382">
        <v>0</v>
      </c>
      <c r="AH33" s="382">
        <v>1702.5</v>
      </c>
      <c r="AI33" s="382">
        <v>0</v>
      </c>
      <c r="AJ33" s="382">
        <v>0</v>
      </c>
      <c r="AK33" s="382">
        <v>0</v>
      </c>
      <c r="AL33" s="382">
        <v>0</v>
      </c>
      <c r="AM33" s="382">
        <v>328</v>
      </c>
      <c r="AN33" s="382">
        <v>0</v>
      </c>
    </row>
    <row r="34" spans="3:40" x14ac:dyDescent="0.3">
      <c r="C34" s="382">
        <v>7</v>
      </c>
      <c r="D34" s="382">
        <v>4</v>
      </c>
      <c r="E34" s="382">
        <v>3</v>
      </c>
      <c r="F34" s="382">
        <v>136</v>
      </c>
      <c r="G34" s="382">
        <v>0</v>
      </c>
      <c r="H34" s="382">
        <v>0</v>
      </c>
      <c r="I34" s="382">
        <v>0</v>
      </c>
      <c r="J34" s="382">
        <v>0</v>
      </c>
      <c r="K34" s="382">
        <v>136</v>
      </c>
      <c r="L34" s="382">
        <v>0</v>
      </c>
      <c r="M34" s="382">
        <v>0</v>
      </c>
      <c r="N34" s="382">
        <v>0</v>
      </c>
      <c r="O34" s="382">
        <v>0</v>
      </c>
      <c r="P34" s="382">
        <v>0</v>
      </c>
      <c r="Q34" s="382">
        <v>0</v>
      </c>
      <c r="R34" s="382">
        <v>0</v>
      </c>
      <c r="S34" s="382">
        <v>0</v>
      </c>
      <c r="T34" s="382">
        <v>0</v>
      </c>
      <c r="U34" s="382">
        <v>0</v>
      </c>
      <c r="V34" s="382">
        <v>0</v>
      </c>
      <c r="W34" s="382">
        <v>0</v>
      </c>
      <c r="X34" s="382">
        <v>0</v>
      </c>
      <c r="Y34" s="382">
        <v>0</v>
      </c>
      <c r="Z34" s="382">
        <v>0</v>
      </c>
      <c r="AA34" s="382">
        <v>0</v>
      </c>
      <c r="AB34" s="382">
        <v>0</v>
      </c>
      <c r="AC34" s="382">
        <v>0</v>
      </c>
      <c r="AD34" s="382">
        <v>0</v>
      </c>
      <c r="AE34" s="382">
        <v>0</v>
      </c>
      <c r="AF34" s="382">
        <v>0</v>
      </c>
      <c r="AG34" s="382">
        <v>0</v>
      </c>
      <c r="AH34" s="382">
        <v>0</v>
      </c>
      <c r="AI34" s="382">
        <v>0</v>
      </c>
      <c r="AJ34" s="382">
        <v>0</v>
      </c>
      <c r="AK34" s="382">
        <v>0</v>
      </c>
      <c r="AL34" s="382">
        <v>0</v>
      </c>
      <c r="AM34" s="382">
        <v>0</v>
      </c>
      <c r="AN34" s="382">
        <v>0</v>
      </c>
    </row>
    <row r="35" spans="3:40" x14ac:dyDescent="0.3">
      <c r="C35" s="382">
        <v>7</v>
      </c>
      <c r="D35" s="382">
        <v>4</v>
      </c>
      <c r="E35" s="382">
        <v>4</v>
      </c>
      <c r="F35" s="382">
        <v>2031</v>
      </c>
      <c r="G35" s="382">
        <v>0</v>
      </c>
      <c r="H35" s="382">
        <v>1357</v>
      </c>
      <c r="I35" s="382">
        <v>0</v>
      </c>
      <c r="J35" s="382">
        <v>0</v>
      </c>
      <c r="K35" s="382">
        <v>644</v>
      </c>
      <c r="L35" s="382">
        <v>0</v>
      </c>
      <c r="M35" s="382">
        <v>0</v>
      </c>
      <c r="N35" s="382">
        <v>0</v>
      </c>
      <c r="O35" s="382">
        <v>0</v>
      </c>
      <c r="P35" s="382">
        <v>0</v>
      </c>
      <c r="Q35" s="382">
        <v>0</v>
      </c>
      <c r="R35" s="382">
        <v>0</v>
      </c>
      <c r="S35" s="382">
        <v>0</v>
      </c>
      <c r="T35" s="382">
        <v>0</v>
      </c>
      <c r="U35" s="382">
        <v>0</v>
      </c>
      <c r="V35" s="382">
        <v>0</v>
      </c>
      <c r="W35" s="382">
        <v>0</v>
      </c>
      <c r="X35" s="382">
        <v>0</v>
      </c>
      <c r="Y35" s="382">
        <v>0</v>
      </c>
      <c r="Z35" s="382">
        <v>0</v>
      </c>
      <c r="AA35" s="382">
        <v>0</v>
      </c>
      <c r="AB35" s="382">
        <v>0</v>
      </c>
      <c r="AC35" s="382">
        <v>0</v>
      </c>
      <c r="AD35" s="382">
        <v>0</v>
      </c>
      <c r="AE35" s="382">
        <v>0</v>
      </c>
      <c r="AF35" s="382">
        <v>0</v>
      </c>
      <c r="AG35" s="382">
        <v>0</v>
      </c>
      <c r="AH35" s="382">
        <v>30</v>
      </c>
      <c r="AI35" s="382">
        <v>0</v>
      </c>
      <c r="AJ35" s="382">
        <v>0</v>
      </c>
      <c r="AK35" s="382">
        <v>0</v>
      </c>
      <c r="AL35" s="382">
        <v>0</v>
      </c>
      <c r="AM35" s="382">
        <v>0</v>
      </c>
      <c r="AN35" s="382">
        <v>0</v>
      </c>
    </row>
    <row r="36" spans="3:40" x14ac:dyDescent="0.3">
      <c r="C36" s="382">
        <v>7</v>
      </c>
      <c r="D36" s="382">
        <v>4</v>
      </c>
      <c r="E36" s="382">
        <v>5</v>
      </c>
      <c r="F36" s="382">
        <v>95</v>
      </c>
      <c r="G36" s="382">
        <v>95</v>
      </c>
      <c r="H36" s="382">
        <v>0</v>
      </c>
      <c r="I36" s="382">
        <v>0</v>
      </c>
      <c r="J36" s="382">
        <v>0</v>
      </c>
      <c r="K36" s="382">
        <v>0</v>
      </c>
      <c r="L36" s="382">
        <v>0</v>
      </c>
      <c r="M36" s="382">
        <v>0</v>
      </c>
      <c r="N36" s="382">
        <v>0</v>
      </c>
      <c r="O36" s="382">
        <v>0</v>
      </c>
      <c r="P36" s="382">
        <v>0</v>
      </c>
      <c r="Q36" s="382">
        <v>0</v>
      </c>
      <c r="R36" s="382">
        <v>0</v>
      </c>
      <c r="S36" s="382">
        <v>0</v>
      </c>
      <c r="T36" s="382">
        <v>0</v>
      </c>
      <c r="U36" s="382">
        <v>0</v>
      </c>
      <c r="V36" s="382">
        <v>0</v>
      </c>
      <c r="W36" s="382">
        <v>0</v>
      </c>
      <c r="X36" s="382">
        <v>0</v>
      </c>
      <c r="Y36" s="382">
        <v>0</v>
      </c>
      <c r="Z36" s="382">
        <v>0</v>
      </c>
      <c r="AA36" s="382">
        <v>0</v>
      </c>
      <c r="AB36" s="382">
        <v>0</v>
      </c>
      <c r="AC36" s="382">
        <v>0</v>
      </c>
      <c r="AD36" s="382">
        <v>0</v>
      </c>
      <c r="AE36" s="382">
        <v>0</v>
      </c>
      <c r="AF36" s="382">
        <v>0</v>
      </c>
      <c r="AG36" s="382">
        <v>0</v>
      </c>
      <c r="AH36" s="382">
        <v>0</v>
      </c>
      <c r="AI36" s="382">
        <v>0</v>
      </c>
      <c r="AJ36" s="382">
        <v>0</v>
      </c>
      <c r="AK36" s="382">
        <v>0</v>
      </c>
      <c r="AL36" s="382">
        <v>0</v>
      </c>
      <c r="AM36" s="382">
        <v>0</v>
      </c>
      <c r="AN36" s="382">
        <v>0</v>
      </c>
    </row>
    <row r="37" spans="3:40" x14ac:dyDescent="0.3">
      <c r="C37" s="382">
        <v>7</v>
      </c>
      <c r="D37" s="382">
        <v>4</v>
      </c>
      <c r="E37" s="382">
        <v>6</v>
      </c>
      <c r="F37" s="382">
        <v>6392717</v>
      </c>
      <c r="G37" s="382">
        <v>27100</v>
      </c>
      <c r="H37" s="382">
        <v>3618721</v>
      </c>
      <c r="I37" s="382">
        <v>0</v>
      </c>
      <c r="J37" s="382">
        <v>0</v>
      </c>
      <c r="K37" s="382">
        <v>2491348</v>
      </c>
      <c r="L37" s="382">
        <v>0</v>
      </c>
      <c r="M37" s="382">
        <v>0</v>
      </c>
      <c r="N37" s="382">
        <v>0</v>
      </c>
      <c r="O37" s="382">
        <v>0</v>
      </c>
      <c r="P37" s="382">
        <v>0</v>
      </c>
      <c r="Q37" s="382">
        <v>0</v>
      </c>
      <c r="R37" s="382">
        <v>0</v>
      </c>
      <c r="S37" s="382">
        <v>0</v>
      </c>
      <c r="T37" s="382">
        <v>0</v>
      </c>
      <c r="U37" s="382">
        <v>0</v>
      </c>
      <c r="V37" s="382">
        <v>0</v>
      </c>
      <c r="W37" s="382">
        <v>0</v>
      </c>
      <c r="X37" s="382">
        <v>0</v>
      </c>
      <c r="Y37" s="382">
        <v>0</v>
      </c>
      <c r="Z37" s="382">
        <v>0</v>
      </c>
      <c r="AA37" s="382">
        <v>0</v>
      </c>
      <c r="AB37" s="382">
        <v>0</v>
      </c>
      <c r="AC37" s="382">
        <v>0</v>
      </c>
      <c r="AD37" s="382">
        <v>0</v>
      </c>
      <c r="AE37" s="382">
        <v>0</v>
      </c>
      <c r="AF37" s="382">
        <v>0</v>
      </c>
      <c r="AG37" s="382">
        <v>0</v>
      </c>
      <c r="AH37" s="382">
        <v>213215</v>
      </c>
      <c r="AI37" s="382">
        <v>0</v>
      </c>
      <c r="AJ37" s="382">
        <v>0</v>
      </c>
      <c r="AK37" s="382">
        <v>0</v>
      </c>
      <c r="AL37" s="382">
        <v>0</v>
      </c>
      <c r="AM37" s="382">
        <v>42333</v>
      </c>
      <c r="AN37" s="382">
        <v>0</v>
      </c>
    </row>
    <row r="38" spans="3:40" x14ac:dyDescent="0.3">
      <c r="C38" s="382">
        <v>7</v>
      </c>
      <c r="D38" s="382">
        <v>4</v>
      </c>
      <c r="E38" s="382">
        <v>9</v>
      </c>
      <c r="F38" s="382">
        <v>94322</v>
      </c>
      <c r="G38" s="382">
        <v>0</v>
      </c>
      <c r="H38" s="382">
        <v>60000</v>
      </c>
      <c r="I38" s="382">
        <v>0</v>
      </c>
      <c r="J38" s="382">
        <v>0</v>
      </c>
      <c r="K38" s="382">
        <v>34322</v>
      </c>
      <c r="L38" s="382">
        <v>0</v>
      </c>
      <c r="M38" s="382">
        <v>0</v>
      </c>
      <c r="N38" s="382">
        <v>0</v>
      </c>
      <c r="O38" s="382">
        <v>0</v>
      </c>
      <c r="P38" s="382">
        <v>0</v>
      </c>
      <c r="Q38" s="382">
        <v>0</v>
      </c>
      <c r="R38" s="382">
        <v>0</v>
      </c>
      <c r="S38" s="382">
        <v>0</v>
      </c>
      <c r="T38" s="382">
        <v>0</v>
      </c>
      <c r="U38" s="382">
        <v>0</v>
      </c>
      <c r="V38" s="382">
        <v>0</v>
      </c>
      <c r="W38" s="382">
        <v>0</v>
      </c>
      <c r="X38" s="382">
        <v>0</v>
      </c>
      <c r="Y38" s="382">
        <v>0</v>
      </c>
      <c r="Z38" s="382">
        <v>0</v>
      </c>
      <c r="AA38" s="382">
        <v>0</v>
      </c>
      <c r="AB38" s="382">
        <v>0</v>
      </c>
      <c r="AC38" s="382">
        <v>0</v>
      </c>
      <c r="AD38" s="382">
        <v>0</v>
      </c>
      <c r="AE38" s="382">
        <v>0</v>
      </c>
      <c r="AF38" s="382">
        <v>0</v>
      </c>
      <c r="AG38" s="382">
        <v>0</v>
      </c>
      <c r="AH38" s="382">
        <v>0</v>
      </c>
      <c r="AI38" s="382">
        <v>0</v>
      </c>
      <c r="AJ38" s="382">
        <v>0</v>
      </c>
      <c r="AK38" s="382">
        <v>0</v>
      </c>
      <c r="AL38" s="382">
        <v>0</v>
      </c>
      <c r="AM38" s="382">
        <v>0</v>
      </c>
      <c r="AN38" s="382">
        <v>0</v>
      </c>
    </row>
    <row r="39" spans="3:40" x14ac:dyDescent="0.3">
      <c r="C39" s="382">
        <v>7</v>
      </c>
      <c r="D39" s="382">
        <v>4</v>
      </c>
      <c r="E39" s="382">
        <v>10</v>
      </c>
      <c r="F39" s="382">
        <v>8950</v>
      </c>
      <c r="G39" s="382">
        <v>0</v>
      </c>
      <c r="H39" s="382">
        <v>0</v>
      </c>
      <c r="I39" s="382">
        <v>0</v>
      </c>
      <c r="J39" s="382">
        <v>0</v>
      </c>
      <c r="K39" s="382">
        <v>8950</v>
      </c>
      <c r="L39" s="382">
        <v>0</v>
      </c>
      <c r="M39" s="382">
        <v>0</v>
      </c>
      <c r="N39" s="382">
        <v>0</v>
      </c>
      <c r="O39" s="382">
        <v>0</v>
      </c>
      <c r="P39" s="382">
        <v>0</v>
      </c>
      <c r="Q39" s="382">
        <v>0</v>
      </c>
      <c r="R39" s="382">
        <v>0</v>
      </c>
      <c r="S39" s="382">
        <v>0</v>
      </c>
      <c r="T39" s="382">
        <v>0</v>
      </c>
      <c r="U39" s="382">
        <v>0</v>
      </c>
      <c r="V39" s="382">
        <v>0</v>
      </c>
      <c r="W39" s="382">
        <v>0</v>
      </c>
      <c r="X39" s="382">
        <v>0</v>
      </c>
      <c r="Y39" s="382">
        <v>0</v>
      </c>
      <c r="Z39" s="382">
        <v>0</v>
      </c>
      <c r="AA39" s="382">
        <v>0</v>
      </c>
      <c r="AB39" s="382">
        <v>0</v>
      </c>
      <c r="AC39" s="382">
        <v>0</v>
      </c>
      <c r="AD39" s="382">
        <v>0</v>
      </c>
      <c r="AE39" s="382">
        <v>0</v>
      </c>
      <c r="AF39" s="382">
        <v>0</v>
      </c>
      <c r="AG39" s="382">
        <v>0</v>
      </c>
      <c r="AH39" s="382">
        <v>0</v>
      </c>
      <c r="AI39" s="382">
        <v>0</v>
      </c>
      <c r="AJ39" s="382">
        <v>0</v>
      </c>
      <c r="AK39" s="382">
        <v>0</v>
      </c>
      <c r="AL39" s="382">
        <v>0</v>
      </c>
      <c r="AM39" s="382">
        <v>0</v>
      </c>
      <c r="AN39" s="382">
        <v>0</v>
      </c>
    </row>
    <row r="40" spans="3:40" x14ac:dyDescent="0.3">
      <c r="C40" s="382">
        <v>7</v>
      </c>
      <c r="D40" s="382">
        <v>4</v>
      </c>
      <c r="E40" s="382">
        <v>11</v>
      </c>
      <c r="F40" s="382">
        <v>24008.5</v>
      </c>
      <c r="G40" s="382">
        <v>0</v>
      </c>
      <c r="H40" s="382">
        <v>14841.833333333334</v>
      </c>
      <c r="I40" s="382">
        <v>0</v>
      </c>
      <c r="J40" s="382">
        <v>0</v>
      </c>
      <c r="K40" s="382">
        <v>9166.6666666666661</v>
      </c>
      <c r="L40" s="382">
        <v>0</v>
      </c>
      <c r="M40" s="382">
        <v>0</v>
      </c>
      <c r="N40" s="382">
        <v>0</v>
      </c>
      <c r="O40" s="382">
        <v>0</v>
      </c>
      <c r="P40" s="382">
        <v>0</v>
      </c>
      <c r="Q40" s="382">
        <v>0</v>
      </c>
      <c r="R40" s="382">
        <v>0</v>
      </c>
      <c r="S40" s="382">
        <v>0</v>
      </c>
      <c r="T40" s="382">
        <v>0</v>
      </c>
      <c r="U40" s="382">
        <v>0</v>
      </c>
      <c r="V40" s="382">
        <v>0</v>
      </c>
      <c r="W40" s="382">
        <v>0</v>
      </c>
      <c r="X40" s="382">
        <v>0</v>
      </c>
      <c r="Y40" s="382">
        <v>0</v>
      </c>
      <c r="Z40" s="382">
        <v>0</v>
      </c>
      <c r="AA40" s="382">
        <v>0</v>
      </c>
      <c r="AB40" s="382">
        <v>0</v>
      </c>
      <c r="AC40" s="382">
        <v>0</v>
      </c>
      <c r="AD40" s="382">
        <v>0</v>
      </c>
      <c r="AE40" s="382">
        <v>0</v>
      </c>
      <c r="AF40" s="382">
        <v>0</v>
      </c>
      <c r="AG40" s="382">
        <v>0</v>
      </c>
      <c r="AH40" s="382">
        <v>0</v>
      </c>
      <c r="AI40" s="382">
        <v>0</v>
      </c>
      <c r="AJ40" s="382">
        <v>0</v>
      </c>
      <c r="AK40" s="382">
        <v>0</v>
      </c>
      <c r="AL40" s="382">
        <v>0</v>
      </c>
      <c r="AM40" s="382">
        <v>0</v>
      </c>
      <c r="AN40" s="382">
        <v>0</v>
      </c>
    </row>
    <row r="41" spans="3:40" x14ac:dyDescent="0.3">
      <c r="C41" s="382">
        <v>7</v>
      </c>
      <c r="D41" s="382">
        <v>5</v>
      </c>
      <c r="E41" s="382">
        <v>1</v>
      </c>
      <c r="F41" s="382">
        <v>155.44999999999999</v>
      </c>
      <c r="G41" s="382">
        <v>0</v>
      </c>
      <c r="H41" s="382">
        <v>48.7</v>
      </c>
      <c r="I41" s="382">
        <v>0</v>
      </c>
      <c r="J41" s="382">
        <v>0</v>
      </c>
      <c r="K41" s="382">
        <v>93.75</v>
      </c>
      <c r="L41" s="382">
        <v>0</v>
      </c>
      <c r="M41" s="382">
        <v>0</v>
      </c>
      <c r="N41" s="382">
        <v>0</v>
      </c>
      <c r="O41" s="382">
        <v>0</v>
      </c>
      <c r="P41" s="382">
        <v>0</v>
      </c>
      <c r="Q41" s="382">
        <v>0</v>
      </c>
      <c r="R41" s="382">
        <v>0</v>
      </c>
      <c r="S41" s="382">
        <v>0</v>
      </c>
      <c r="T41" s="382">
        <v>0</v>
      </c>
      <c r="U41" s="382">
        <v>0</v>
      </c>
      <c r="V41" s="382">
        <v>0</v>
      </c>
      <c r="W41" s="382">
        <v>0</v>
      </c>
      <c r="X41" s="382">
        <v>0</v>
      </c>
      <c r="Y41" s="382">
        <v>0</v>
      </c>
      <c r="Z41" s="382">
        <v>0</v>
      </c>
      <c r="AA41" s="382">
        <v>0</v>
      </c>
      <c r="AB41" s="382">
        <v>0</v>
      </c>
      <c r="AC41" s="382">
        <v>0</v>
      </c>
      <c r="AD41" s="382">
        <v>0</v>
      </c>
      <c r="AE41" s="382">
        <v>0</v>
      </c>
      <c r="AF41" s="382">
        <v>0</v>
      </c>
      <c r="AG41" s="382">
        <v>0</v>
      </c>
      <c r="AH41" s="382">
        <v>11</v>
      </c>
      <c r="AI41" s="382">
        <v>0</v>
      </c>
      <c r="AJ41" s="382">
        <v>0</v>
      </c>
      <c r="AK41" s="382">
        <v>0</v>
      </c>
      <c r="AL41" s="382">
        <v>0</v>
      </c>
      <c r="AM41" s="382">
        <v>2</v>
      </c>
      <c r="AN41" s="382">
        <v>0</v>
      </c>
    </row>
    <row r="42" spans="3:40" x14ac:dyDescent="0.3">
      <c r="C42" s="382">
        <v>7</v>
      </c>
      <c r="D42" s="382">
        <v>5</v>
      </c>
      <c r="E42" s="382">
        <v>2</v>
      </c>
      <c r="F42" s="382">
        <v>22408.25</v>
      </c>
      <c r="G42" s="382">
        <v>0</v>
      </c>
      <c r="H42" s="382">
        <v>7346</v>
      </c>
      <c r="I42" s="382">
        <v>0</v>
      </c>
      <c r="J42" s="382">
        <v>0</v>
      </c>
      <c r="K42" s="382">
        <v>13109.25</v>
      </c>
      <c r="L42" s="382">
        <v>0</v>
      </c>
      <c r="M42" s="382">
        <v>0</v>
      </c>
      <c r="N42" s="382">
        <v>0</v>
      </c>
      <c r="O42" s="382">
        <v>0</v>
      </c>
      <c r="P42" s="382">
        <v>0</v>
      </c>
      <c r="Q42" s="382">
        <v>0</v>
      </c>
      <c r="R42" s="382">
        <v>0</v>
      </c>
      <c r="S42" s="382">
        <v>0</v>
      </c>
      <c r="T42" s="382">
        <v>0</v>
      </c>
      <c r="U42" s="382">
        <v>0</v>
      </c>
      <c r="V42" s="382">
        <v>0</v>
      </c>
      <c r="W42" s="382">
        <v>0</v>
      </c>
      <c r="X42" s="382">
        <v>0</v>
      </c>
      <c r="Y42" s="382">
        <v>0</v>
      </c>
      <c r="Z42" s="382">
        <v>0</v>
      </c>
      <c r="AA42" s="382">
        <v>0</v>
      </c>
      <c r="AB42" s="382">
        <v>0</v>
      </c>
      <c r="AC42" s="382">
        <v>0</v>
      </c>
      <c r="AD42" s="382">
        <v>0</v>
      </c>
      <c r="AE42" s="382">
        <v>0</v>
      </c>
      <c r="AF42" s="382">
        <v>0</v>
      </c>
      <c r="AG42" s="382">
        <v>0</v>
      </c>
      <c r="AH42" s="382">
        <v>1665</v>
      </c>
      <c r="AI42" s="382">
        <v>0</v>
      </c>
      <c r="AJ42" s="382">
        <v>0</v>
      </c>
      <c r="AK42" s="382">
        <v>0</v>
      </c>
      <c r="AL42" s="382">
        <v>0</v>
      </c>
      <c r="AM42" s="382">
        <v>288</v>
      </c>
      <c r="AN42" s="382">
        <v>0</v>
      </c>
    </row>
    <row r="43" spans="3:40" x14ac:dyDescent="0.3">
      <c r="C43" s="382">
        <v>7</v>
      </c>
      <c r="D43" s="382">
        <v>5</v>
      </c>
      <c r="E43" s="382">
        <v>3</v>
      </c>
      <c r="F43" s="382">
        <v>162</v>
      </c>
      <c r="G43" s="382">
        <v>0</v>
      </c>
      <c r="H43" s="382">
        <v>0</v>
      </c>
      <c r="I43" s="382">
        <v>0</v>
      </c>
      <c r="J43" s="382">
        <v>0</v>
      </c>
      <c r="K43" s="382">
        <v>162</v>
      </c>
      <c r="L43" s="382">
        <v>0</v>
      </c>
      <c r="M43" s="382">
        <v>0</v>
      </c>
      <c r="N43" s="382">
        <v>0</v>
      </c>
      <c r="O43" s="382">
        <v>0</v>
      </c>
      <c r="P43" s="382">
        <v>0</v>
      </c>
      <c r="Q43" s="382">
        <v>0</v>
      </c>
      <c r="R43" s="382">
        <v>0</v>
      </c>
      <c r="S43" s="382">
        <v>0</v>
      </c>
      <c r="T43" s="382">
        <v>0</v>
      </c>
      <c r="U43" s="382">
        <v>0</v>
      </c>
      <c r="V43" s="382">
        <v>0</v>
      </c>
      <c r="W43" s="382">
        <v>0</v>
      </c>
      <c r="X43" s="382">
        <v>0</v>
      </c>
      <c r="Y43" s="382">
        <v>0</v>
      </c>
      <c r="Z43" s="382">
        <v>0</v>
      </c>
      <c r="AA43" s="382">
        <v>0</v>
      </c>
      <c r="AB43" s="382">
        <v>0</v>
      </c>
      <c r="AC43" s="382">
        <v>0</v>
      </c>
      <c r="AD43" s="382">
        <v>0</v>
      </c>
      <c r="AE43" s="382">
        <v>0</v>
      </c>
      <c r="AF43" s="382">
        <v>0</v>
      </c>
      <c r="AG43" s="382">
        <v>0</v>
      </c>
      <c r="AH43" s="382">
        <v>0</v>
      </c>
      <c r="AI43" s="382">
        <v>0</v>
      </c>
      <c r="AJ43" s="382">
        <v>0</v>
      </c>
      <c r="AK43" s="382">
        <v>0</v>
      </c>
      <c r="AL43" s="382">
        <v>0</v>
      </c>
      <c r="AM43" s="382">
        <v>0</v>
      </c>
      <c r="AN43" s="382">
        <v>0</v>
      </c>
    </row>
    <row r="44" spans="3:40" x14ac:dyDescent="0.3">
      <c r="C44" s="382">
        <v>7</v>
      </c>
      <c r="D44" s="382">
        <v>5</v>
      </c>
      <c r="E44" s="382">
        <v>4</v>
      </c>
      <c r="F44" s="382">
        <v>1731</v>
      </c>
      <c r="G44" s="382">
        <v>0</v>
      </c>
      <c r="H44" s="382">
        <v>1277</v>
      </c>
      <c r="I44" s="382">
        <v>0</v>
      </c>
      <c r="J44" s="382">
        <v>0</v>
      </c>
      <c r="K44" s="382">
        <v>440</v>
      </c>
      <c r="L44" s="382">
        <v>0</v>
      </c>
      <c r="M44" s="382">
        <v>0</v>
      </c>
      <c r="N44" s="382">
        <v>0</v>
      </c>
      <c r="O44" s="382">
        <v>0</v>
      </c>
      <c r="P44" s="382">
        <v>0</v>
      </c>
      <c r="Q44" s="382">
        <v>0</v>
      </c>
      <c r="R44" s="382">
        <v>0</v>
      </c>
      <c r="S44" s="382">
        <v>0</v>
      </c>
      <c r="T44" s="382">
        <v>0</v>
      </c>
      <c r="U44" s="382">
        <v>0</v>
      </c>
      <c r="V44" s="382">
        <v>0</v>
      </c>
      <c r="W44" s="382">
        <v>0</v>
      </c>
      <c r="X44" s="382">
        <v>0</v>
      </c>
      <c r="Y44" s="382">
        <v>0</v>
      </c>
      <c r="Z44" s="382">
        <v>0</v>
      </c>
      <c r="AA44" s="382">
        <v>0</v>
      </c>
      <c r="AB44" s="382">
        <v>0</v>
      </c>
      <c r="AC44" s="382">
        <v>0</v>
      </c>
      <c r="AD44" s="382">
        <v>0</v>
      </c>
      <c r="AE44" s="382">
        <v>0</v>
      </c>
      <c r="AF44" s="382">
        <v>0</v>
      </c>
      <c r="AG44" s="382">
        <v>0</v>
      </c>
      <c r="AH44" s="382">
        <v>14</v>
      </c>
      <c r="AI44" s="382">
        <v>0</v>
      </c>
      <c r="AJ44" s="382">
        <v>0</v>
      </c>
      <c r="AK44" s="382">
        <v>0</v>
      </c>
      <c r="AL44" s="382">
        <v>0</v>
      </c>
      <c r="AM44" s="382">
        <v>0</v>
      </c>
      <c r="AN44" s="382">
        <v>0</v>
      </c>
    </row>
    <row r="45" spans="3:40" x14ac:dyDescent="0.3">
      <c r="C45" s="382">
        <v>7</v>
      </c>
      <c r="D45" s="382">
        <v>5</v>
      </c>
      <c r="E45" s="382">
        <v>5</v>
      </c>
      <c r="F45" s="382">
        <v>104</v>
      </c>
      <c r="G45" s="382">
        <v>104</v>
      </c>
      <c r="H45" s="382">
        <v>0</v>
      </c>
      <c r="I45" s="382">
        <v>0</v>
      </c>
      <c r="J45" s="382">
        <v>0</v>
      </c>
      <c r="K45" s="382">
        <v>0</v>
      </c>
      <c r="L45" s="382">
        <v>0</v>
      </c>
      <c r="M45" s="382">
        <v>0</v>
      </c>
      <c r="N45" s="382">
        <v>0</v>
      </c>
      <c r="O45" s="382">
        <v>0</v>
      </c>
      <c r="P45" s="382">
        <v>0</v>
      </c>
      <c r="Q45" s="382">
        <v>0</v>
      </c>
      <c r="R45" s="382">
        <v>0</v>
      </c>
      <c r="S45" s="382">
        <v>0</v>
      </c>
      <c r="T45" s="382">
        <v>0</v>
      </c>
      <c r="U45" s="382">
        <v>0</v>
      </c>
      <c r="V45" s="382">
        <v>0</v>
      </c>
      <c r="W45" s="382">
        <v>0</v>
      </c>
      <c r="X45" s="382">
        <v>0</v>
      </c>
      <c r="Y45" s="382">
        <v>0</v>
      </c>
      <c r="Z45" s="382">
        <v>0</v>
      </c>
      <c r="AA45" s="382">
        <v>0</v>
      </c>
      <c r="AB45" s="382">
        <v>0</v>
      </c>
      <c r="AC45" s="382">
        <v>0</v>
      </c>
      <c r="AD45" s="382">
        <v>0</v>
      </c>
      <c r="AE45" s="382">
        <v>0</v>
      </c>
      <c r="AF45" s="382">
        <v>0</v>
      </c>
      <c r="AG45" s="382">
        <v>0</v>
      </c>
      <c r="AH45" s="382">
        <v>0</v>
      </c>
      <c r="AI45" s="382">
        <v>0</v>
      </c>
      <c r="AJ45" s="382">
        <v>0</v>
      </c>
      <c r="AK45" s="382">
        <v>0</v>
      </c>
      <c r="AL45" s="382">
        <v>0</v>
      </c>
      <c r="AM45" s="382">
        <v>0</v>
      </c>
      <c r="AN45" s="382">
        <v>0</v>
      </c>
    </row>
    <row r="46" spans="3:40" x14ac:dyDescent="0.3">
      <c r="C46" s="382">
        <v>7</v>
      </c>
      <c r="D46" s="382">
        <v>5</v>
      </c>
      <c r="E46" s="382">
        <v>6</v>
      </c>
      <c r="F46" s="382">
        <v>6345039</v>
      </c>
      <c r="G46" s="382">
        <v>30600</v>
      </c>
      <c r="H46" s="382">
        <v>3500070</v>
      </c>
      <c r="I46" s="382">
        <v>0</v>
      </c>
      <c r="J46" s="382">
        <v>0</v>
      </c>
      <c r="K46" s="382">
        <v>2550359</v>
      </c>
      <c r="L46" s="382">
        <v>0</v>
      </c>
      <c r="M46" s="382">
        <v>0</v>
      </c>
      <c r="N46" s="382">
        <v>0</v>
      </c>
      <c r="O46" s="382">
        <v>0</v>
      </c>
      <c r="P46" s="382">
        <v>0</v>
      </c>
      <c r="Q46" s="382">
        <v>0</v>
      </c>
      <c r="R46" s="382">
        <v>0</v>
      </c>
      <c r="S46" s="382">
        <v>0</v>
      </c>
      <c r="T46" s="382">
        <v>0</v>
      </c>
      <c r="U46" s="382">
        <v>0</v>
      </c>
      <c r="V46" s="382">
        <v>0</v>
      </c>
      <c r="W46" s="382">
        <v>0</v>
      </c>
      <c r="X46" s="382">
        <v>0</v>
      </c>
      <c r="Y46" s="382">
        <v>0</v>
      </c>
      <c r="Z46" s="382">
        <v>0</v>
      </c>
      <c r="AA46" s="382">
        <v>0</v>
      </c>
      <c r="AB46" s="382">
        <v>0</v>
      </c>
      <c r="AC46" s="382">
        <v>0</v>
      </c>
      <c r="AD46" s="382">
        <v>0</v>
      </c>
      <c r="AE46" s="382">
        <v>0</v>
      </c>
      <c r="AF46" s="382">
        <v>0</v>
      </c>
      <c r="AG46" s="382">
        <v>0</v>
      </c>
      <c r="AH46" s="382">
        <v>221251</v>
      </c>
      <c r="AI46" s="382">
        <v>0</v>
      </c>
      <c r="AJ46" s="382">
        <v>0</v>
      </c>
      <c r="AK46" s="382">
        <v>0</v>
      </c>
      <c r="AL46" s="382">
        <v>0</v>
      </c>
      <c r="AM46" s="382">
        <v>42759</v>
      </c>
      <c r="AN46" s="382">
        <v>0</v>
      </c>
    </row>
    <row r="47" spans="3:40" x14ac:dyDescent="0.3">
      <c r="C47" s="382">
        <v>7</v>
      </c>
      <c r="D47" s="382">
        <v>5</v>
      </c>
      <c r="E47" s="382">
        <v>9</v>
      </c>
      <c r="F47" s="382">
        <v>41763</v>
      </c>
      <c r="G47" s="382">
        <v>0</v>
      </c>
      <c r="H47" s="382">
        <v>0</v>
      </c>
      <c r="I47" s="382">
        <v>0</v>
      </c>
      <c r="J47" s="382">
        <v>0</v>
      </c>
      <c r="K47" s="382">
        <v>37763</v>
      </c>
      <c r="L47" s="382">
        <v>0</v>
      </c>
      <c r="M47" s="382">
        <v>0</v>
      </c>
      <c r="N47" s="382">
        <v>0</v>
      </c>
      <c r="O47" s="382">
        <v>0</v>
      </c>
      <c r="P47" s="382">
        <v>0</v>
      </c>
      <c r="Q47" s="382">
        <v>0</v>
      </c>
      <c r="R47" s="382">
        <v>0</v>
      </c>
      <c r="S47" s="382">
        <v>0</v>
      </c>
      <c r="T47" s="382">
        <v>0</v>
      </c>
      <c r="U47" s="382">
        <v>0</v>
      </c>
      <c r="V47" s="382">
        <v>0</v>
      </c>
      <c r="W47" s="382">
        <v>0</v>
      </c>
      <c r="X47" s="382">
        <v>0</v>
      </c>
      <c r="Y47" s="382">
        <v>0</v>
      </c>
      <c r="Z47" s="382">
        <v>0</v>
      </c>
      <c r="AA47" s="382">
        <v>0</v>
      </c>
      <c r="AB47" s="382">
        <v>0</v>
      </c>
      <c r="AC47" s="382">
        <v>0</v>
      </c>
      <c r="AD47" s="382">
        <v>0</v>
      </c>
      <c r="AE47" s="382">
        <v>0</v>
      </c>
      <c r="AF47" s="382">
        <v>0</v>
      </c>
      <c r="AG47" s="382">
        <v>0</v>
      </c>
      <c r="AH47" s="382">
        <v>4000</v>
      </c>
      <c r="AI47" s="382">
        <v>0</v>
      </c>
      <c r="AJ47" s="382">
        <v>0</v>
      </c>
      <c r="AK47" s="382">
        <v>0</v>
      </c>
      <c r="AL47" s="382">
        <v>0</v>
      </c>
      <c r="AM47" s="382">
        <v>0</v>
      </c>
      <c r="AN47" s="382">
        <v>0</v>
      </c>
    </row>
    <row r="48" spans="3:40" x14ac:dyDescent="0.3">
      <c r="C48" s="382">
        <v>7</v>
      </c>
      <c r="D48" s="382">
        <v>5</v>
      </c>
      <c r="E48" s="382">
        <v>10</v>
      </c>
      <c r="F48" s="382">
        <v>1900</v>
      </c>
      <c r="G48" s="382">
        <v>0</v>
      </c>
      <c r="H48" s="382">
        <v>1900</v>
      </c>
      <c r="I48" s="382">
        <v>0</v>
      </c>
      <c r="J48" s="382">
        <v>0</v>
      </c>
      <c r="K48" s="382">
        <v>0</v>
      </c>
      <c r="L48" s="382">
        <v>0</v>
      </c>
      <c r="M48" s="382">
        <v>0</v>
      </c>
      <c r="N48" s="382">
        <v>0</v>
      </c>
      <c r="O48" s="382">
        <v>0</v>
      </c>
      <c r="P48" s="382">
        <v>0</v>
      </c>
      <c r="Q48" s="382">
        <v>0</v>
      </c>
      <c r="R48" s="382">
        <v>0</v>
      </c>
      <c r="S48" s="382">
        <v>0</v>
      </c>
      <c r="T48" s="382">
        <v>0</v>
      </c>
      <c r="U48" s="382">
        <v>0</v>
      </c>
      <c r="V48" s="382">
        <v>0</v>
      </c>
      <c r="W48" s="382">
        <v>0</v>
      </c>
      <c r="X48" s="382">
        <v>0</v>
      </c>
      <c r="Y48" s="382">
        <v>0</v>
      </c>
      <c r="Z48" s="382">
        <v>0</v>
      </c>
      <c r="AA48" s="382">
        <v>0</v>
      </c>
      <c r="AB48" s="382">
        <v>0</v>
      </c>
      <c r="AC48" s="382">
        <v>0</v>
      </c>
      <c r="AD48" s="382">
        <v>0</v>
      </c>
      <c r="AE48" s="382">
        <v>0</v>
      </c>
      <c r="AF48" s="382">
        <v>0</v>
      </c>
      <c r="AG48" s="382">
        <v>0</v>
      </c>
      <c r="AH48" s="382">
        <v>0</v>
      </c>
      <c r="AI48" s="382">
        <v>0</v>
      </c>
      <c r="AJ48" s="382">
        <v>0</v>
      </c>
      <c r="AK48" s="382">
        <v>0</v>
      </c>
      <c r="AL48" s="382">
        <v>0</v>
      </c>
      <c r="AM48" s="382">
        <v>0</v>
      </c>
      <c r="AN48" s="382">
        <v>0</v>
      </c>
    </row>
    <row r="49" spans="3:40" x14ac:dyDescent="0.3">
      <c r="C49" s="382">
        <v>7</v>
      </c>
      <c r="D49" s="382">
        <v>5</v>
      </c>
      <c r="E49" s="382">
        <v>11</v>
      </c>
      <c r="F49" s="382">
        <v>24008.5</v>
      </c>
      <c r="G49" s="382">
        <v>0</v>
      </c>
      <c r="H49" s="382">
        <v>14841.833333333334</v>
      </c>
      <c r="I49" s="382">
        <v>0</v>
      </c>
      <c r="J49" s="382">
        <v>0</v>
      </c>
      <c r="K49" s="382">
        <v>9166.6666666666661</v>
      </c>
      <c r="L49" s="382">
        <v>0</v>
      </c>
      <c r="M49" s="382">
        <v>0</v>
      </c>
      <c r="N49" s="382">
        <v>0</v>
      </c>
      <c r="O49" s="382">
        <v>0</v>
      </c>
      <c r="P49" s="382">
        <v>0</v>
      </c>
      <c r="Q49" s="382">
        <v>0</v>
      </c>
      <c r="R49" s="382">
        <v>0</v>
      </c>
      <c r="S49" s="382">
        <v>0</v>
      </c>
      <c r="T49" s="382">
        <v>0</v>
      </c>
      <c r="U49" s="382">
        <v>0</v>
      </c>
      <c r="V49" s="382">
        <v>0</v>
      </c>
      <c r="W49" s="382">
        <v>0</v>
      </c>
      <c r="X49" s="382">
        <v>0</v>
      </c>
      <c r="Y49" s="382">
        <v>0</v>
      </c>
      <c r="Z49" s="382">
        <v>0</v>
      </c>
      <c r="AA49" s="382">
        <v>0</v>
      </c>
      <c r="AB49" s="382">
        <v>0</v>
      </c>
      <c r="AC49" s="382">
        <v>0</v>
      </c>
      <c r="AD49" s="382">
        <v>0</v>
      </c>
      <c r="AE49" s="382">
        <v>0</v>
      </c>
      <c r="AF49" s="382">
        <v>0</v>
      </c>
      <c r="AG49" s="382">
        <v>0</v>
      </c>
      <c r="AH49" s="382">
        <v>0</v>
      </c>
      <c r="AI49" s="382">
        <v>0</v>
      </c>
      <c r="AJ49" s="382">
        <v>0</v>
      </c>
      <c r="AK49" s="382">
        <v>0</v>
      </c>
      <c r="AL49" s="382">
        <v>0</v>
      </c>
      <c r="AM49" s="382">
        <v>0</v>
      </c>
      <c r="AN49" s="382">
        <v>0</v>
      </c>
    </row>
  </sheetData>
  <hyperlinks>
    <hyperlink ref="A2" location="Obsah!A1" display="Zpět na Obsah  KL 01  1.-4.měsíc"/>
  </hyperlinks>
  <pageMargins left="0.7" right="0.7" top="0.78740157499999996" bottom="0.78740157499999996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3">
    <tabColor theme="5" tint="0.39997558519241921"/>
    <pageSetUpPr fitToPage="1"/>
  </sheetPr>
  <dimension ref="A1:S9"/>
  <sheetViews>
    <sheetView showGridLines="0" showRowColHeaders="0" workbookViewId="0">
      <pane ySplit="5" topLeftCell="A6" activePane="bottomLeft" state="frozen"/>
      <selection activeCell="A2" sqref="A2:M2"/>
      <selection pane="bottomLeft" sqref="A1:S1"/>
    </sheetView>
  </sheetViews>
  <sheetFormatPr defaultRowHeight="14.4" customHeight="1" x14ac:dyDescent="0.3"/>
  <cols>
    <col min="1" max="1" width="46.6640625" style="257" bestFit="1" customWidth="1"/>
    <col min="2" max="2" width="7.77734375" style="222" customWidth="1"/>
    <col min="3" max="3" width="5.44140625" style="257" hidden="1" customWidth="1"/>
    <col min="4" max="4" width="7.77734375" style="222" customWidth="1"/>
    <col min="5" max="5" width="5.44140625" style="257" hidden="1" customWidth="1"/>
    <col min="6" max="6" width="7.77734375" style="222" customWidth="1"/>
    <col min="7" max="7" width="7.77734375" style="343" customWidth="1"/>
    <col min="8" max="8" width="7.77734375" style="222" customWidth="1"/>
    <col min="9" max="9" width="5.44140625" style="257" hidden="1" customWidth="1"/>
    <col min="10" max="10" width="7.77734375" style="222" customWidth="1"/>
    <col min="11" max="11" width="5.44140625" style="257" hidden="1" customWidth="1"/>
    <col min="12" max="12" width="7.77734375" style="222" customWidth="1"/>
    <col min="13" max="13" width="7.77734375" style="343" customWidth="1"/>
    <col min="14" max="14" width="7.77734375" style="222" customWidth="1"/>
    <col min="15" max="15" width="5" style="257" hidden="1" customWidth="1"/>
    <col min="16" max="16" width="7.77734375" style="222" customWidth="1"/>
    <col min="17" max="17" width="5" style="257" hidden="1" customWidth="1"/>
    <col min="18" max="18" width="7.77734375" style="222" customWidth="1"/>
    <col min="19" max="19" width="7.77734375" style="343" customWidth="1"/>
    <col min="20" max="16384" width="8.88671875" style="257"/>
  </cols>
  <sheetData>
    <row r="1" spans="1:19" ht="18.600000000000001" customHeight="1" thickBot="1" x14ac:dyDescent="0.4">
      <c r="A1" s="525" t="s">
        <v>4081</v>
      </c>
      <c r="B1" s="458"/>
      <c r="C1" s="458"/>
      <c r="D1" s="458"/>
      <c r="E1" s="458"/>
      <c r="F1" s="458"/>
      <c r="G1" s="458"/>
      <c r="H1" s="458"/>
      <c r="I1" s="458"/>
      <c r="J1" s="458"/>
      <c r="K1" s="458"/>
      <c r="L1" s="458"/>
      <c r="M1" s="458"/>
      <c r="N1" s="458"/>
      <c r="O1" s="458"/>
      <c r="P1" s="458"/>
      <c r="Q1" s="458"/>
      <c r="R1" s="458"/>
      <c r="S1" s="458"/>
    </row>
    <row r="2" spans="1:19" ht="14.4" customHeight="1" thickBot="1" x14ac:dyDescent="0.35">
      <c r="A2" s="386" t="s">
        <v>321</v>
      </c>
      <c r="B2" s="227"/>
      <c r="C2" s="227"/>
      <c r="D2" s="227"/>
      <c r="E2" s="227"/>
      <c r="F2" s="227"/>
      <c r="G2" s="227"/>
      <c r="H2" s="227"/>
      <c r="I2" s="227"/>
      <c r="J2" s="227"/>
      <c r="K2" s="227"/>
      <c r="L2" s="227"/>
      <c r="M2" s="227"/>
      <c r="N2" s="227"/>
      <c r="O2" s="227"/>
      <c r="P2" s="227"/>
      <c r="Q2" s="227"/>
      <c r="R2" s="227"/>
      <c r="S2" s="227"/>
    </row>
    <row r="3" spans="1:19" ht="14.4" customHeight="1" thickBot="1" x14ac:dyDescent="0.35">
      <c r="A3" s="353" t="s">
        <v>160</v>
      </c>
      <c r="B3" s="354">
        <f>SUBTOTAL(9,B6:B1048576)</f>
        <v>438181</v>
      </c>
      <c r="C3" s="355">
        <f t="shared" ref="C3:R3" si="0">SUBTOTAL(9,C6:C1048576)</f>
        <v>1</v>
      </c>
      <c r="D3" s="355">
        <f t="shared" si="0"/>
        <v>761414</v>
      </c>
      <c r="E3" s="355">
        <f t="shared" si="0"/>
        <v>1.7376700495913788</v>
      </c>
      <c r="F3" s="355">
        <f t="shared" si="0"/>
        <v>1682285</v>
      </c>
      <c r="G3" s="356">
        <f>IF(B3&lt;&gt;0,F3/B3,"")</f>
        <v>3.8392467952740992</v>
      </c>
      <c r="H3" s="357">
        <f t="shared" si="0"/>
        <v>13298.96</v>
      </c>
      <c r="I3" s="355">
        <f t="shared" si="0"/>
        <v>1</v>
      </c>
      <c r="J3" s="355">
        <f t="shared" si="0"/>
        <v>21418.469999999998</v>
      </c>
      <c r="K3" s="355">
        <f t="shared" si="0"/>
        <v>1.6105372149401156</v>
      </c>
      <c r="L3" s="355">
        <f t="shared" si="0"/>
        <v>31474.28</v>
      </c>
      <c r="M3" s="358">
        <f>IF(H3&lt;&gt;0,L3/H3,"")</f>
        <v>2.3666722811407812</v>
      </c>
      <c r="N3" s="354">
        <f t="shared" si="0"/>
        <v>0</v>
      </c>
      <c r="O3" s="355">
        <f t="shared" si="0"/>
        <v>0</v>
      </c>
      <c r="P3" s="355">
        <f t="shared" si="0"/>
        <v>0</v>
      </c>
      <c r="Q3" s="355">
        <f t="shared" si="0"/>
        <v>0</v>
      </c>
      <c r="R3" s="355">
        <f t="shared" si="0"/>
        <v>0</v>
      </c>
      <c r="S3" s="356" t="str">
        <f>IF(N3&lt;&gt;0,R3/N3,"")</f>
        <v/>
      </c>
    </row>
    <row r="4" spans="1:19" ht="14.4" customHeight="1" x14ac:dyDescent="0.3">
      <c r="A4" s="526" t="s">
        <v>123</v>
      </c>
      <c r="B4" s="527" t="s">
        <v>124</v>
      </c>
      <c r="C4" s="528"/>
      <c r="D4" s="528"/>
      <c r="E4" s="528"/>
      <c r="F4" s="528"/>
      <c r="G4" s="529"/>
      <c r="H4" s="527" t="s">
        <v>125</v>
      </c>
      <c r="I4" s="528"/>
      <c r="J4" s="528"/>
      <c r="K4" s="528"/>
      <c r="L4" s="528"/>
      <c r="M4" s="529"/>
      <c r="N4" s="527" t="s">
        <v>126</v>
      </c>
      <c r="O4" s="528"/>
      <c r="P4" s="528"/>
      <c r="Q4" s="528"/>
      <c r="R4" s="528"/>
      <c r="S4" s="529"/>
    </row>
    <row r="5" spans="1:19" ht="14.4" customHeight="1" thickBot="1" x14ac:dyDescent="0.35">
      <c r="A5" s="751"/>
      <c r="B5" s="752">
        <v>2012</v>
      </c>
      <c r="C5" s="753"/>
      <c r="D5" s="753">
        <v>2013</v>
      </c>
      <c r="E5" s="753"/>
      <c r="F5" s="753">
        <v>2014</v>
      </c>
      <c r="G5" s="754" t="s">
        <v>2</v>
      </c>
      <c r="H5" s="752">
        <v>2012</v>
      </c>
      <c r="I5" s="753"/>
      <c r="J5" s="753">
        <v>2013</v>
      </c>
      <c r="K5" s="753"/>
      <c r="L5" s="753">
        <v>2014</v>
      </c>
      <c r="M5" s="754" t="s">
        <v>2</v>
      </c>
      <c r="N5" s="752">
        <v>2012</v>
      </c>
      <c r="O5" s="753"/>
      <c r="P5" s="753">
        <v>2013</v>
      </c>
      <c r="Q5" s="753"/>
      <c r="R5" s="753">
        <v>2014</v>
      </c>
      <c r="S5" s="754" t="s">
        <v>2</v>
      </c>
    </row>
    <row r="6" spans="1:19" ht="14.4" customHeight="1" thickBot="1" x14ac:dyDescent="0.35">
      <c r="A6" s="759" t="s">
        <v>4077</v>
      </c>
      <c r="B6" s="755">
        <v>438181</v>
      </c>
      <c r="C6" s="756">
        <v>1</v>
      </c>
      <c r="D6" s="755">
        <v>761414</v>
      </c>
      <c r="E6" s="756">
        <v>1.7376700495913788</v>
      </c>
      <c r="F6" s="755">
        <v>1682285</v>
      </c>
      <c r="G6" s="757">
        <v>3.8392467952740992</v>
      </c>
      <c r="H6" s="755">
        <v>13298.96</v>
      </c>
      <c r="I6" s="756">
        <v>1</v>
      </c>
      <c r="J6" s="755">
        <v>21418.469999999998</v>
      </c>
      <c r="K6" s="756">
        <v>1.6105372149401156</v>
      </c>
      <c r="L6" s="755">
        <v>31474.28</v>
      </c>
      <c r="M6" s="757">
        <v>2.3666722811407812</v>
      </c>
      <c r="N6" s="755"/>
      <c r="O6" s="756"/>
      <c r="P6" s="755"/>
      <c r="Q6" s="756"/>
      <c r="R6" s="755"/>
      <c r="S6" s="758"/>
    </row>
    <row r="7" spans="1:19" ht="14.4" customHeight="1" x14ac:dyDescent="0.3">
      <c r="A7" s="760" t="s">
        <v>4078</v>
      </c>
    </row>
    <row r="8" spans="1:19" ht="14.4" customHeight="1" x14ac:dyDescent="0.3">
      <c r="A8" s="761" t="s">
        <v>4079</v>
      </c>
    </row>
    <row r="9" spans="1:19" ht="14.4" customHeight="1" x14ac:dyDescent="0.3">
      <c r="A9" s="760" t="s">
        <v>4080</v>
      </c>
    </row>
  </sheetData>
  <mergeCells count="5">
    <mergeCell ref="A1:S1"/>
    <mergeCell ref="A4:A5"/>
    <mergeCell ref="B4:G4"/>
    <mergeCell ref="H4:M4"/>
    <mergeCell ref="N4:S4"/>
  </mergeCells>
  <conditionalFormatting sqref="G4:G1048576">
    <cfRule type="cellIs" dxfId="18" priority="4" stopIfTrue="1" operator="lessThan">
      <formula>0.95</formula>
    </cfRule>
  </conditionalFormatting>
  <conditionalFormatting sqref="F6:F1048576">
    <cfRule type="dataBar" priority="3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{791987AB-EB4E-4323-988C-2CC9543F5F95}</x14:id>
        </ext>
      </extLst>
    </cfRule>
  </conditionalFormatting>
  <conditionalFormatting sqref="L6:L1048576">
    <cfRule type="dataBar" priority="2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{3D1704E4-2CF0-40FE-8B51-535F514AA804}</x14:id>
        </ext>
      </extLst>
    </cfRule>
  </conditionalFormatting>
  <conditionalFormatting sqref="R6:R1048576">
    <cfRule type="dataBar" priority="1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{DA7CE90D-FADD-456D-9A84-45478435DA52}</x14:id>
        </ext>
      </extLs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  <ignoredErrors>
    <ignoredError sqref="B3 D3 F3 H3 J3 L3 N3 P3 R3" formulaRange="1"/>
    <ignoredError sqref="G3 M3" formula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791987AB-EB4E-4323-988C-2CC9543F5F95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F6:F1048576</xm:sqref>
        </x14:conditionalFormatting>
        <x14:conditionalFormatting xmlns:xm="http://schemas.microsoft.com/office/excel/2006/main">
          <x14:cfRule type="dataBar" id="{3D1704E4-2CF0-40FE-8B51-535F514AA804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L6:L1048576</xm:sqref>
        </x14:conditionalFormatting>
        <x14:conditionalFormatting xmlns:xm="http://schemas.microsoft.com/office/excel/2006/main">
          <x14:cfRule type="dataBar" id="{DA7CE90D-FADD-456D-9A84-45478435DA52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R6:R1048576</xm:sqref>
        </x14:conditionalFormatting>
      </x14:conditionalFormattings>
    </ext>
  </extLst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">
    <tabColor theme="0" tint="-0.249977111117893"/>
    <pageSetUpPr fitToPage="1"/>
  </sheetPr>
  <dimension ref="A1:P70"/>
  <sheetViews>
    <sheetView showGridLines="0" showRowColHeaders="0" workbookViewId="0">
      <pane ySplit="5" topLeftCell="A6" activePane="bottomLeft" state="frozen"/>
      <selection activeCell="U26" sqref="U26"/>
      <selection pane="bottomLeft" sqref="A1:P1"/>
    </sheetView>
  </sheetViews>
  <sheetFormatPr defaultRowHeight="14.4" customHeight="1" x14ac:dyDescent="0.3"/>
  <cols>
    <col min="1" max="1" width="8.6640625" style="257" bestFit="1" customWidth="1"/>
    <col min="2" max="2" width="2.109375" style="257" bestFit="1" customWidth="1"/>
    <col min="3" max="3" width="8" style="257" bestFit="1" customWidth="1"/>
    <col min="4" max="4" width="50.88671875" style="257" bestFit="1" customWidth="1"/>
    <col min="5" max="6" width="11.109375" style="340" customWidth="1"/>
    <col min="7" max="8" width="9.33203125" style="257" hidden="1" customWidth="1"/>
    <col min="9" max="10" width="11.109375" style="340" customWidth="1"/>
    <col min="11" max="12" width="9.33203125" style="257" hidden="1" customWidth="1"/>
    <col min="13" max="14" width="11.109375" style="340" customWidth="1"/>
    <col min="15" max="15" width="11.109375" style="343" customWidth="1"/>
    <col min="16" max="16" width="11.109375" style="340" customWidth="1"/>
    <col min="17" max="16384" width="8.88671875" style="257"/>
  </cols>
  <sheetData>
    <row r="1" spans="1:16" ht="18.600000000000001" customHeight="1" thickBot="1" x14ac:dyDescent="0.4">
      <c r="A1" s="458" t="s">
        <v>4199</v>
      </c>
      <c r="B1" s="458"/>
      <c r="C1" s="458"/>
      <c r="D1" s="458"/>
      <c r="E1" s="458"/>
      <c r="F1" s="458"/>
      <c r="G1" s="458"/>
      <c r="H1" s="458"/>
      <c r="I1" s="458"/>
      <c r="J1" s="458"/>
      <c r="K1" s="458"/>
      <c r="L1" s="458"/>
      <c r="M1" s="458"/>
      <c r="N1" s="458"/>
      <c r="O1" s="458"/>
      <c r="P1" s="458"/>
    </row>
    <row r="2" spans="1:16" ht="14.4" customHeight="1" thickBot="1" x14ac:dyDescent="0.35">
      <c r="A2" s="386" t="s">
        <v>321</v>
      </c>
      <c r="B2" s="258"/>
      <c r="C2" s="258"/>
      <c r="D2" s="258"/>
      <c r="E2" s="361"/>
      <c r="F2" s="361"/>
      <c r="G2" s="258"/>
      <c r="H2" s="258"/>
      <c r="I2" s="361"/>
      <c r="J2" s="361"/>
      <c r="K2" s="258"/>
      <c r="L2" s="258"/>
      <c r="M2" s="361"/>
      <c r="N2" s="361"/>
      <c r="O2" s="362"/>
      <c r="P2" s="361"/>
    </row>
    <row r="3" spans="1:16" ht="14.4" customHeight="1" thickBot="1" x14ac:dyDescent="0.35">
      <c r="D3" s="112" t="s">
        <v>160</v>
      </c>
      <c r="E3" s="214">
        <f t="shared" ref="E3:N3" si="0">SUBTOTAL(9,E6:E1048576)</f>
        <v>4377</v>
      </c>
      <c r="F3" s="215">
        <f t="shared" si="0"/>
        <v>451479.95999999996</v>
      </c>
      <c r="G3" s="78"/>
      <c r="H3" s="78"/>
      <c r="I3" s="215">
        <f t="shared" si="0"/>
        <v>6198.5</v>
      </c>
      <c r="J3" s="215">
        <f t="shared" si="0"/>
        <v>782832.47</v>
      </c>
      <c r="K3" s="78"/>
      <c r="L3" s="78"/>
      <c r="M3" s="215">
        <f t="shared" si="0"/>
        <v>10619.92</v>
      </c>
      <c r="N3" s="215">
        <f t="shared" si="0"/>
        <v>1713759.28</v>
      </c>
      <c r="O3" s="79">
        <f>IF(F3=0,0,N3/F3)</f>
        <v>3.7958700979773279</v>
      </c>
      <c r="P3" s="216">
        <f>IF(M3=0,0,N3/M3)</f>
        <v>161.3721459295362</v>
      </c>
    </row>
    <row r="4" spans="1:16" ht="14.4" customHeight="1" x14ac:dyDescent="0.3">
      <c r="A4" s="531" t="s">
        <v>119</v>
      </c>
      <c r="B4" s="532" t="s">
        <v>120</v>
      </c>
      <c r="C4" s="533" t="s">
        <v>121</v>
      </c>
      <c r="D4" s="534" t="s">
        <v>81</v>
      </c>
      <c r="E4" s="535">
        <v>2012</v>
      </c>
      <c r="F4" s="536"/>
      <c r="G4" s="213"/>
      <c r="H4" s="213"/>
      <c r="I4" s="535">
        <v>2013</v>
      </c>
      <c r="J4" s="536"/>
      <c r="K4" s="213"/>
      <c r="L4" s="213"/>
      <c r="M4" s="535">
        <v>2014</v>
      </c>
      <c r="N4" s="536"/>
      <c r="O4" s="537" t="s">
        <v>2</v>
      </c>
      <c r="P4" s="530" t="s">
        <v>122</v>
      </c>
    </row>
    <row r="5" spans="1:16" ht="14.4" customHeight="1" thickBot="1" x14ac:dyDescent="0.35">
      <c r="A5" s="762"/>
      <c r="B5" s="763"/>
      <c r="C5" s="764"/>
      <c r="D5" s="765"/>
      <c r="E5" s="766" t="s">
        <v>91</v>
      </c>
      <c r="F5" s="767" t="s">
        <v>14</v>
      </c>
      <c r="G5" s="768"/>
      <c r="H5" s="768"/>
      <c r="I5" s="766" t="s">
        <v>91</v>
      </c>
      <c r="J5" s="767" t="s">
        <v>14</v>
      </c>
      <c r="K5" s="768"/>
      <c r="L5" s="768"/>
      <c r="M5" s="766" t="s">
        <v>91</v>
      </c>
      <c r="N5" s="767" t="s">
        <v>14</v>
      </c>
      <c r="O5" s="769"/>
      <c r="P5" s="770"/>
    </row>
    <row r="6" spans="1:16" ht="14.4" customHeight="1" x14ac:dyDescent="0.3">
      <c r="A6" s="624" t="s">
        <v>4082</v>
      </c>
      <c r="B6" s="625" t="s">
        <v>4083</v>
      </c>
      <c r="C6" s="625" t="s">
        <v>4084</v>
      </c>
      <c r="D6" s="625" t="s">
        <v>4085</v>
      </c>
      <c r="E6" s="628"/>
      <c r="F6" s="628"/>
      <c r="G6" s="625"/>
      <c r="H6" s="625"/>
      <c r="I6" s="628"/>
      <c r="J6" s="628"/>
      <c r="K6" s="625"/>
      <c r="L6" s="625"/>
      <c r="M6" s="628">
        <v>1</v>
      </c>
      <c r="N6" s="628">
        <v>56.55</v>
      </c>
      <c r="O6" s="646"/>
      <c r="P6" s="629">
        <v>56.55</v>
      </c>
    </row>
    <row r="7" spans="1:16" ht="14.4" customHeight="1" x14ac:dyDescent="0.3">
      <c r="A7" s="695" t="s">
        <v>4082</v>
      </c>
      <c r="B7" s="696" t="s">
        <v>4083</v>
      </c>
      <c r="C7" s="696" t="s">
        <v>4086</v>
      </c>
      <c r="D7" s="696" t="s">
        <v>4087</v>
      </c>
      <c r="E7" s="711"/>
      <c r="F7" s="711"/>
      <c r="G7" s="696"/>
      <c r="H7" s="696"/>
      <c r="I7" s="711">
        <v>0.1</v>
      </c>
      <c r="J7" s="711">
        <v>15.79</v>
      </c>
      <c r="K7" s="696"/>
      <c r="L7" s="696">
        <v>157.89999999999998</v>
      </c>
      <c r="M7" s="711">
        <v>4.0999999999999996</v>
      </c>
      <c r="N7" s="711">
        <v>647.45000000000005</v>
      </c>
      <c r="O7" s="701"/>
      <c r="P7" s="712">
        <v>157.91463414634148</v>
      </c>
    </row>
    <row r="8" spans="1:16" ht="14.4" customHeight="1" x14ac:dyDescent="0.3">
      <c r="A8" s="695" t="s">
        <v>4082</v>
      </c>
      <c r="B8" s="696" t="s">
        <v>4083</v>
      </c>
      <c r="C8" s="696" t="s">
        <v>4088</v>
      </c>
      <c r="D8" s="696" t="s">
        <v>4089</v>
      </c>
      <c r="E8" s="711"/>
      <c r="F8" s="711"/>
      <c r="G8" s="696"/>
      <c r="H8" s="696"/>
      <c r="I8" s="711">
        <v>8.4</v>
      </c>
      <c r="J8" s="711">
        <v>2226.8399999999997</v>
      </c>
      <c r="K8" s="696"/>
      <c r="L8" s="696">
        <v>265.09999999999997</v>
      </c>
      <c r="M8" s="711">
        <v>18</v>
      </c>
      <c r="N8" s="711">
        <v>4771.7999999999993</v>
      </c>
      <c r="O8" s="701"/>
      <c r="P8" s="712">
        <v>265.09999999999997</v>
      </c>
    </row>
    <row r="9" spans="1:16" ht="14.4" customHeight="1" x14ac:dyDescent="0.3">
      <c r="A9" s="695" t="s">
        <v>4082</v>
      </c>
      <c r="B9" s="696" t="s">
        <v>4083</v>
      </c>
      <c r="C9" s="696" t="s">
        <v>4090</v>
      </c>
      <c r="D9" s="696" t="s">
        <v>4091</v>
      </c>
      <c r="E9" s="711"/>
      <c r="F9" s="711"/>
      <c r="G9" s="696"/>
      <c r="H9" s="696"/>
      <c r="I9" s="711"/>
      <c r="J9" s="711"/>
      <c r="K9" s="696"/>
      <c r="L9" s="696"/>
      <c r="M9" s="711">
        <v>0.1</v>
      </c>
      <c r="N9" s="711">
        <v>10.54</v>
      </c>
      <c r="O9" s="701"/>
      <c r="P9" s="712">
        <v>105.39999999999999</v>
      </c>
    </row>
    <row r="10" spans="1:16" ht="14.4" customHeight="1" x14ac:dyDescent="0.3">
      <c r="A10" s="695" t="s">
        <v>4082</v>
      </c>
      <c r="B10" s="696" t="s">
        <v>4083</v>
      </c>
      <c r="C10" s="696" t="s">
        <v>4092</v>
      </c>
      <c r="D10" s="696" t="s">
        <v>2063</v>
      </c>
      <c r="E10" s="711"/>
      <c r="F10" s="711"/>
      <c r="G10" s="696"/>
      <c r="H10" s="696"/>
      <c r="I10" s="711"/>
      <c r="J10" s="711"/>
      <c r="K10" s="696"/>
      <c r="L10" s="696"/>
      <c r="M10" s="711">
        <v>5</v>
      </c>
      <c r="N10" s="711">
        <v>68.349999999999994</v>
      </c>
      <c r="O10" s="701"/>
      <c r="P10" s="712">
        <v>13.669999999999998</v>
      </c>
    </row>
    <row r="11" spans="1:16" ht="14.4" customHeight="1" x14ac:dyDescent="0.3">
      <c r="A11" s="695" t="s">
        <v>4082</v>
      </c>
      <c r="B11" s="696" t="s">
        <v>4083</v>
      </c>
      <c r="C11" s="696" t="s">
        <v>4093</v>
      </c>
      <c r="D11" s="696" t="s">
        <v>4094</v>
      </c>
      <c r="E11" s="711"/>
      <c r="F11" s="711"/>
      <c r="G11" s="696"/>
      <c r="H11" s="696"/>
      <c r="I11" s="711"/>
      <c r="J11" s="711"/>
      <c r="K11" s="696"/>
      <c r="L11" s="696"/>
      <c r="M11" s="711">
        <v>0.5</v>
      </c>
      <c r="N11" s="711">
        <v>55.3</v>
      </c>
      <c r="O11" s="701"/>
      <c r="P11" s="712">
        <v>110.6</v>
      </c>
    </row>
    <row r="12" spans="1:16" ht="14.4" customHeight="1" x14ac:dyDescent="0.3">
      <c r="A12" s="695" t="s">
        <v>4082</v>
      </c>
      <c r="B12" s="696" t="s">
        <v>4083</v>
      </c>
      <c r="C12" s="696" t="s">
        <v>4095</v>
      </c>
      <c r="D12" s="696" t="s">
        <v>1111</v>
      </c>
      <c r="E12" s="711"/>
      <c r="F12" s="711"/>
      <c r="G12" s="696"/>
      <c r="H12" s="696"/>
      <c r="I12" s="711"/>
      <c r="J12" s="711"/>
      <c r="K12" s="696"/>
      <c r="L12" s="696"/>
      <c r="M12" s="711">
        <v>0.1</v>
      </c>
      <c r="N12" s="711">
        <v>7.8100000000000005</v>
      </c>
      <c r="O12" s="701"/>
      <c r="P12" s="712">
        <v>78.099999999999994</v>
      </c>
    </row>
    <row r="13" spans="1:16" ht="14.4" customHeight="1" x14ac:dyDescent="0.3">
      <c r="A13" s="695" t="s">
        <v>4082</v>
      </c>
      <c r="B13" s="696" t="s">
        <v>4083</v>
      </c>
      <c r="C13" s="696" t="s">
        <v>4096</v>
      </c>
      <c r="D13" s="696" t="s">
        <v>1312</v>
      </c>
      <c r="E13" s="711"/>
      <c r="F13" s="711"/>
      <c r="G13" s="696"/>
      <c r="H13" s="696"/>
      <c r="I13" s="711"/>
      <c r="J13" s="711"/>
      <c r="K13" s="696"/>
      <c r="L13" s="696"/>
      <c r="M13" s="711">
        <v>1.6</v>
      </c>
      <c r="N13" s="711">
        <v>986.16000000000008</v>
      </c>
      <c r="O13" s="701"/>
      <c r="P13" s="712">
        <v>616.35</v>
      </c>
    </row>
    <row r="14" spans="1:16" ht="14.4" customHeight="1" x14ac:dyDescent="0.3">
      <c r="A14" s="695" t="s">
        <v>4082</v>
      </c>
      <c r="B14" s="696" t="s">
        <v>4083</v>
      </c>
      <c r="C14" s="696" t="s">
        <v>4097</v>
      </c>
      <c r="D14" s="696" t="s">
        <v>4098</v>
      </c>
      <c r="E14" s="711"/>
      <c r="F14" s="711"/>
      <c r="G14" s="696"/>
      <c r="H14" s="696"/>
      <c r="I14" s="711"/>
      <c r="J14" s="711"/>
      <c r="K14" s="696"/>
      <c r="L14" s="696"/>
      <c r="M14" s="711">
        <v>6</v>
      </c>
      <c r="N14" s="711">
        <v>105.84</v>
      </c>
      <c r="O14" s="701"/>
      <c r="P14" s="712">
        <v>17.64</v>
      </c>
    </row>
    <row r="15" spans="1:16" ht="14.4" customHeight="1" x14ac:dyDescent="0.3">
      <c r="A15" s="695" t="s">
        <v>4082</v>
      </c>
      <c r="B15" s="696" t="s">
        <v>4083</v>
      </c>
      <c r="C15" s="696" t="s">
        <v>4099</v>
      </c>
      <c r="D15" s="696" t="s">
        <v>588</v>
      </c>
      <c r="E15" s="711"/>
      <c r="F15" s="711"/>
      <c r="G15" s="696"/>
      <c r="H15" s="696"/>
      <c r="I15" s="711"/>
      <c r="J15" s="711"/>
      <c r="K15" s="696"/>
      <c r="L15" s="696"/>
      <c r="M15" s="711">
        <v>0.12</v>
      </c>
      <c r="N15" s="711">
        <v>37.4</v>
      </c>
      <c r="O15" s="701"/>
      <c r="P15" s="712">
        <v>311.66666666666669</v>
      </c>
    </row>
    <row r="16" spans="1:16" ht="14.4" customHeight="1" x14ac:dyDescent="0.3">
      <c r="A16" s="695" t="s">
        <v>4082</v>
      </c>
      <c r="B16" s="696" t="s">
        <v>4083</v>
      </c>
      <c r="C16" s="696" t="s">
        <v>4100</v>
      </c>
      <c r="D16" s="696" t="s">
        <v>588</v>
      </c>
      <c r="E16" s="711"/>
      <c r="F16" s="711"/>
      <c r="G16" s="696"/>
      <c r="H16" s="696"/>
      <c r="I16" s="711"/>
      <c r="J16" s="711"/>
      <c r="K16" s="696"/>
      <c r="L16" s="696"/>
      <c r="M16" s="711">
        <v>4.8</v>
      </c>
      <c r="N16" s="711">
        <v>1814.54</v>
      </c>
      <c r="O16" s="701"/>
      <c r="P16" s="712">
        <v>378.0291666666667</v>
      </c>
    </row>
    <row r="17" spans="1:16" ht="14.4" customHeight="1" x14ac:dyDescent="0.3">
      <c r="A17" s="695" t="s">
        <v>4082</v>
      </c>
      <c r="B17" s="696" t="s">
        <v>4083</v>
      </c>
      <c r="C17" s="696" t="s">
        <v>4101</v>
      </c>
      <c r="D17" s="696" t="s">
        <v>2111</v>
      </c>
      <c r="E17" s="711"/>
      <c r="F17" s="711"/>
      <c r="G17" s="696"/>
      <c r="H17" s="696"/>
      <c r="I17" s="711"/>
      <c r="J17" s="711"/>
      <c r="K17" s="696"/>
      <c r="L17" s="696"/>
      <c r="M17" s="711">
        <v>1.1000000000000001</v>
      </c>
      <c r="N17" s="711">
        <v>43.120000000000005</v>
      </c>
      <c r="O17" s="701"/>
      <c r="P17" s="712">
        <v>39.200000000000003</v>
      </c>
    </row>
    <row r="18" spans="1:16" ht="14.4" customHeight="1" x14ac:dyDescent="0.3">
      <c r="A18" s="695" t="s">
        <v>4082</v>
      </c>
      <c r="B18" s="696" t="s">
        <v>4083</v>
      </c>
      <c r="C18" s="696" t="s">
        <v>4102</v>
      </c>
      <c r="D18" s="696" t="s">
        <v>1875</v>
      </c>
      <c r="E18" s="711"/>
      <c r="F18" s="711"/>
      <c r="G18" s="696"/>
      <c r="H18" s="696"/>
      <c r="I18" s="711"/>
      <c r="J18" s="711"/>
      <c r="K18" s="696"/>
      <c r="L18" s="696"/>
      <c r="M18" s="711">
        <v>0.5</v>
      </c>
      <c r="N18" s="711">
        <v>296.10000000000002</v>
      </c>
      <c r="O18" s="701"/>
      <c r="P18" s="712">
        <v>592.20000000000005</v>
      </c>
    </row>
    <row r="19" spans="1:16" ht="14.4" customHeight="1" x14ac:dyDescent="0.3">
      <c r="A19" s="695" t="s">
        <v>4082</v>
      </c>
      <c r="B19" s="696" t="s">
        <v>4103</v>
      </c>
      <c r="C19" s="696" t="s">
        <v>4104</v>
      </c>
      <c r="D19" s="696" t="s">
        <v>4105</v>
      </c>
      <c r="E19" s="711">
        <v>1</v>
      </c>
      <c r="F19" s="711">
        <v>242.64</v>
      </c>
      <c r="G19" s="696">
        <v>1</v>
      </c>
      <c r="H19" s="696">
        <v>242.64</v>
      </c>
      <c r="I19" s="711"/>
      <c r="J19" s="711"/>
      <c r="K19" s="696"/>
      <c r="L19" s="696"/>
      <c r="M19" s="711">
        <v>9</v>
      </c>
      <c r="N19" s="711">
        <v>2183.7599999999998</v>
      </c>
      <c r="O19" s="701">
        <v>9</v>
      </c>
      <c r="P19" s="712">
        <v>242.64</v>
      </c>
    </row>
    <row r="20" spans="1:16" ht="14.4" customHeight="1" x14ac:dyDescent="0.3">
      <c r="A20" s="695" t="s">
        <v>4082</v>
      </c>
      <c r="B20" s="696" t="s">
        <v>4103</v>
      </c>
      <c r="C20" s="696" t="s">
        <v>4106</v>
      </c>
      <c r="D20" s="696" t="s">
        <v>4107</v>
      </c>
      <c r="E20" s="711">
        <v>13</v>
      </c>
      <c r="F20" s="711">
        <v>3154.3199999999997</v>
      </c>
      <c r="G20" s="696">
        <v>1</v>
      </c>
      <c r="H20" s="696">
        <v>242.64</v>
      </c>
      <c r="I20" s="711">
        <v>6</v>
      </c>
      <c r="J20" s="711">
        <v>1455.84</v>
      </c>
      <c r="K20" s="696">
        <v>0.46153846153846156</v>
      </c>
      <c r="L20" s="696">
        <v>242.64</v>
      </c>
      <c r="M20" s="711">
        <v>3</v>
      </c>
      <c r="N20" s="711">
        <v>727.92</v>
      </c>
      <c r="O20" s="701">
        <v>0.23076923076923078</v>
      </c>
      <c r="P20" s="712">
        <v>242.64</v>
      </c>
    </row>
    <row r="21" spans="1:16" ht="14.4" customHeight="1" x14ac:dyDescent="0.3">
      <c r="A21" s="695" t="s">
        <v>4082</v>
      </c>
      <c r="B21" s="696" t="s">
        <v>4103</v>
      </c>
      <c r="C21" s="696" t="s">
        <v>4108</v>
      </c>
      <c r="D21" s="696" t="s">
        <v>4109</v>
      </c>
      <c r="E21" s="711"/>
      <c r="F21" s="711"/>
      <c r="G21" s="696"/>
      <c r="H21" s="696"/>
      <c r="I21" s="711"/>
      <c r="J21" s="711"/>
      <c r="K21" s="696"/>
      <c r="L21" s="696"/>
      <c r="M21" s="711">
        <v>1</v>
      </c>
      <c r="N21" s="711">
        <v>242.64</v>
      </c>
      <c r="O21" s="701"/>
      <c r="P21" s="712">
        <v>242.64</v>
      </c>
    </row>
    <row r="22" spans="1:16" ht="14.4" customHeight="1" x14ac:dyDescent="0.3">
      <c r="A22" s="695" t="s">
        <v>4082</v>
      </c>
      <c r="B22" s="696" t="s">
        <v>4103</v>
      </c>
      <c r="C22" s="696" t="s">
        <v>4110</v>
      </c>
      <c r="D22" s="696" t="s">
        <v>4111</v>
      </c>
      <c r="E22" s="711">
        <v>3</v>
      </c>
      <c r="F22" s="711">
        <v>1167</v>
      </c>
      <c r="G22" s="696">
        <v>1</v>
      </c>
      <c r="H22" s="696">
        <v>389</v>
      </c>
      <c r="I22" s="711">
        <v>4</v>
      </c>
      <c r="J22" s="711">
        <v>1556</v>
      </c>
      <c r="K22" s="696">
        <v>1.3333333333333333</v>
      </c>
      <c r="L22" s="696">
        <v>389</v>
      </c>
      <c r="M22" s="711"/>
      <c r="N22" s="711"/>
      <c r="O22" s="701"/>
      <c r="P22" s="712"/>
    </row>
    <row r="23" spans="1:16" ht="14.4" customHeight="1" x14ac:dyDescent="0.3">
      <c r="A23" s="695" t="s">
        <v>4082</v>
      </c>
      <c r="B23" s="696" t="s">
        <v>4103</v>
      </c>
      <c r="C23" s="696" t="s">
        <v>4112</v>
      </c>
      <c r="D23" s="696" t="s">
        <v>4111</v>
      </c>
      <c r="E23" s="711">
        <v>15</v>
      </c>
      <c r="F23" s="711">
        <v>6735</v>
      </c>
      <c r="G23" s="696">
        <v>1</v>
      </c>
      <c r="H23" s="696">
        <v>449</v>
      </c>
      <c r="I23" s="711">
        <v>36</v>
      </c>
      <c r="J23" s="711">
        <v>16164</v>
      </c>
      <c r="K23" s="696">
        <v>2.4</v>
      </c>
      <c r="L23" s="696">
        <v>449</v>
      </c>
      <c r="M23" s="711">
        <v>31</v>
      </c>
      <c r="N23" s="711">
        <v>13919</v>
      </c>
      <c r="O23" s="701">
        <v>2.0666666666666669</v>
      </c>
      <c r="P23" s="712">
        <v>449</v>
      </c>
    </row>
    <row r="24" spans="1:16" ht="14.4" customHeight="1" x14ac:dyDescent="0.3">
      <c r="A24" s="695" t="s">
        <v>4082</v>
      </c>
      <c r="B24" s="696" t="s">
        <v>4103</v>
      </c>
      <c r="C24" s="696" t="s">
        <v>4113</v>
      </c>
      <c r="D24" s="696" t="s">
        <v>4111</v>
      </c>
      <c r="E24" s="711">
        <v>4</v>
      </c>
      <c r="F24" s="711">
        <v>2000</v>
      </c>
      <c r="G24" s="696">
        <v>1</v>
      </c>
      <c r="H24" s="696">
        <v>500</v>
      </c>
      <c r="I24" s="711"/>
      <c r="J24" s="711"/>
      <c r="K24" s="696"/>
      <c r="L24" s="696"/>
      <c r="M24" s="711">
        <v>11</v>
      </c>
      <c r="N24" s="711">
        <v>5500</v>
      </c>
      <c r="O24" s="701">
        <v>2.75</v>
      </c>
      <c r="P24" s="712">
        <v>500</v>
      </c>
    </row>
    <row r="25" spans="1:16" ht="14.4" customHeight="1" x14ac:dyDescent="0.3">
      <c r="A25" s="695" t="s">
        <v>4082</v>
      </c>
      <c r="B25" s="696" t="s">
        <v>4114</v>
      </c>
      <c r="C25" s="696" t="s">
        <v>4115</v>
      </c>
      <c r="D25" s="696" t="s">
        <v>4116</v>
      </c>
      <c r="E25" s="711">
        <v>21</v>
      </c>
      <c r="F25" s="711">
        <v>1512</v>
      </c>
      <c r="G25" s="696">
        <v>1</v>
      </c>
      <c r="H25" s="696">
        <v>72</v>
      </c>
      <c r="I25" s="711">
        <v>34</v>
      </c>
      <c r="J25" s="711">
        <v>2482</v>
      </c>
      <c r="K25" s="696">
        <v>1.6415343915343916</v>
      </c>
      <c r="L25" s="696">
        <v>73</v>
      </c>
      <c r="M25" s="711">
        <v>12</v>
      </c>
      <c r="N25" s="711">
        <v>879</v>
      </c>
      <c r="O25" s="701">
        <v>0.58134920634920639</v>
      </c>
      <c r="P25" s="712">
        <v>73.25</v>
      </c>
    </row>
    <row r="26" spans="1:16" ht="14.4" customHeight="1" x14ac:dyDescent="0.3">
      <c r="A26" s="695" t="s">
        <v>4082</v>
      </c>
      <c r="B26" s="696" t="s">
        <v>4114</v>
      </c>
      <c r="C26" s="696" t="s">
        <v>4117</v>
      </c>
      <c r="D26" s="696" t="s">
        <v>4118</v>
      </c>
      <c r="E26" s="711"/>
      <c r="F26" s="711"/>
      <c r="G26" s="696"/>
      <c r="H26" s="696"/>
      <c r="I26" s="711">
        <v>10</v>
      </c>
      <c r="J26" s="711">
        <v>1560</v>
      </c>
      <c r="K26" s="696"/>
      <c r="L26" s="696">
        <v>156</v>
      </c>
      <c r="M26" s="711">
        <v>93</v>
      </c>
      <c r="N26" s="711">
        <v>13767</v>
      </c>
      <c r="O26" s="701"/>
      <c r="P26" s="712">
        <v>148.03225806451613</v>
      </c>
    </row>
    <row r="27" spans="1:16" ht="14.4" customHeight="1" x14ac:dyDescent="0.3">
      <c r="A27" s="695" t="s">
        <v>4082</v>
      </c>
      <c r="B27" s="696" t="s">
        <v>4114</v>
      </c>
      <c r="C27" s="696" t="s">
        <v>4119</v>
      </c>
      <c r="D27" s="696" t="s">
        <v>4120</v>
      </c>
      <c r="E27" s="711">
        <v>271</v>
      </c>
      <c r="F27" s="711">
        <v>9214</v>
      </c>
      <c r="G27" s="696">
        <v>1</v>
      </c>
      <c r="H27" s="696">
        <v>34</v>
      </c>
      <c r="I27" s="711">
        <v>200</v>
      </c>
      <c r="J27" s="711">
        <v>6800</v>
      </c>
      <c r="K27" s="696">
        <v>0.73800738007380073</v>
      </c>
      <c r="L27" s="696">
        <v>34</v>
      </c>
      <c r="M27" s="711">
        <v>275</v>
      </c>
      <c r="N27" s="711">
        <v>9467</v>
      </c>
      <c r="O27" s="701">
        <v>1.0274582157586283</v>
      </c>
      <c r="P27" s="712">
        <v>34.425454545454542</v>
      </c>
    </row>
    <row r="28" spans="1:16" ht="14.4" customHeight="1" x14ac:dyDescent="0.3">
      <c r="A28" s="695" t="s">
        <v>4082</v>
      </c>
      <c r="B28" s="696" t="s">
        <v>4114</v>
      </c>
      <c r="C28" s="696" t="s">
        <v>4121</v>
      </c>
      <c r="D28" s="696" t="s">
        <v>4122</v>
      </c>
      <c r="E28" s="711"/>
      <c r="F28" s="711"/>
      <c r="G28" s="696"/>
      <c r="H28" s="696"/>
      <c r="I28" s="711"/>
      <c r="J28" s="711"/>
      <c r="K28" s="696"/>
      <c r="L28" s="696"/>
      <c r="M28" s="711">
        <v>6</v>
      </c>
      <c r="N28" s="711">
        <v>650</v>
      </c>
      <c r="O28" s="701"/>
      <c r="P28" s="712">
        <v>108.33333333333333</v>
      </c>
    </row>
    <row r="29" spans="1:16" ht="14.4" customHeight="1" x14ac:dyDescent="0.3">
      <c r="A29" s="695" t="s">
        <v>4082</v>
      </c>
      <c r="B29" s="696" t="s">
        <v>4114</v>
      </c>
      <c r="C29" s="696" t="s">
        <v>4123</v>
      </c>
      <c r="D29" s="696" t="s">
        <v>4124</v>
      </c>
      <c r="E29" s="711">
        <v>19</v>
      </c>
      <c r="F29" s="711">
        <v>2280</v>
      </c>
      <c r="G29" s="696">
        <v>1</v>
      </c>
      <c r="H29" s="696">
        <v>120</v>
      </c>
      <c r="I29" s="711">
        <v>57</v>
      </c>
      <c r="J29" s="711">
        <v>6897</v>
      </c>
      <c r="K29" s="696">
        <v>3.0249999999999999</v>
      </c>
      <c r="L29" s="696">
        <v>121</v>
      </c>
      <c r="M29" s="711">
        <v>40</v>
      </c>
      <c r="N29" s="711">
        <v>4862</v>
      </c>
      <c r="O29" s="701">
        <v>2.132456140350877</v>
      </c>
      <c r="P29" s="712">
        <v>121.55</v>
      </c>
    </row>
    <row r="30" spans="1:16" ht="14.4" customHeight="1" x14ac:dyDescent="0.3">
      <c r="A30" s="695" t="s">
        <v>4082</v>
      </c>
      <c r="B30" s="696" t="s">
        <v>4114</v>
      </c>
      <c r="C30" s="696" t="s">
        <v>4125</v>
      </c>
      <c r="D30" s="696" t="s">
        <v>4078</v>
      </c>
      <c r="E30" s="711">
        <v>1</v>
      </c>
      <c r="F30" s="711">
        <v>156</v>
      </c>
      <c r="G30" s="696">
        <v>1</v>
      </c>
      <c r="H30" s="696">
        <v>156</v>
      </c>
      <c r="I30" s="711"/>
      <c r="J30" s="711"/>
      <c r="K30" s="696"/>
      <c r="L30" s="696"/>
      <c r="M30" s="711"/>
      <c r="N30" s="711"/>
      <c r="O30" s="701"/>
      <c r="P30" s="712"/>
    </row>
    <row r="31" spans="1:16" ht="14.4" customHeight="1" x14ac:dyDescent="0.3">
      <c r="A31" s="695" t="s">
        <v>4082</v>
      </c>
      <c r="B31" s="696" t="s">
        <v>4114</v>
      </c>
      <c r="C31" s="696" t="s">
        <v>4126</v>
      </c>
      <c r="D31" s="696" t="s">
        <v>4078</v>
      </c>
      <c r="E31" s="711">
        <v>27</v>
      </c>
      <c r="F31" s="711">
        <v>2106</v>
      </c>
      <c r="G31" s="696">
        <v>1</v>
      </c>
      <c r="H31" s="696">
        <v>78</v>
      </c>
      <c r="I31" s="711"/>
      <c r="J31" s="711"/>
      <c r="K31" s="696"/>
      <c r="L31" s="696"/>
      <c r="M31" s="711"/>
      <c r="N31" s="711"/>
      <c r="O31" s="701"/>
      <c r="P31" s="712"/>
    </row>
    <row r="32" spans="1:16" ht="14.4" customHeight="1" x14ac:dyDescent="0.3">
      <c r="A32" s="695" t="s">
        <v>4082</v>
      </c>
      <c r="B32" s="696" t="s">
        <v>4114</v>
      </c>
      <c r="C32" s="696" t="s">
        <v>4127</v>
      </c>
      <c r="D32" s="696" t="s">
        <v>4128</v>
      </c>
      <c r="E32" s="711">
        <v>278</v>
      </c>
      <c r="F32" s="711">
        <v>64218</v>
      </c>
      <c r="G32" s="696">
        <v>1</v>
      </c>
      <c r="H32" s="696">
        <v>231</v>
      </c>
      <c r="I32" s="711">
        <v>765</v>
      </c>
      <c r="J32" s="711">
        <v>177480</v>
      </c>
      <c r="K32" s="696">
        <v>2.7637111090348498</v>
      </c>
      <c r="L32" s="696">
        <v>232</v>
      </c>
      <c r="M32" s="711">
        <v>3415</v>
      </c>
      <c r="N32" s="711">
        <v>795108</v>
      </c>
      <c r="O32" s="701">
        <v>12.381388395776884</v>
      </c>
      <c r="P32" s="712">
        <v>232.8281112737921</v>
      </c>
    </row>
    <row r="33" spans="1:16" ht="14.4" customHeight="1" x14ac:dyDescent="0.3">
      <c r="A33" s="695" t="s">
        <v>4082</v>
      </c>
      <c r="B33" s="696" t="s">
        <v>4114</v>
      </c>
      <c r="C33" s="696" t="s">
        <v>4129</v>
      </c>
      <c r="D33" s="696" t="s">
        <v>4130</v>
      </c>
      <c r="E33" s="711">
        <v>277</v>
      </c>
      <c r="F33" s="711">
        <v>32132</v>
      </c>
      <c r="G33" s="696">
        <v>1</v>
      </c>
      <c r="H33" s="696">
        <v>116</v>
      </c>
      <c r="I33" s="711">
        <v>383</v>
      </c>
      <c r="J33" s="711">
        <v>44428</v>
      </c>
      <c r="K33" s="696">
        <v>1.3826714801444044</v>
      </c>
      <c r="L33" s="696">
        <v>116</v>
      </c>
      <c r="M33" s="711">
        <v>551</v>
      </c>
      <c r="N33" s="711">
        <v>64390</v>
      </c>
      <c r="O33" s="701">
        <v>2.0039213245362877</v>
      </c>
      <c r="P33" s="712">
        <v>116.86025408348458</v>
      </c>
    </row>
    <row r="34" spans="1:16" ht="14.4" customHeight="1" x14ac:dyDescent="0.3">
      <c r="A34" s="695" t="s">
        <v>4082</v>
      </c>
      <c r="B34" s="696" t="s">
        <v>4114</v>
      </c>
      <c r="C34" s="696" t="s">
        <v>4131</v>
      </c>
      <c r="D34" s="696" t="s">
        <v>4132</v>
      </c>
      <c r="E34" s="711"/>
      <c r="F34" s="711"/>
      <c r="G34" s="696"/>
      <c r="H34" s="696"/>
      <c r="I34" s="711">
        <v>8</v>
      </c>
      <c r="J34" s="711">
        <v>2560</v>
      </c>
      <c r="K34" s="696"/>
      <c r="L34" s="696">
        <v>320</v>
      </c>
      <c r="M34" s="711">
        <v>12</v>
      </c>
      <c r="N34" s="711">
        <v>3844</v>
      </c>
      <c r="O34" s="701"/>
      <c r="P34" s="712">
        <v>320.33333333333331</v>
      </c>
    </row>
    <row r="35" spans="1:16" ht="14.4" customHeight="1" x14ac:dyDescent="0.3">
      <c r="A35" s="695" t="s">
        <v>4082</v>
      </c>
      <c r="B35" s="696" t="s">
        <v>4114</v>
      </c>
      <c r="C35" s="696" t="s">
        <v>4133</v>
      </c>
      <c r="D35" s="696" t="s">
        <v>4134</v>
      </c>
      <c r="E35" s="711">
        <v>62</v>
      </c>
      <c r="F35" s="711">
        <v>29946</v>
      </c>
      <c r="G35" s="696">
        <v>1</v>
      </c>
      <c r="H35" s="696">
        <v>483</v>
      </c>
      <c r="I35" s="711">
        <v>128</v>
      </c>
      <c r="J35" s="711">
        <v>61952</v>
      </c>
      <c r="K35" s="696">
        <v>2.0687904895478528</v>
      </c>
      <c r="L35" s="696">
        <v>484</v>
      </c>
      <c r="M35" s="711">
        <v>98</v>
      </c>
      <c r="N35" s="711">
        <v>47538</v>
      </c>
      <c r="O35" s="701">
        <v>1.5874574233620518</v>
      </c>
      <c r="P35" s="712">
        <v>485.08163265306121</v>
      </c>
    </row>
    <row r="36" spans="1:16" ht="14.4" customHeight="1" x14ac:dyDescent="0.3">
      <c r="A36" s="695" t="s">
        <v>4082</v>
      </c>
      <c r="B36" s="696" t="s">
        <v>4114</v>
      </c>
      <c r="C36" s="696" t="s">
        <v>4135</v>
      </c>
      <c r="D36" s="696" t="s">
        <v>4136</v>
      </c>
      <c r="E36" s="711"/>
      <c r="F36" s="711"/>
      <c r="G36" s="696"/>
      <c r="H36" s="696"/>
      <c r="I36" s="711"/>
      <c r="J36" s="711"/>
      <c r="K36" s="696"/>
      <c r="L36" s="696"/>
      <c r="M36" s="711">
        <v>1</v>
      </c>
      <c r="N36" s="711">
        <v>677</v>
      </c>
      <c r="O36" s="701"/>
      <c r="P36" s="712">
        <v>677</v>
      </c>
    </row>
    <row r="37" spans="1:16" ht="14.4" customHeight="1" x14ac:dyDescent="0.3">
      <c r="A37" s="695" t="s">
        <v>4082</v>
      </c>
      <c r="B37" s="696" t="s">
        <v>4114</v>
      </c>
      <c r="C37" s="696" t="s">
        <v>4137</v>
      </c>
      <c r="D37" s="696" t="s">
        <v>4138</v>
      </c>
      <c r="E37" s="711">
        <v>1</v>
      </c>
      <c r="F37" s="711">
        <v>748</v>
      </c>
      <c r="G37" s="696">
        <v>1</v>
      </c>
      <c r="H37" s="696">
        <v>748</v>
      </c>
      <c r="I37" s="711">
        <v>1</v>
      </c>
      <c r="J37" s="711">
        <v>749</v>
      </c>
      <c r="K37" s="696">
        <v>1.0013368983957218</v>
      </c>
      <c r="L37" s="696">
        <v>749</v>
      </c>
      <c r="M37" s="711"/>
      <c r="N37" s="711"/>
      <c r="O37" s="701"/>
      <c r="P37" s="712"/>
    </row>
    <row r="38" spans="1:16" ht="14.4" customHeight="1" x14ac:dyDescent="0.3">
      <c r="A38" s="695" t="s">
        <v>4082</v>
      </c>
      <c r="B38" s="696" t="s">
        <v>4114</v>
      </c>
      <c r="C38" s="696" t="s">
        <v>4139</v>
      </c>
      <c r="D38" s="696" t="s">
        <v>4134</v>
      </c>
      <c r="E38" s="711">
        <v>33</v>
      </c>
      <c r="F38" s="711">
        <v>18150</v>
      </c>
      <c r="G38" s="696">
        <v>1</v>
      </c>
      <c r="H38" s="696">
        <v>550</v>
      </c>
      <c r="I38" s="711">
        <v>51</v>
      </c>
      <c r="J38" s="711">
        <v>28203</v>
      </c>
      <c r="K38" s="696">
        <v>1.5538842975206613</v>
      </c>
      <c r="L38" s="696">
        <v>553</v>
      </c>
      <c r="M38" s="711">
        <v>144</v>
      </c>
      <c r="N38" s="711">
        <v>79780</v>
      </c>
      <c r="O38" s="701">
        <v>4.395592286501377</v>
      </c>
      <c r="P38" s="712">
        <v>554.02777777777783</v>
      </c>
    </row>
    <row r="39" spans="1:16" ht="14.4" customHeight="1" x14ac:dyDescent="0.3">
      <c r="A39" s="695" t="s">
        <v>4082</v>
      </c>
      <c r="B39" s="696" t="s">
        <v>4114</v>
      </c>
      <c r="C39" s="696" t="s">
        <v>4140</v>
      </c>
      <c r="D39" s="696" t="s">
        <v>4136</v>
      </c>
      <c r="E39" s="711"/>
      <c r="F39" s="711"/>
      <c r="G39" s="696"/>
      <c r="H39" s="696"/>
      <c r="I39" s="711"/>
      <c r="J39" s="711"/>
      <c r="K39" s="696"/>
      <c r="L39" s="696"/>
      <c r="M39" s="711">
        <v>3</v>
      </c>
      <c r="N39" s="711">
        <v>2250</v>
      </c>
      <c r="O39" s="701"/>
      <c r="P39" s="712">
        <v>750</v>
      </c>
    </row>
    <row r="40" spans="1:16" ht="14.4" customHeight="1" x14ac:dyDescent="0.3">
      <c r="A40" s="695" t="s">
        <v>4082</v>
      </c>
      <c r="B40" s="696" t="s">
        <v>4114</v>
      </c>
      <c r="C40" s="696" t="s">
        <v>4141</v>
      </c>
      <c r="D40" s="696" t="s">
        <v>4142</v>
      </c>
      <c r="E40" s="711">
        <v>2</v>
      </c>
      <c r="F40" s="711">
        <v>870</v>
      </c>
      <c r="G40" s="696">
        <v>1</v>
      </c>
      <c r="H40" s="696">
        <v>435</v>
      </c>
      <c r="I40" s="711">
        <v>9</v>
      </c>
      <c r="J40" s="711">
        <v>3951</v>
      </c>
      <c r="K40" s="696">
        <v>4.5413793103448272</v>
      </c>
      <c r="L40" s="696">
        <v>439</v>
      </c>
      <c r="M40" s="711">
        <v>11</v>
      </c>
      <c r="N40" s="711">
        <v>4885</v>
      </c>
      <c r="O40" s="701">
        <v>5.6149425287356323</v>
      </c>
      <c r="P40" s="712">
        <v>444.09090909090907</v>
      </c>
    </row>
    <row r="41" spans="1:16" ht="14.4" customHeight="1" x14ac:dyDescent="0.3">
      <c r="A41" s="695" t="s">
        <v>4082</v>
      </c>
      <c r="B41" s="696" t="s">
        <v>4114</v>
      </c>
      <c r="C41" s="696" t="s">
        <v>4143</v>
      </c>
      <c r="D41" s="696" t="s">
        <v>4144</v>
      </c>
      <c r="E41" s="711"/>
      <c r="F41" s="711"/>
      <c r="G41" s="696"/>
      <c r="H41" s="696"/>
      <c r="I41" s="711">
        <v>2</v>
      </c>
      <c r="J41" s="711">
        <v>862</v>
      </c>
      <c r="K41" s="696"/>
      <c r="L41" s="696">
        <v>431</v>
      </c>
      <c r="M41" s="711"/>
      <c r="N41" s="711"/>
      <c r="O41" s="701"/>
      <c r="P41" s="712"/>
    </row>
    <row r="42" spans="1:16" ht="14.4" customHeight="1" x14ac:dyDescent="0.3">
      <c r="A42" s="695" t="s">
        <v>4082</v>
      </c>
      <c r="B42" s="696" t="s">
        <v>4114</v>
      </c>
      <c r="C42" s="696" t="s">
        <v>4145</v>
      </c>
      <c r="D42" s="696" t="s">
        <v>4146</v>
      </c>
      <c r="E42" s="711">
        <v>5</v>
      </c>
      <c r="F42" s="711">
        <v>1030</v>
      </c>
      <c r="G42" s="696">
        <v>1</v>
      </c>
      <c r="H42" s="696">
        <v>206</v>
      </c>
      <c r="I42" s="711"/>
      <c r="J42" s="711"/>
      <c r="K42" s="696"/>
      <c r="L42" s="696"/>
      <c r="M42" s="711">
        <v>3</v>
      </c>
      <c r="N42" s="711">
        <v>627</v>
      </c>
      <c r="O42" s="701">
        <v>0.60873786407766994</v>
      </c>
      <c r="P42" s="712">
        <v>209</v>
      </c>
    </row>
    <row r="43" spans="1:16" ht="14.4" customHeight="1" x14ac:dyDescent="0.3">
      <c r="A43" s="695" t="s">
        <v>4082</v>
      </c>
      <c r="B43" s="696" t="s">
        <v>4114</v>
      </c>
      <c r="C43" s="696" t="s">
        <v>4147</v>
      </c>
      <c r="D43" s="696" t="s">
        <v>4148</v>
      </c>
      <c r="E43" s="711">
        <v>113</v>
      </c>
      <c r="F43" s="711">
        <v>72546</v>
      </c>
      <c r="G43" s="696">
        <v>1</v>
      </c>
      <c r="H43" s="696">
        <v>642</v>
      </c>
      <c r="I43" s="711">
        <v>107</v>
      </c>
      <c r="J43" s="711">
        <v>69015</v>
      </c>
      <c r="K43" s="696">
        <v>0.95132743362831862</v>
      </c>
      <c r="L43" s="696">
        <v>645</v>
      </c>
      <c r="M43" s="711">
        <v>134</v>
      </c>
      <c r="N43" s="711">
        <v>86706</v>
      </c>
      <c r="O43" s="701">
        <v>1.1951865023571251</v>
      </c>
      <c r="P43" s="712">
        <v>647.05970149253733</v>
      </c>
    </row>
    <row r="44" spans="1:16" ht="14.4" customHeight="1" x14ac:dyDescent="0.3">
      <c r="A44" s="695" t="s">
        <v>4082</v>
      </c>
      <c r="B44" s="696" t="s">
        <v>4114</v>
      </c>
      <c r="C44" s="696" t="s">
        <v>4149</v>
      </c>
      <c r="D44" s="696" t="s">
        <v>4150</v>
      </c>
      <c r="E44" s="711"/>
      <c r="F44" s="711"/>
      <c r="G44" s="696"/>
      <c r="H44" s="696"/>
      <c r="I44" s="711">
        <v>1</v>
      </c>
      <c r="J44" s="711">
        <v>327</v>
      </c>
      <c r="K44" s="696"/>
      <c r="L44" s="696">
        <v>327</v>
      </c>
      <c r="M44" s="711"/>
      <c r="N44" s="711"/>
      <c r="O44" s="701"/>
      <c r="P44" s="712"/>
    </row>
    <row r="45" spans="1:16" ht="14.4" customHeight="1" x14ac:dyDescent="0.3">
      <c r="A45" s="695" t="s">
        <v>4082</v>
      </c>
      <c r="B45" s="696" t="s">
        <v>4114</v>
      </c>
      <c r="C45" s="696" t="s">
        <v>4151</v>
      </c>
      <c r="D45" s="696" t="s">
        <v>4152</v>
      </c>
      <c r="E45" s="711">
        <v>10</v>
      </c>
      <c r="F45" s="711">
        <v>0</v>
      </c>
      <c r="G45" s="696"/>
      <c r="H45" s="696">
        <v>0</v>
      </c>
      <c r="I45" s="711">
        <v>14</v>
      </c>
      <c r="J45" s="711">
        <v>0</v>
      </c>
      <c r="K45" s="696"/>
      <c r="L45" s="696">
        <v>0</v>
      </c>
      <c r="M45" s="711">
        <v>11</v>
      </c>
      <c r="N45" s="711">
        <v>0</v>
      </c>
      <c r="O45" s="701"/>
      <c r="P45" s="712">
        <v>0</v>
      </c>
    </row>
    <row r="46" spans="1:16" ht="14.4" customHeight="1" x14ac:dyDescent="0.3">
      <c r="A46" s="695" t="s">
        <v>4082</v>
      </c>
      <c r="B46" s="696" t="s">
        <v>4114</v>
      </c>
      <c r="C46" s="696" t="s">
        <v>4153</v>
      </c>
      <c r="D46" s="696" t="s">
        <v>4154</v>
      </c>
      <c r="E46" s="711">
        <v>13</v>
      </c>
      <c r="F46" s="711">
        <v>1053</v>
      </c>
      <c r="G46" s="696">
        <v>1</v>
      </c>
      <c r="H46" s="696">
        <v>81</v>
      </c>
      <c r="I46" s="711">
        <v>134</v>
      </c>
      <c r="J46" s="711">
        <v>10988</v>
      </c>
      <c r="K46" s="696">
        <v>10.434947768281102</v>
      </c>
      <c r="L46" s="696">
        <v>82</v>
      </c>
      <c r="M46" s="711">
        <v>203</v>
      </c>
      <c r="N46" s="711">
        <v>16782</v>
      </c>
      <c r="O46" s="701">
        <v>15.937321937321938</v>
      </c>
      <c r="P46" s="712">
        <v>82.669950738916256</v>
      </c>
    </row>
    <row r="47" spans="1:16" ht="14.4" customHeight="1" x14ac:dyDescent="0.3">
      <c r="A47" s="695" t="s">
        <v>4082</v>
      </c>
      <c r="B47" s="696" t="s">
        <v>4114</v>
      </c>
      <c r="C47" s="696" t="s">
        <v>4155</v>
      </c>
      <c r="D47" s="696" t="s">
        <v>4156</v>
      </c>
      <c r="E47" s="711">
        <v>1</v>
      </c>
      <c r="F47" s="711">
        <v>738</v>
      </c>
      <c r="G47" s="696">
        <v>1</v>
      </c>
      <c r="H47" s="696">
        <v>738</v>
      </c>
      <c r="I47" s="711">
        <v>2</v>
      </c>
      <c r="J47" s="711">
        <v>1484</v>
      </c>
      <c r="K47" s="696">
        <v>2.0108401084010841</v>
      </c>
      <c r="L47" s="696">
        <v>742</v>
      </c>
      <c r="M47" s="711"/>
      <c r="N47" s="711"/>
      <c r="O47" s="701"/>
      <c r="P47" s="712"/>
    </row>
    <row r="48" spans="1:16" ht="14.4" customHeight="1" x14ac:dyDescent="0.3">
      <c r="A48" s="695" t="s">
        <v>4082</v>
      </c>
      <c r="B48" s="696" t="s">
        <v>4114</v>
      </c>
      <c r="C48" s="696" t="s">
        <v>4157</v>
      </c>
      <c r="D48" s="696" t="s">
        <v>4158</v>
      </c>
      <c r="E48" s="711"/>
      <c r="F48" s="711"/>
      <c r="G48" s="696"/>
      <c r="H48" s="696"/>
      <c r="I48" s="711"/>
      <c r="J48" s="711"/>
      <c r="K48" s="696"/>
      <c r="L48" s="696"/>
      <c r="M48" s="711">
        <v>1</v>
      </c>
      <c r="N48" s="711">
        <v>703</v>
      </c>
      <c r="O48" s="701"/>
      <c r="P48" s="712">
        <v>703</v>
      </c>
    </row>
    <row r="49" spans="1:16" ht="14.4" customHeight="1" x14ac:dyDescent="0.3">
      <c r="A49" s="695" t="s">
        <v>4082</v>
      </c>
      <c r="B49" s="696" t="s">
        <v>4114</v>
      </c>
      <c r="C49" s="696" t="s">
        <v>4159</v>
      </c>
      <c r="D49" s="696" t="s">
        <v>4160</v>
      </c>
      <c r="E49" s="711">
        <v>2347</v>
      </c>
      <c r="F49" s="711">
        <v>0</v>
      </c>
      <c r="G49" s="696"/>
      <c r="H49" s="696">
        <v>0</v>
      </c>
      <c r="I49" s="711">
        <v>2578</v>
      </c>
      <c r="J49" s="711">
        <v>0</v>
      </c>
      <c r="K49" s="696"/>
      <c r="L49" s="696">
        <v>0</v>
      </c>
      <c r="M49" s="711">
        <v>2613</v>
      </c>
      <c r="N49" s="711">
        <v>0</v>
      </c>
      <c r="O49" s="701"/>
      <c r="P49" s="712">
        <v>0</v>
      </c>
    </row>
    <row r="50" spans="1:16" ht="14.4" customHeight="1" x14ac:dyDescent="0.3">
      <c r="A50" s="695" t="s">
        <v>4082</v>
      </c>
      <c r="B50" s="696" t="s">
        <v>4114</v>
      </c>
      <c r="C50" s="696" t="s">
        <v>4161</v>
      </c>
      <c r="D50" s="696" t="s">
        <v>4162</v>
      </c>
      <c r="E50" s="711"/>
      <c r="F50" s="711"/>
      <c r="G50" s="696"/>
      <c r="H50" s="696"/>
      <c r="I50" s="711">
        <v>38</v>
      </c>
      <c r="J50" s="711">
        <v>4028</v>
      </c>
      <c r="K50" s="696"/>
      <c r="L50" s="696">
        <v>106</v>
      </c>
      <c r="M50" s="711">
        <v>246</v>
      </c>
      <c r="N50" s="711">
        <v>26302</v>
      </c>
      <c r="O50" s="701"/>
      <c r="P50" s="712">
        <v>106.91869918699187</v>
      </c>
    </row>
    <row r="51" spans="1:16" ht="14.4" customHeight="1" x14ac:dyDescent="0.3">
      <c r="A51" s="695" t="s">
        <v>4082</v>
      </c>
      <c r="B51" s="696" t="s">
        <v>4114</v>
      </c>
      <c r="C51" s="696" t="s">
        <v>4163</v>
      </c>
      <c r="D51" s="696" t="s">
        <v>4164</v>
      </c>
      <c r="E51" s="711">
        <v>2</v>
      </c>
      <c r="F51" s="711">
        <v>222</v>
      </c>
      <c r="G51" s="696">
        <v>1</v>
      </c>
      <c r="H51" s="696">
        <v>111</v>
      </c>
      <c r="I51" s="711">
        <v>360</v>
      </c>
      <c r="J51" s="711">
        <v>40320</v>
      </c>
      <c r="K51" s="696">
        <v>181.62162162162161</v>
      </c>
      <c r="L51" s="696">
        <v>112</v>
      </c>
      <c r="M51" s="711">
        <v>1082</v>
      </c>
      <c r="N51" s="711">
        <v>121648</v>
      </c>
      <c r="O51" s="701">
        <v>547.96396396396392</v>
      </c>
      <c r="P51" s="712">
        <v>112.42883548983365</v>
      </c>
    </row>
    <row r="52" spans="1:16" ht="14.4" customHeight="1" x14ac:dyDescent="0.3">
      <c r="A52" s="695" t="s">
        <v>4082</v>
      </c>
      <c r="B52" s="696" t="s">
        <v>4114</v>
      </c>
      <c r="C52" s="696" t="s">
        <v>4165</v>
      </c>
      <c r="D52" s="696" t="s">
        <v>4166</v>
      </c>
      <c r="E52" s="711"/>
      <c r="F52" s="711"/>
      <c r="G52" s="696"/>
      <c r="H52" s="696"/>
      <c r="I52" s="711">
        <v>23</v>
      </c>
      <c r="J52" s="711">
        <v>1863</v>
      </c>
      <c r="K52" s="696"/>
      <c r="L52" s="696">
        <v>81</v>
      </c>
      <c r="M52" s="711">
        <v>6</v>
      </c>
      <c r="N52" s="711">
        <v>486</v>
      </c>
      <c r="O52" s="701"/>
      <c r="P52" s="712">
        <v>81</v>
      </c>
    </row>
    <row r="53" spans="1:16" ht="14.4" customHeight="1" x14ac:dyDescent="0.3">
      <c r="A53" s="695" t="s">
        <v>4082</v>
      </c>
      <c r="B53" s="696" t="s">
        <v>4114</v>
      </c>
      <c r="C53" s="696" t="s">
        <v>4167</v>
      </c>
      <c r="D53" s="696" t="s">
        <v>4168</v>
      </c>
      <c r="E53" s="711">
        <v>4</v>
      </c>
      <c r="F53" s="711">
        <v>76</v>
      </c>
      <c r="G53" s="696">
        <v>1</v>
      </c>
      <c r="H53" s="696">
        <v>19</v>
      </c>
      <c r="I53" s="711">
        <v>7</v>
      </c>
      <c r="J53" s="711">
        <v>210</v>
      </c>
      <c r="K53" s="696">
        <v>2.763157894736842</v>
      </c>
      <c r="L53" s="696">
        <v>30</v>
      </c>
      <c r="M53" s="711">
        <v>4</v>
      </c>
      <c r="N53" s="711">
        <v>120</v>
      </c>
      <c r="O53" s="701">
        <v>1.5789473684210527</v>
      </c>
      <c r="P53" s="712">
        <v>30</v>
      </c>
    </row>
    <row r="54" spans="1:16" ht="14.4" customHeight="1" x14ac:dyDescent="0.3">
      <c r="A54" s="695" t="s">
        <v>4082</v>
      </c>
      <c r="B54" s="696" t="s">
        <v>4114</v>
      </c>
      <c r="C54" s="696" t="s">
        <v>4169</v>
      </c>
      <c r="D54" s="696" t="s">
        <v>4170</v>
      </c>
      <c r="E54" s="711"/>
      <c r="F54" s="711"/>
      <c r="G54" s="696"/>
      <c r="H54" s="696"/>
      <c r="I54" s="711">
        <v>1</v>
      </c>
      <c r="J54" s="711">
        <v>141</v>
      </c>
      <c r="K54" s="696"/>
      <c r="L54" s="696">
        <v>141</v>
      </c>
      <c r="M54" s="711"/>
      <c r="N54" s="711"/>
      <c r="O54" s="701"/>
      <c r="P54" s="712"/>
    </row>
    <row r="55" spans="1:16" ht="14.4" customHeight="1" x14ac:dyDescent="0.3">
      <c r="A55" s="695" t="s">
        <v>4082</v>
      </c>
      <c r="B55" s="696" t="s">
        <v>4114</v>
      </c>
      <c r="C55" s="696" t="s">
        <v>4171</v>
      </c>
      <c r="D55" s="696" t="s">
        <v>4172</v>
      </c>
      <c r="E55" s="711">
        <v>189</v>
      </c>
      <c r="F55" s="711">
        <v>55755</v>
      </c>
      <c r="G55" s="696">
        <v>1</v>
      </c>
      <c r="H55" s="696">
        <v>295</v>
      </c>
      <c r="I55" s="711">
        <v>185</v>
      </c>
      <c r="J55" s="711">
        <v>54760</v>
      </c>
      <c r="K55" s="696">
        <v>0.98215406689982965</v>
      </c>
      <c r="L55" s="696">
        <v>296</v>
      </c>
      <c r="M55" s="711">
        <v>278</v>
      </c>
      <c r="N55" s="711">
        <v>82498</v>
      </c>
      <c r="O55" s="701">
        <v>1.4796520491435745</v>
      </c>
      <c r="P55" s="712">
        <v>296.75539568345323</v>
      </c>
    </row>
    <row r="56" spans="1:16" ht="14.4" customHeight="1" x14ac:dyDescent="0.3">
      <c r="A56" s="695" t="s">
        <v>4082</v>
      </c>
      <c r="B56" s="696" t="s">
        <v>4114</v>
      </c>
      <c r="C56" s="696" t="s">
        <v>4173</v>
      </c>
      <c r="D56" s="696" t="s">
        <v>4174</v>
      </c>
      <c r="E56" s="711">
        <v>14</v>
      </c>
      <c r="F56" s="711">
        <v>952</v>
      </c>
      <c r="G56" s="696">
        <v>1</v>
      </c>
      <c r="H56" s="696">
        <v>68</v>
      </c>
      <c r="I56" s="711">
        <v>14</v>
      </c>
      <c r="J56" s="711">
        <v>966</v>
      </c>
      <c r="K56" s="696">
        <v>1.0147058823529411</v>
      </c>
      <c r="L56" s="696">
        <v>69</v>
      </c>
      <c r="M56" s="711">
        <v>16</v>
      </c>
      <c r="N56" s="711">
        <v>1107</v>
      </c>
      <c r="O56" s="701">
        <v>1.1628151260504203</v>
      </c>
      <c r="P56" s="712">
        <v>69.1875</v>
      </c>
    </row>
    <row r="57" spans="1:16" ht="14.4" customHeight="1" x14ac:dyDescent="0.3">
      <c r="A57" s="695" t="s">
        <v>4082</v>
      </c>
      <c r="B57" s="696" t="s">
        <v>4114</v>
      </c>
      <c r="C57" s="696" t="s">
        <v>4175</v>
      </c>
      <c r="D57" s="696" t="s">
        <v>4172</v>
      </c>
      <c r="E57" s="711">
        <v>43</v>
      </c>
      <c r="F57" s="711">
        <v>15566</v>
      </c>
      <c r="G57" s="696">
        <v>1</v>
      </c>
      <c r="H57" s="696">
        <v>362</v>
      </c>
      <c r="I57" s="711">
        <v>93</v>
      </c>
      <c r="J57" s="711">
        <v>33945</v>
      </c>
      <c r="K57" s="696">
        <v>2.1807143774893998</v>
      </c>
      <c r="L57" s="696">
        <v>365</v>
      </c>
      <c r="M57" s="711">
        <v>332</v>
      </c>
      <c r="N57" s="711">
        <v>122020</v>
      </c>
      <c r="O57" s="701">
        <v>7.8388796094051134</v>
      </c>
      <c r="P57" s="712">
        <v>367.53012048192772</v>
      </c>
    </row>
    <row r="58" spans="1:16" ht="14.4" customHeight="1" x14ac:dyDescent="0.3">
      <c r="A58" s="695" t="s">
        <v>4082</v>
      </c>
      <c r="B58" s="696" t="s">
        <v>4114</v>
      </c>
      <c r="C58" s="696" t="s">
        <v>4176</v>
      </c>
      <c r="D58" s="696" t="s">
        <v>4177</v>
      </c>
      <c r="E58" s="711"/>
      <c r="F58" s="711"/>
      <c r="G58" s="696"/>
      <c r="H58" s="696"/>
      <c r="I58" s="711">
        <v>54</v>
      </c>
      <c r="J58" s="711">
        <v>4104</v>
      </c>
      <c r="K58" s="696"/>
      <c r="L58" s="696">
        <v>76</v>
      </c>
      <c r="M58" s="711">
        <v>140</v>
      </c>
      <c r="N58" s="711">
        <v>10699</v>
      </c>
      <c r="O58" s="701"/>
      <c r="P58" s="712">
        <v>76.421428571428578</v>
      </c>
    </row>
    <row r="59" spans="1:16" ht="14.4" customHeight="1" x14ac:dyDescent="0.3">
      <c r="A59" s="695" t="s">
        <v>4082</v>
      </c>
      <c r="B59" s="696" t="s">
        <v>4114</v>
      </c>
      <c r="C59" s="696" t="s">
        <v>4178</v>
      </c>
      <c r="D59" s="696" t="s">
        <v>4179</v>
      </c>
      <c r="E59" s="711"/>
      <c r="F59" s="711"/>
      <c r="G59" s="696"/>
      <c r="H59" s="696"/>
      <c r="I59" s="711">
        <v>1</v>
      </c>
      <c r="J59" s="711">
        <v>635</v>
      </c>
      <c r="K59" s="696"/>
      <c r="L59" s="696">
        <v>635</v>
      </c>
      <c r="M59" s="711"/>
      <c r="N59" s="711"/>
      <c r="O59" s="701"/>
      <c r="P59" s="712"/>
    </row>
    <row r="60" spans="1:16" ht="14.4" customHeight="1" x14ac:dyDescent="0.3">
      <c r="A60" s="695" t="s">
        <v>4082</v>
      </c>
      <c r="B60" s="696" t="s">
        <v>4114</v>
      </c>
      <c r="C60" s="696" t="s">
        <v>4180</v>
      </c>
      <c r="D60" s="696" t="s">
        <v>4181</v>
      </c>
      <c r="E60" s="711">
        <v>24</v>
      </c>
      <c r="F60" s="711">
        <v>14376</v>
      </c>
      <c r="G60" s="696">
        <v>1</v>
      </c>
      <c r="H60" s="696">
        <v>599</v>
      </c>
      <c r="I60" s="711">
        <v>50</v>
      </c>
      <c r="J60" s="711">
        <v>30050</v>
      </c>
      <c r="K60" s="696">
        <v>2.0902893711741792</v>
      </c>
      <c r="L60" s="696">
        <v>601</v>
      </c>
      <c r="M60" s="711">
        <v>31</v>
      </c>
      <c r="N60" s="711">
        <v>18659</v>
      </c>
      <c r="O60" s="701">
        <v>1.2979271007234279</v>
      </c>
      <c r="P60" s="712">
        <v>601.90322580645159</v>
      </c>
    </row>
    <row r="61" spans="1:16" ht="14.4" customHeight="1" x14ac:dyDescent="0.3">
      <c r="A61" s="695" t="s">
        <v>4082</v>
      </c>
      <c r="B61" s="696" t="s">
        <v>4114</v>
      </c>
      <c r="C61" s="696" t="s">
        <v>4182</v>
      </c>
      <c r="D61" s="696" t="s">
        <v>4183</v>
      </c>
      <c r="E61" s="711"/>
      <c r="F61" s="711"/>
      <c r="G61" s="696"/>
      <c r="H61" s="696"/>
      <c r="I61" s="711">
        <v>10</v>
      </c>
      <c r="J61" s="711">
        <v>2690</v>
      </c>
      <c r="K61" s="696"/>
      <c r="L61" s="696">
        <v>269</v>
      </c>
      <c r="M61" s="711">
        <v>26</v>
      </c>
      <c r="N61" s="711">
        <v>7010</v>
      </c>
      <c r="O61" s="701"/>
      <c r="P61" s="712">
        <v>269.61538461538464</v>
      </c>
    </row>
    <row r="62" spans="1:16" ht="14.4" customHeight="1" x14ac:dyDescent="0.3">
      <c r="A62" s="695" t="s">
        <v>4082</v>
      </c>
      <c r="B62" s="696" t="s">
        <v>4114</v>
      </c>
      <c r="C62" s="696" t="s">
        <v>4184</v>
      </c>
      <c r="D62" s="696" t="s">
        <v>4185</v>
      </c>
      <c r="E62" s="711"/>
      <c r="F62" s="711"/>
      <c r="G62" s="696"/>
      <c r="H62" s="696"/>
      <c r="I62" s="711">
        <v>3</v>
      </c>
      <c r="J62" s="711">
        <v>168</v>
      </c>
      <c r="K62" s="696"/>
      <c r="L62" s="696">
        <v>56</v>
      </c>
      <c r="M62" s="711"/>
      <c r="N62" s="711"/>
      <c r="O62" s="701"/>
      <c r="P62" s="712"/>
    </row>
    <row r="63" spans="1:16" ht="14.4" customHeight="1" x14ac:dyDescent="0.3">
      <c r="A63" s="695" t="s">
        <v>4082</v>
      </c>
      <c r="B63" s="696" t="s">
        <v>4114</v>
      </c>
      <c r="C63" s="696" t="s">
        <v>4186</v>
      </c>
      <c r="D63" s="696" t="s">
        <v>4142</v>
      </c>
      <c r="E63" s="711">
        <v>35</v>
      </c>
      <c r="F63" s="711">
        <v>11655</v>
      </c>
      <c r="G63" s="696">
        <v>1</v>
      </c>
      <c r="H63" s="696">
        <v>333</v>
      </c>
      <c r="I63" s="711">
        <v>37</v>
      </c>
      <c r="J63" s="711">
        <v>12395</v>
      </c>
      <c r="K63" s="696">
        <v>1.0634920634920635</v>
      </c>
      <c r="L63" s="696">
        <v>335</v>
      </c>
      <c r="M63" s="711">
        <v>12</v>
      </c>
      <c r="N63" s="711">
        <v>4028</v>
      </c>
      <c r="O63" s="701">
        <v>0.34560274560274562</v>
      </c>
      <c r="P63" s="712">
        <v>335.66666666666669</v>
      </c>
    </row>
    <row r="64" spans="1:16" ht="14.4" customHeight="1" x14ac:dyDescent="0.3">
      <c r="A64" s="695" t="s">
        <v>4082</v>
      </c>
      <c r="B64" s="696" t="s">
        <v>4114</v>
      </c>
      <c r="C64" s="696" t="s">
        <v>4187</v>
      </c>
      <c r="D64" s="696" t="s">
        <v>4144</v>
      </c>
      <c r="E64" s="711">
        <v>13</v>
      </c>
      <c r="F64" s="711">
        <v>4693</v>
      </c>
      <c r="G64" s="696">
        <v>1</v>
      </c>
      <c r="H64" s="696">
        <v>361</v>
      </c>
      <c r="I64" s="711">
        <v>3</v>
      </c>
      <c r="J64" s="711">
        <v>1086</v>
      </c>
      <c r="K64" s="696">
        <v>0.23140848071595993</v>
      </c>
      <c r="L64" s="696">
        <v>362</v>
      </c>
      <c r="M64" s="711">
        <v>12</v>
      </c>
      <c r="N64" s="711">
        <v>4358</v>
      </c>
      <c r="O64" s="701">
        <v>0.92861708928190922</v>
      </c>
      <c r="P64" s="712">
        <v>363.16666666666669</v>
      </c>
    </row>
    <row r="65" spans="1:16" ht="14.4" customHeight="1" x14ac:dyDescent="0.3">
      <c r="A65" s="695" t="s">
        <v>4082</v>
      </c>
      <c r="B65" s="696" t="s">
        <v>4114</v>
      </c>
      <c r="C65" s="696" t="s">
        <v>4188</v>
      </c>
      <c r="D65" s="696" t="s">
        <v>4189</v>
      </c>
      <c r="E65" s="711"/>
      <c r="F65" s="711"/>
      <c r="G65" s="696"/>
      <c r="H65" s="696"/>
      <c r="I65" s="711">
        <v>2</v>
      </c>
      <c r="J65" s="711">
        <v>1040</v>
      </c>
      <c r="K65" s="696"/>
      <c r="L65" s="696">
        <v>520</v>
      </c>
      <c r="M65" s="711"/>
      <c r="N65" s="711"/>
      <c r="O65" s="701"/>
      <c r="P65" s="712"/>
    </row>
    <row r="66" spans="1:16" ht="14.4" customHeight="1" x14ac:dyDescent="0.3">
      <c r="A66" s="695" t="s">
        <v>4082</v>
      </c>
      <c r="B66" s="696" t="s">
        <v>4114</v>
      </c>
      <c r="C66" s="696" t="s">
        <v>4190</v>
      </c>
      <c r="D66" s="696" t="s">
        <v>4191</v>
      </c>
      <c r="E66" s="711">
        <v>520</v>
      </c>
      <c r="F66" s="711">
        <v>84240</v>
      </c>
      <c r="G66" s="696">
        <v>1</v>
      </c>
      <c r="H66" s="696">
        <v>162</v>
      </c>
      <c r="I66" s="711">
        <v>728</v>
      </c>
      <c r="J66" s="711">
        <v>118664</v>
      </c>
      <c r="K66" s="696">
        <v>1.4086419753086419</v>
      </c>
      <c r="L66" s="696">
        <v>163</v>
      </c>
      <c r="M66" s="711">
        <v>627</v>
      </c>
      <c r="N66" s="711">
        <v>102463</v>
      </c>
      <c r="O66" s="701">
        <v>1.2163224121557454</v>
      </c>
      <c r="P66" s="712">
        <v>163.41786283891548</v>
      </c>
    </row>
    <row r="67" spans="1:16" ht="14.4" customHeight="1" x14ac:dyDescent="0.3">
      <c r="A67" s="695" t="s">
        <v>4082</v>
      </c>
      <c r="B67" s="696" t="s">
        <v>4114</v>
      </c>
      <c r="C67" s="696" t="s">
        <v>4192</v>
      </c>
      <c r="D67" s="696" t="s">
        <v>4132</v>
      </c>
      <c r="E67" s="711"/>
      <c r="F67" s="711"/>
      <c r="G67" s="696"/>
      <c r="H67" s="696"/>
      <c r="I67" s="711">
        <v>7</v>
      </c>
      <c r="J67" s="711">
        <v>2723</v>
      </c>
      <c r="K67" s="696"/>
      <c r="L67" s="696">
        <v>389</v>
      </c>
      <c r="M67" s="711">
        <v>59</v>
      </c>
      <c r="N67" s="711">
        <v>23059</v>
      </c>
      <c r="O67" s="701"/>
      <c r="P67" s="712">
        <v>390.83050847457628</v>
      </c>
    </row>
    <row r="68" spans="1:16" ht="14.4" customHeight="1" x14ac:dyDescent="0.3">
      <c r="A68" s="695" t="s">
        <v>4082</v>
      </c>
      <c r="B68" s="696" t="s">
        <v>4114</v>
      </c>
      <c r="C68" s="696" t="s">
        <v>4193</v>
      </c>
      <c r="D68" s="696" t="s">
        <v>4194</v>
      </c>
      <c r="E68" s="711">
        <v>12</v>
      </c>
      <c r="F68" s="711">
        <v>12468</v>
      </c>
      <c r="G68" s="696">
        <v>1</v>
      </c>
      <c r="H68" s="696">
        <v>1039</v>
      </c>
      <c r="I68" s="711">
        <v>22</v>
      </c>
      <c r="J68" s="711">
        <v>22946</v>
      </c>
      <c r="K68" s="696">
        <v>1.8403914019890921</v>
      </c>
      <c r="L68" s="696">
        <v>1043</v>
      </c>
      <c r="M68" s="711">
        <v>23</v>
      </c>
      <c r="N68" s="711">
        <v>24061</v>
      </c>
      <c r="O68" s="701">
        <v>1.9298203400705807</v>
      </c>
      <c r="P68" s="712">
        <v>1046.1304347826087</v>
      </c>
    </row>
    <row r="69" spans="1:16" ht="14.4" customHeight="1" x14ac:dyDescent="0.3">
      <c r="A69" s="695" t="s">
        <v>4082</v>
      </c>
      <c r="B69" s="696" t="s">
        <v>4114</v>
      </c>
      <c r="C69" s="696" t="s">
        <v>4195</v>
      </c>
      <c r="D69" s="696" t="s">
        <v>4196</v>
      </c>
      <c r="E69" s="711">
        <v>3</v>
      </c>
      <c r="F69" s="711">
        <v>1269</v>
      </c>
      <c r="G69" s="696">
        <v>1</v>
      </c>
      <c r="H69" s="696">
        <v>423</v>
      </c>
      <c r="I69" s="711">
        <v>20</v>
      </c>
      <c r="J69" s="711">
        <v>8520</v>
      </c>
      <c r="K69" s="696">
        <v>6.7139479905437351</v>
      </c>
      <c r="L69" s="696">
        <v>426</v>
      </c>
      <c r="M69" s="711">
        <v>2</v>
      </c>
      <c r="N69" s="711">
        <v>852</v>
      </c>
      <c r="O69" s="701">
        <v>0.67139479905437349</v>
      </c>
      <c r="P69" s="712">
        <v>426</v>
      </c>
    </row>
    <row r="70" spans="1:16" ht="14.4" customHeight="1" thickBot="1" x14ac:dyDescent="0.35">
      <c r="A70" s="703" t="s">
        <v>4082</v>
      </c>
      <c r="B70" s="704" t="s">
        <v>4114</v>
      </c>
      <c r="C70" s="704" t="s">
        <v>4197</v>
      </c>
      <c r="D70" s="704" t="s">
        <v>4198</v>
      </c>
      <c r="E70" s="713">
        <v>1</v>
      </c>
      <c r="F70" s="713">
        <v>210</v>
      </c>
      <c r="G70" s="704">
        <v>1</v>
      </c>
      <c r="H70" s="704">
        <v>210</v>
      </c>
      <c r="I70" s="713">
        <v>2</v>
      </c>
      <c r="J70" s="713">
        <v>422</v>
      </c>
      <c r="K70" s="704">
        <v>2.0095238095238095</v>
      </c>
      <c r="L70" s="704">
        <v>211</v>
      </c>
      <c r="M70" s="713"/>
      <c r="N70" s="713"/>
      <c r="O70" s="709"/>
      <c r="P70" s="714"/>
    </row>
  </sheetData>
  <autoFilter ref="A5:P5"/>
  <mergeCells count="10">
    <mergeCell ref="P4:P5"/>
    <mergeCell ref="A1:P1"/>
    <mergeCell ref="A4:A5"/>
    <mergeCell ref="B4:B5"/>
    <mergeCell ref="C4:C5"/>
    <mergeCell ref="D4:D5"/>
    <mergeCell ref="E4:F4"/>
    <mergeCell ref="I4:J4"/>
    <mergeCell ref="M4:N4"/>
    <mergeCell ref="O4:O5"/>
  </mergeCells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46">
    <tabColor theme="0" tint="-0.249977111117893"/>
    <pageSetUpPr fitToPage="1"/>
  </sheetPr>
  <dimension ref="A1:S32"/>
  <sheetViews>
    <sheetView showGridLines="0" showRowColHeaders="0" workbookViewId="0">
      <pane ySplit="5" topLeftCell="A6" activePane="bottomLeft" state="frozen"/>
      <selection sqref="A1:M1"/>
      <selection pane="bottomLeft" sqref="A1:S1"/>
    </sheetView>
  </sheetViews>
  <sheetFormatPr defaultRowHeight="14.4" customHeight="1" x14ac:dyDescent="0.3"/>
  <cols>
    <col min="1" max="1" width="46.6640625" style="257" bestFit="1" customWidth="1"/>
    <col min="2" max="2" width="7.77734375" style="222" customWidth="1"/>
    <col min="3" max="3" width="0.109375" style="257" hidden="1" customWidth="1"/>
    <col min="4" max="4" width="7.77734375" style="222" customWidth="1"/>
    <col min="5" max="5" width="5.44140625" style="257" hidden="1" customWidth="1"/>
    <col min="6" max="6" width="7.77734375" style="222" customWidth="1"/>
    <col min="7" max="7" width="7.77734375" style="343" customWidth="1"/>
    <col min="8" max="8" width="7.77734375" style="222" customWidth="1"/>
    <col min="9" max="9" width="5.44140625" style="257" hidden="1" customWidth="1"/>
    <col min="10" max="10" width="7.77734375" style="222" customWidth="1"/>
    <col min="11" max="11" width="5.44140625" style="257" hidden="1" customWidth="1"/>
    <col min="12" max="12" width="7.77734375" style="222" customWidth="1"/>
    <col min="13" max="13" width="7.77734375" style="343" customWidth="1"/>
    <col min="14" max="14" width="7.77734375" style="222" customWidth="1"/>
    <col min="15" max="15" width="5" style="257" hidden="1" customWidth="1"/>
    <col min="16" max="16" width="7.77734375" style="222" customWidth="1"/>
    <col min="17" max="17" width="5" style="257" hidden="1" customWidth="1"/>
    <col min="18" max="18" width="7.77734375" style="222" customWidth="1"/>
    <col min="19" max="19" width="7.77734375" style="343" customWidth="1"/>
    <col min="20" max="16384" width="8.88671875" style="257"/>
  </cols>
  <sheetData>
    <row r="1" spans="1:19" ht="18.600000000000001" customHeight="1" thickBot="1" x14ac:dyDescent="0.4">
      <c r="A1" s="467" t="s">
        <v>158</v>
      </c>
      <c r="B1" s="458"/>
      <c r="C1" s="458"/>
      <c r="D1" s="458"/>
      <c r="E1" s="458"/>
      <c r="F1" s="458"/>
      <c r="G1" s="458"/>
      <c r="H1" s="458"/>
      <c r="I1" s="458"/>
      <c r="J1" s="458"/>
      <c r="K1" s="458"/>
      <c r="L1" s="458"/>
      <c r="M1" s="458"/>
      <c r="N1" s="458"/>
      <c r="O1" s="458"/>
      <c r="P1" s="458"/>
      <c r="Q1" s="458"/>
      <c r="R1" s="458"/>
      <c r="S1" s="458"/>
    </row>
    <row r="2" spans="1:19" ht="14.4" customHeight="1" thickBot="1" x14ac:dyDescent="0.35">
      <c r="A2" s="386" t="s">
        <v>321</v>
      </c>
      <c r="B2" s="359"/>
      <c r="C2" s="227"/>
      <c r="D2" s="359"/>
      <c r="E2" s="227"/>
      <c r="F2" s="359"/>
      <c r="G2" s="360"/>
      <c r="H2" s="359"/>
      <c r="I2" s="227"/>
      <c r="J2" s="359"/>
      <c r="K2" s="227"/>
      <c r="L2" s="359"/>
      <c r="M2" s="360"/>
      <c r="N2" s="359"/>
      <c r="O2" s="227"/>
      <c r="P2" s="359"/>
      <c r="Q2" s="227"/>
      <c r="R2" s="359"/>
      <c r="S2" s="360"/>
    </row>
    <row r="3" spans="1:19" ht="14.4" customHeight="1" thickBot="1" x14ac:dyDescent="0.35">
      <c r="A3" s="353" t="s">
        <v>160</v>
      </c>
      <c r="B3" s="354">
        <f>SUBTOTAL(9,B6:B1048576)</f>
        <v>64621408</v>
      </c>
      <c r="C3" s="355">
        <f t="shared" ref="C3:R3" si="0">SUBTOTAL(9,C6:C1048576)</f>
        <v>27</v>
      </c>
      <c r="D3" s="355">
        <f t="shared" si="0"/>
        <v>65363875</v>
      </c>
      <c r="E3" s="355">
        <f t="shared" si="0"/>
        <v>24.719613817163438</v>
      </c>
      <c r="F3" s="355">
        <f t="shared" si="0"/>
        <v>69119909</v>
      </c>
      <c r="G3" s="358">
        <f>IF(B3&lt;&gt;0,F3/B3,"")</f>
        <v>1.0696131690600119</v>
      </c>
      <c r="H3" s="354">
        <f t="shared" si="0"/>
        <v>4896749.7299999967</v>
      </c>
      <c r="I3" s="355">
        <f t="shared" si="0"/>
        <v>11</v>
      </c>
      <c r="J3" s="355">
        <f t="shared" si="0"/>
        <v>4219895.4899999984</v>
      </c>
      <c r="K3" s="355">
        <f t="shared" si="0"/>
        <v>236.65185735719368</v>
      </c>
      <c r="L3" s="355">
        <f t="shared" si="0"/>
        <v>6270340.8099999977</v>
      </c>
      <c r="M3" s="356">
        <f>IF(H3&lt;&gt;0,L3/H3,"")</f>
        <v>1.2805107787283223</v>
      </c>
      <c r="N3" s="357">
        <f t="shared" si="0"/>
        <v>0</v>
      </c>
      <c r="O3" s="355">
        <f t="shared" si="0"/>
        <v>0</v>
      </c>
      <c r="P3" s="355">
        <f t="shared" si="0"/>
        <v>0</v>
      </c>
      <c r="Q3" s="355">
        <f t="shared" si="0"/>
        <v>0</v>
      </c>
      <c r="R3" s="355">
        <f t="shared" si="0"/>
        <v>0</v>
      </c>
      <c r="S3" s="356" t="str">
        <f>IF(N3&lt;&gt;0,R3/N3,"")</f>
        <v/>
      </c>
    </row>
    <row r="4" spans="1:19" ht="14.4" customHeight="1" x14ac:dyDescent="0.3">
      <c r="A4" s="526" t="s">
        <v>130</v>
      </c>
      <c r="B4" s="527" t="s">
        <v>124</v>
      </c>
      <c r="C4" s="528"/>
      <c r="D4" s="528"/>
      <c r="E4" s="528"/>
      <c r="F4" s="528"/>
      <c r="G4" s="529"/>
      <c r="H4" s="527" t="s">
        <v>125</v>
      </c>
      <c r="I4" s="528"/>
      <c r="J4" s="528"/>
      <c r="K4" s="528"/>
      <c r="L4" s="528"/>
      <c r="M4" s="529"/>
      <c r="N4" s="527" t="s">
        <v>126</v>
      </c>
      <c r="O4" s="528"/>
      <c r="P4" s="528"/>
      <c r="Q4" s="528"/>
      <c r="R4" s="528"/>
      <c r="S4" s="529"/>
    </row>
    <row r="5" spans="1:19" ht="14.4" customHeight="1" thickBot="1" x14ac:dyDescent="0.35">
      <c r="A5" s="751"/>
      <c r="B5" s="752">
        <v>2012</v>
      </c>
      <c r="C5" s="753"/>
      <c r="D5" s="753">
        <v>2013</v>
      </c>
      <c r="E5" s="753"/>
      <c r="F5" s="753">
        <v>2014</v>
      </c>
      <c r="G5" s="754" t="s">
        <v>2</v>
      </c>
      <c r="H5" s="752">
        <v>2012</v>
      </c>
      <c r="I5" s="753"/>
      <c r="J5" s="753">
        <v>2013</v>
      </c>
      <c r="K5" s="753"/>
      <c r="L5" s="753">
        <v>2014</v>
      </c>
      <c r="M5" s="754" t="s">
        <v>2</v>
      </c>
      <c r="N5" s="752">
        <v>2012</v>
      </c>
      <c r="O5" s="753"/>
      <c r="P5" s="753">
        <v>2013</v>
      </c>
      <c r="Q5" s="753"/>
      <c r="R5" s="753">
        <v>2014</v>
      </c>
      <c r="S5" s="754" t="s">
        <v>2</v>
      </c>
    </row>
    <row r="6" spans="1:19" ht="14.4" customHeight="1" x14ac:dyDescent="0.3">
      <c r="A6" s="656" t="s">
        <v>4200</v>
      </c>
      <c r="B6" s="771">
        <v>55974</v>
      </c>
      <c r="C6" s="625">
        <v>1</v>
      </c>
      <c r="D6" s="771">
        <v>45070</v>
      </c>
      <c r="E6" s="625">
        <v>0.80519526923214346</v>
      </c>
      <c r="F6" s="771">
        <v>112142</v>
      </c>
      <c r="G6" s="646">
        <v>2.0034658948797657</v>
      </c>
      <c r="H6" s="771"/>
      <c r="I6" s="625"/>
      <c r="J6" s="771">
        <v>904.75</v>
      </c>
      <c r="K6" s="625"/>
      <c r="L6" s="771">
        <v>1809.5</v>
      </c>
      <c r="M6" s="646"/>
      <c r="N6" s="771"/>
      <c r="O6" s="625"/>
      <c r="P6" s="771"/>
      <c r="Q6" s="625"/>
      <c r="R6" s="771"/>
      <c r="S6" s="678"/>
    </row>
    <row r="7" spans="1:19" ht="14.4" customHeight="1" x14ac:dyDescent="0.3">
      <c r="A7" s="718" t="s">
        <v>4201</v>
      </c>
      <c r="B7" s="772">
        <v>80660</v>
      </c>
      <c r="C7" s="696">
        <v>1</v>
      </c>
      <c r="D7" s="772">
        <v>63898</v>
      </c>
      <c r="E7" s="696">
        <v>0.7921894371435656</v>
      </c>
      <c r="F7" s="772">
        <v>91574</v>
      </c>
      <c r="G7" s="701">
        <v>1.1353087031986115</v>
      </c>
      <c r="H7" s="772">
        <v>500</v>
      </c>
      <c r="I7" s="696">
        <v>1</v>
      </c>
      <c r="J7" s="772"/>
      <c r="K7" s="696"/>
      <c r="L7" s="772"/>
      <c r="M7" s="701"/>
      <c r="N7" s="772"/>
      <c r="O7" s="696"/>
      <c r="P7" s="772"/>
      <c r="Q7" s="696"/>
      <c r="R7" s="772"/>
      <c r="S7" s="702"/>
    </row>
    <row r="8" spans="1:19" ht="14.4" customHeight="1" x14ac:dyDescent="0.3">
      <c r="A8" s="718" t="s">
        <v>4202</v>
      </c>
      <c r="B8" s="772">
        <v>18291</v>
      </c>
      <c r="C8" s="696">
        <v>1</v>
      </c>
      <c r="D8" s="772">
        <v>9893</v>
      </c>
      <c r="E8" s="696">
        <v>0.54086709310589909</v>
      </c>
      <c r="F8" s="772">
        <v>22334</v>
      </c>
      <c r="G8" s="701">
        <v>1.2210376687988629</v>
      </c>
      <c r="H8" s="772"/>
      <c r="I8" s="696"/>
      <c r="J8" s="772"/>
      <c r="K8" s="696"/>
      <c r="L8" s="772">
        <v>904.75</v>
      </c>
      <c r="M8" s="701"/>
      <c r="N8" s="772"/>
      <c r="O8" s="696"/>
      <c r="P8" s="772"/>
      <c r="Q8" s="696"/>
      <c r="R8" s="772"/>
      <c r="S8" s="702"/>
    </row>
    <row r="9" spans="1:19" ht="14.4" customHeight="1" x14ac:dyDescent="0.3">
      <c r="A9" s="718" t="s">
        <v>4203</v>
      </c>
      <c r="B9" s="772">
        <v>5132688</v>
      </c>
      <c r="C9" s="696">
        <v>1</v>
      </c>
      <c r="D9" s="772">
        <v>5749412</v>
      </c>
      <c r="E9" s="696">
        <v>1.1201561443048944</v>
      </c>
      <c r="F9" s="772">
        <v>6128394</v>
      </c>
      <c r="G9" s="701">
        <v>1.1939930890013186</v>
      </c>
      <c r="H9" s="772">
        <v>157080</v>
      </c>
      <c r="I9" s="696">
        <v>1</v>
      </c>
      <c r="J9" s="772">
        <v>251344.97999999998</v>
      </c>
      <c r="K9" s="696">
        <v>1.6001080977845683</v>
      </c>
      <c r="L9" s="772">
        <v>427554.59</v>
      </c>
      <c r="M9" s="701">
        <v>2.7218906926406929</v>
      </c>
      <c r="N9" s="772"/>
      <c r="O9" s="696"/>
      <c r="P9" s="772"/>
      <c r="Q9" s="696"/>
      <c r="R9" s="772"/>
      <c r="S9" s="702"/>
    </row>
    <row r="10" spans="1:19" ht="14.4" customHeight="1" x14ac:dyDescent="0.3">
      <c r="A10" s="718" t="s">
        <v>4204</v>
      </c>
      <c r="B10" s="772">
        <v>2041649</v>
      </c>
      <c r="C10" s="696">
        <v>1</v>
      </c>
      <c r="D10" s="772">
        <v>2150819</v>
      </c>
      <c r="E10" s="696">
        <v>1.0534714831001804</v>
      </c>
      <c r="F10" s="772">
        <v>2120165</v>
      </c>
      <c r="G10" s="701">
        <v>1.0384571490985963</v>
      </c>
      <c r="H10" s="772">
        <v>15578.08</v>
      </c>
      <c r="I10" s="696">
        <v>1</v>
      </c>
      <c r="J10" s="772">
        <v>41740.68</v>
      </c>
      <c r="K10" s="696">
        <v>2.679449585571521</v>
      </c>
      <c r="L10" s="772">
        <v>80189.14</v>
      </c>
      <c r="M10" s="701">
        <v>5.1475624723971114</v>
      </c>
      <c r="N10" s="772"/>
      <c r="O10" s="696"/>
      <c r="P10" s="772"/>
      <c r="Q10" s="696"/>
      <c r="R10" s="772"/>
      <c r="S10" s="702"/>
    </row>
    <row r="11" spans="1:19" ht="14.4" customHeight="1" x14ac:dyDescent="0.3">
      <c r="A11" s="718" t="s">
        <v>4205</v>
      </c>
      <c r="B11" s="772">
        <v>3986296</v>
      </c>
      <c r="C11" s="696">
        <v>1</v>
      </c>
      <c r="D11" s="772">
        <v>3859182</v>
      </c>
      <c r="E11" s="696">
        <v>0.96811225257732991</v>
      </c>
      <c r="F11" s="772">
        <v>4296202</v>
      </c>
      <c r="G11" s="701">
        <v>1.0777428469938009</v>
      </c>
      <c r="H11" s="772">
        <v>10453.199999999999</v>
      </c>
      <c r="I11" s="696">
        <v>1</v>
      </c>
      <c r="J11" s="772">
        <v>90975.95</v>
      </c>
      <c r="K11" s="696">
        <v>8.7031674511154478</v>
      </c>
      <c r="L11" s="772">
        <v>351366.67000000004</v>
      </c>
      <c r="M11" s="701">
        <v>33.613311713159611</v>
      </c>
      <c r="N11" s="772"/>
      <c r="O11" s="696"/>
      <c r="P11" s="772"/>
      <c r="Q11" s="696"/>
      <c r="R11" s="772"/>
      <c r="S11" s="702"/>
    </row>
    <row r="12" spans="1:19" ht="14.4" customHeight="1" x14ac:dyDescent="0.3">
      <c r="A12" s="718" t="s">
        <v>4206</v>
      </c>
      <c r="B12" s="772">
        <v>29094250</v>
      </c>
      <c r="C12" s="696">
        <v>1</v>
      </c>
      <c r="D12" s="772">
        <v>30552252</v>
      </c>
      <c r="E12" s="696">
        <v>1.0501130635778548</v>
      </c>
      <c r="F12" s="772">
        <v>31480032</v>
      </c>
      <c r="G12" s="701">
        <v>1.0820018388513195</v>
      </c>
      <c r="H12" s="772">
        <v>4662164.3699999973</v>
      </c>
      <c r="I12" s="696">
        <v>1</v>
      </c>
      <c r="J12" s="772">
        <v>3511817.8199999984</v>
      </c>
      <c r="K12" s="696">
        <v>0.7532591177174649</v>
      </c>
      <c r="L12" s="772">
        <v>4590731.7399999984</v>
      </c>
      <c r="M12" s="701">
        <v>0.98467822574861319</v>
      </c>
      <c r="N12" s="772"/>
      <c r="O12" s="696"/>
      <c r="P12" s="772"/>
      <c r="Q12" s="696"/>
      <c r="R12" s="772"/>
      <c r="S12" s="702"/>
    </row>
    <row r="13" spans="1:19" ht="14.4" customHeight="1" x14ac:dyDescent="0.3">
      <c r="A13" s="718" t="s">
        <v>4207</v>
      </c>
      <c r="B13" s="772">
        <v>3704862</v>
      </c>
      <c r="C13" s="696">
        <v>1</v>
      </c>
      <c r="D13" s="772">
        <v>3111597</v>
      </c>
      <c r="E13" s="696">
        <v>0.83986852951607915</v>
      </c>
      <c r="F13" s="772">
        <v>3872198</v>
      </c>
      <c r="G13" s="701">
        <v>1.045166594599205</v>
      </c>
      <c r="H13" s="772"/>
      <c r="I13" s="696"/>
      <c r="J13" s="772">
        <v>40713.75</v>
      </c>
      <c r="K13" s="696"/>
      <c r="L13" s="772">
        <v>138426.75</v>
      </c>
      <c r="M13" s="701"/>
      <c r="N13" s="772"/>
      <c r="O13" s="696"/>
      <c r="P13" s="772"/>
      <c r="Q13" s="696"/>
      <c r="R13" s="772"/>
      <c r="S13" s="702"/>
    </row>
    <row r="14" spans="1:19" ht="14.4" customHeight="1" x14ac:dyDescent="0.3">
      <c r="A14" s="718" t="s">
        <v>4208</v>
      </c>
      <c r="B14" s="772">
        <v>102133</v>
      </c>
      <c r="C14" s="696">
        <v>1</v>
      </c>
      <c r="D14" s="772">
        <v>41380</v>
      </c>
      <c r="E14" s="696">
        <v>0.4051579802806145</v>
      </c>
      <c r="F14" s="772">
        <v>79345</v>
      </c>
      <c r="G14" s="701">
        <v>0.77687916736020679</v>
      </c>
      <c r="H14" s="772"/>
      <c r="I14" s="696"/>
      <c r="J14" s="772"/>
      <c r="K14" s="696"/>
      <c r="L14" s="772">
        <v>3619</v>
      </c>
      <c r="M14" s="701"/>
      <c r="N14" s="772"/>
      <c r="O14" s="696"/>
      <c r="P14" s="772"/>
      <c r="Q14" s="696"/>
      <c r="R14" s="772"/>
      <c r="S14" s="702"/>
    </row>
    <row r="15" spans="1:19" ht="14.4" customHeight="1" x14ac:dyDescent="0.3">
      <c r="A15" s="718" t="s">
        <v>4209</v>
      </c>
      <c r="B15" s="772">
        <v>2783554</v>
      </c>
      <c r="C15" s="696">
        <v>1</v>
      </c>
      <c r="D15" s="772">
        <v>2708438</v>
      </c>
      <c r="E15" s="696">
        <v>0.97301435502957734</v>
      </c>
      <c r="F15" s="772">
        <v>2977130</v>
      </c>
      <c r="G15" s="701">
        <v>1.0695427500238903</v>
      </c>
      <c r="H15" s="772"/>
      <c r="I15" s="696"/>
      <c r="J15" s="772">
        <v>19338.64</v>
      </c>
      <c r="K15" s="696"/>
      <c r="L15" s="772">
        <v>47951.75</v>
      </c>
      <c r="M15" s="701"/>
      <c r="N15" s="772"/>
      <c r="O15" s="696"/>
      <c r="P15" s="772"/>
      <c r="Q15" s="696"/>
      <c r="R15" s="772"/>
      <c r="S15" s="702"/>
    </row>
    <row r="16" spans="1:19" ht="14.4" customHeight="1" x14ac:dyDescent="0.3">
      <c r="A16" s="718" t="s">
        <v>4210</v>
      </c>
      <c r="B16" s="772">
        <v>4169355</v>
      </c>
      <c r="C16" s="696">
        <v>1</v>
      </c>
      <c r="D16" s="772">
        <v>4275095</v>
      </c>
      <c r="E16" s="696">
        <v>1.0253612369299328</v>
      </c>
      <c r="F16" s="772">
        <v>4734870</v>
      </c>
      <c r="G16" s="701">
        <v>1.135636087596283</v>
      </c>
      <c r="H16" s="772">
        <v>970.56</v>
      </c>
      <c r="I16" s="696">
        <v>1</v>
      </c>
      <c r="J16" s="772">
        <v>59976.739999999991</v>
      </c>
      <c r="K16" s="696">
        <v>61.796014671941968</v>
      </c>
      <c r="L16" s="772">
        <v>262110.25000000006</v>
      </c>
      <c r="M16" s="701">
        <v>270.06084116386421</v>
      </c>
      <c r="N16" s="772"/>
      <c r="O16" s="696"/>
      <c r="P16" s="772"/>
      <c r="Q16" s="696"/>
      <c r="R16" s="772"/>
      <c r="S16" s="702"/>
    </row>
    <row r="17" spans="1:19" ht="14.4" customHeight="1" x14ac:dyDescent="0.3">
      <c r="A17" s="718" t="s">
        <v>4211</v>
      </c>
      <c r="B17" s="772">
        <v>1862522</v>
      </c>
      <c r="C17" s="696">
        <v>1</v>
      </c>
      <c r="D17" s="772">
        <v>1499177</v>
      </c>
      <c r="E17" s="696">
        <v>0.80491774056897047</v>
      </c>
      <c r="F17" s="772">
        <v>1985102</v>
      </c>
      <c r="G17" s="701">
        <v>1.0658139877005479</v>
      </c>
      <c r="H17" s="772">
        <v>242.64</v>
      </c>
      <c r="I17" s="696">
        <v>1</v>
      </c>
      <c r="J17" s="772">
        <v>35527.89</v>
      </c>
      <c r="K17" s="696">
        <v>146.42223046488627</v>
      </c>
      <c r="L17" s="772">
        <v>85289.14</v>
      </c>
      <c r="M17" s="701">
        <v>351.50486317177712</v>
      </c>
      <c r="N17" s="772"/>
      <c r="O17" s="696"/>
      <c r="P17" s="772"/>
      <c r="Q17" s="696"/>
      <c r="R17" s="772"/>
      <c r="S17" s="702"/>
    </row>
    <row r="18" spans="1:19" ht="14.4" customHeight="1" x14ac:dyDescent="0.3">
      <c r="A18" s="718" t="s">
        <v>4212</v>
      </c>
      <c r="B18" s="772">
        <v>2158745</v>
      </c>
      <c r="C18" s="696">
        <v>1</v>
      </c>
      <c r="D18" s="772">
        <v>1985060</v>
      </c>
      <c r="E18" s="696">
        <v>0.91954353107940034</v>
      </c>
      <c r="F18" s="772">
        <v>2033239</v>
      </c>
      <c r="G18" s="701">
        <v>0.94186159087803334</v>
      </c>
      <c r="H18" s="772"/>
      <c r="I18" s="696"/>
      <c r="J18" s="772">
        <v>8142.75</v>
      </c>
      <c r="K18" s="696"/>
      <c r="L18" s="772">
        <v>9952.25</v>
      </c>
      <c r="M18" s="701"/>
      <c r="N18" s="772"/>
      <c r="O18" s="696"/>
      <c r="P18" s="772"/>
      <c r="Q18" s="696"/>
      <c r="R18" s="772"/>
      <c r="S18" s="702"/>
    </row>
    <row r="19" spans="1:19" ht="14.4" customHeight="1" x14ac:dyDescent="0.3">
      <c r="A19" s="718" t="s">
        <v>4213</v>
      </c>
      <c r="B19" s="772">
        <v>507951</v>
      </c>
      <c r="C19" s="696">
        <v>1</v>
      </c>
      <c r="D19" s="772">
        <v>387497</v>
      </c>
      <c r="E19" s="696">
        <v>0.76286295331636322</v>
      </c>
      <c r="F19" s="772">
        <v>395702</v>
      </c>
      <c r="G19" s="701">
        <v>0.77901608619729068</v>
      </c>
      <c r="H19" s="772"/>
      <c r="I19" s="696"/>
      <c r="J19" s="772"/>
      <c r="K19" s="696"/>
      <c r="L19" s="772">
        <v>6333.25</v>
      </c>
      <c r="M19" s="701"/>
      <c r="N19" s="772"/>
      <c r="O19" s="696"/>
      <c r="P19" s="772"/>
      <c r="Q19" s="696"/>
      <c r="R19" s="772"/>
      <c r="S19" s="702"/>
    </row>
    <row r="20" spans="1:19" ht="14.4" customHeight="1" x14ac:dyDescent="0.3">
      <c r="A20" s="718" t="s">
        <v>4214</v>
      </c>
      <c r="B20" s="772">
        <v>144383</v>
      </c>
      <c r="C20" s="696">
        <v>1</v>
      </c>
      <c r="D20" s="772">
        <v>186329</v>
      </c>
      <c r="E20" s="696">
        <v>1.2905189669143875</v>
      </c>
      <c r="F20" s="772">
        <v>216376</v>
      </c>
      <c r="G20" s="701">
        <v>1.4986251844053662</v>
      </c>
      <c r="H20" s="772"/>
      <c r="I20" s="696"/>
      <c r="J20" s="772">
        <v>904.75</v>
      </c>
      <c r="K20" s="696"/>
      <c r="L20" s="772">
        <v>5428.5</v>
      </c>
      <c r="M20" s="701"/>
      <c r="N20" s="772"/>
      <c r="O20" s="696"/>
      <c r="P20" s="772"/>
      <c r="Q20" s="696"/>
      <c r="R20" s="772"/>
      <c r="S20" s="702"/>
    </row>
    <row r="21" spans="1:19" ht="14.4" customHeight="1" x14ac:dyDescent="0.3">
      <c r="A21" s="718" t="s">
        <v>4215</v>
      </c>
      <c r="B21" s="772">
        <v>129530</v>
      </c>
      <c r="C21" s="696">
        <v>1</v>
      </c>
      <c r="D21" s="772">
        <v>204269</v>
      </c>
      <c r="E21" s="696">
        <v>1.5770014668416583</v>
      </c>
      <c r="F21" s="772">
        <v>216424</v>
      </c>
      <c r="G21" s="701">
        <v>1.6708407318767853</v>
      </c>
      <c r="H21" s="772"/>
      <c r="I21" s="696"/>
      <c r="J21" s="772">
        <v>1809.5</v>
      </c>
      <c r="K21" s="696"/>
      <c r="L21" s="772">
        <v>7480.6399999999994</v>
      </c>
      <c r="M21" s="701"/>
      <c r="N21" s="772"/>
      <c r="O21" s="696"/>
      <c r="P21" s="772"/>
      <c r="Q21" s="696"/>
      <c r="R21" s="772"/>
      <c r="S21" s="702"/>
    </row>
    <row r="22" spans="1:19" ht="14.4" customHeight="1" x14ac:dyDescent="0.3">
      <c r="A22" s="718" t="s">
        <v>4216</v>
      </c>
      <c r="B22" s="772">
        <v>63902</v>
      </c>
      <c r="C22" s="696">
        <v>1</v>
      </c>
      <c r="D22" s="772">
        <v>76454</v>
      </c>
      <c r="E22" s="696">
        <v>1.1964257769709867</v>
      </c>
      <c r="F22" s="772">
        <v>54459</v>
      </c>
      <c r="G22" s="701">
        <v>0.85222684736002008</v>
      </c>
      <c r="H22" s="772"/>
      <c r="I22" s="696"/>
      <c r="J22" s="772"/>
      <c r="K22" s="696"/>
      <c r="L22" s="772"/>
      <c r="M22" s="701"/>
      <c r="N22" s="772"/>
      <c r="O22" s="696"/>
      <c r="P22" s="772"/>
      <c r="Q22" s="696"/>
      <c r="R22" s="772"/>
      <c r="S22" s="702"/>
    </row>
    <row r="23" spans="1:19" ht="14.4" customHeight="1" x14ac:dyDescent="0.3">
      <c r="A23" s="718" t="s">
        <v>4217</v>
      </c>
      <c r="B23" s="772">
        <v>557</v>
      </c>
      <c r="C23" s="696">
        <v>1</v>
      </c>
      <c r="D23" s="772"/>
      <c r="E23" s="696"/>
      <c r="F23" s="772">
        <v>327</v>
      </c>
      <c r="G23" s="701">
        <v>0.58707360861759428</v>
      </c>
      <c r="H23" s="772"/>
      <c r="I23" s="696"/>
      <c r="J23" s="772"/>
      <c r="K23" s="696"/>
      <c r="L23" s="772"/>
      <c r="M23" s="701"/>
      <c r="N23" s="772"/>
      <c r="O23" s="696"/>
      <c r="P23" s="772"/>
      <c r="Q23" s="696"/>
      <c r="R23" s="772"/>
      <c r="S23" s="702"/>
    </row>
    <row r="24" spans="1:19" ht="14.4" customHeight="1" x14ac:dyDescent="0.3">
      <c r="A24" s="718" t="s">
        <v>4218</v>
      </c>
      <c r="B24" s="772">
        <v>48465</v>
      </c>
      <c r="C24" s="696">
        <v>1</v>
      </c>
      <c r="D24" s="772">
        <v>66206</v>
      </c>
      <c r="E24" s="696">
        <v>1.3660579799855566</v>
      </c>
      <c r="F24" s="772">
        <v>44915</v>
      </c>
      <c r="G24" s="701">
        <v>0.92675126379861761</v>
      </c>
      <c r="H24" s="772"/>
      <c r="I24" s="696"/>
      <c r="J24" s="772"/>
      <c r="K24" s="696"/>
      <c r="L24" s="772"/>
      <c r="M24" s="701"/>
      <c r="N24" s="772"/>
      <c r="O24" s="696"/>
      <c r="P24" s="772"/>
      <c r="Q24" s="696"/>
      <c r="R24" s="772"/>
      <c r="S24" s="702"/>
    </row>
    <row r="25" spans="1:19" ht="14.4" customHeight="1" x14ac:dyDescent="0.3">
      <c r="A25" s="718" t="s">
        <v>4219</v>
      </c>
      <c r="B25" s="772">
        <v>582503</v>
      </c>
      <c r="C25" s="696">
        <v>1</v>
      </c>
      <c r="D25" s="772">
        <v>430252</v>
      </c>
      <c r="E25" s="696">
        <v>0.73862623883482148</v>
      </c>
      <c r="F25" s="772">
        <v>539538</v>
      </c>
      <c r="G25" s="701">
        <v>0.92624072322374307</v>
      </c>
      <c r="H25" s="772"/>
      <c r="I25" s="696"/>
      <c r="J25" s="772">
        <v>1809.5</v>
      </c>
      <c r="K25" s="696"/>
      <c r="L25" s="772">
        <v>904.75</v>
      </c>
      <c r="M25" s="701"/>
      <c r="N25" s="772"/>
      <c r="O25" s="696"/>
      <c r="P25" s="772"/>
      <c r="Q25" s="696"/>
      <c r="R25" s="772"/>
      <c r="S25" s="702"/>
    </row>
    <row r="26" spans="1:19" ht="14.4" customHeight="1" x14ac:dyDescent="0.3">
      <c r="A26" s="718" t="s">
        <v>4220</v>
      </c>
      <c r="B26" s="772">
        <v>31892</v>
      </c>
      <c r="C26" s="696">
        <v>1</v>
      </c>
      <c r="D26" s="772">
        <v>29498</v>
      </c>
      <c r="E26" s="696">
        <v>0.92493415276558388</v>
      </c>
      <c r="F26" s="772">
        <v>62807</v>
      </c>
      <c r="G26" s="701">
        <v>1.969365358083532</v>
      </c>
      <c r="H26" s="772">
        <v>8735.0400000000009</v>
      </c>
      <c r="I26" s="696">
        <v>1</v>
      </c>
      <c r="J26" s="772">
        <v>8007.119999999999</v>
      </c>
      <c r="K26" s="696">
        <v>0.91666666666666641</v>
      </c>
      <c r="L26" s="772">
        <v>17007.259999999998</v>
      </c>
      <c r="M26" s="701">
        <v>1.9470156976957171</v>
      </c>
      <c r="N26" s="772"/>
      <c r="O26" s="696"/>
      <c r="P26" s="772"/>
      <c r="Q26" s="696"/>
      <c r="R26" s="772"/>
      <c r="S26" s="702"/>
    </row>
    <row r="27" spans="1:19" ht="14.4" customHeight="1" x14ac:dyDescent="0.3">
      <c r="A27" s="718" t="s">
        <v>4221</v>
      </c>
      <c r="B27" s="772">
        <v>915353</v>
      </c>
      <c r="C27" s="696">
        <v>1</v>
      </c>
      <c r="D27" s="772"/>
      <c r="E27" s="696"/>
      <c r="F27" s="772"/>
      <c r="G27" s="701"/>
      <c r="H27" s="772">
        <v>485.28</v>
      </c>
      <c r="I27" s="696">
        <v>1</v>
      </c>
      <c r="J27" s="772"/>
      <c r="K27" s="696"/>
      <c r="L27" s="772"/>
      <c r="M27" s="701"/>
      <c r="N27" s="772"/>
      <c r="O27" s="696"/>
      <c r="P27" s="772"/>
      <c r="Q27" s="696"/>
      <c r="R27" s="772"/>
      <c r="S27" s="702"/>
    </row>
    <row r="28" spans="1:19" ht="14.4" customHeight="1" x14ac:dyDescent="0.3">
      <c r="A28" s="718" t="s">
        <v>4222</v>
      </c>
      <c r="B28" s="772">
        <v>3110</v>
      </c>
      <c r="C28" s="696">
        <v>1</v>
      </c>
      <c r="D28" s="772">
        <v>5390</v>
      </c>
      <c r="E28" s="696">
        <v>1.7331189710610932</v>
      </c>
      <c r="F28" s="772">
        <v>7160</v>
      </c>
      <c r="G28" s="701">
        <v>2.302250803858521</v>
      </c>
      <c r="H28" s="772"/>
      <c r="I28" s="696"/>
      <c r="J28" s="772"/>
      <c r="K28" s="696"/>
      <c r="L28" s="772">
        <v>500</v>
      </c>
      <c r="M28" s="701"/>
      <c r="N28" s="772"/>
      <c r="O28" s="696"/>
      <c r="P28" s="772"/>
      <c r="Q28" s="696"/>
      <c r="R28" s="772"/>
      <c r="S28" s="702"/>
    </row>
    <row r="29" spans="1:19" ht="14.4" customHeight="1" x14ac:dyDescent="0.3">
      <c r="A29" s="718" t="s">
        <v>4223</v>
      </c>
      <c r="B29" s="772">
        <v>3240513</v>
      </c>
      <c r="C29" s="696">
        <v>1</v>
      </c>
      <c r="D29" s="772">
        <v>3131844</v>
      </c>
      <c r="E29" s="696">
        <v>0.96646549481517274</v>
      </c>
      <c r="F29" s="772">
        <v>3111984</v>
      </c>
      <c r="G29" s="701">
        <v>0.96033683555659244</v>
      </c>
      <c r="H29" s="772">
        <v>31300.559999999998</v>
      </c>
      <c r="I29" s="696">
        <v>1</v>
      </c>
      <c r="J29" s="772">
        <v>27730.780000000002</v>
      </c>
      <c r="K29" s="696">
        <v>0.8859515612500225</v>
      </c>
      <c r="L29" s="772">
        <v>34351.879999999997</v>
      </c>
      <c r="M29" s="701">
        <v>1.0974845178488819</v>
      </c>
      <c r="N29" s="772"/>
      <c r="O29" s="696"/>
      <c r="P29" s="772"/>
      <c r="Q29" s="696"/>
      <c r="R29" s="772"/>
      <c r="S29" s="702"/>
    </row>
    <row r="30" spans="1:19" ht="14.4" customHeight="1" x14ac:dyDescent="0.3">
      <c r="A30" s="718" t="s">
        <v>4224</v>
      </c>
      <c r="B30" s="772">
        <v>6505</v>
      </c>
      <c r="C30" s="696">
        <v>1</v>
      </c>
      <c r="D30" s="772">
        <v>4727</v>
      </c>
      <c r="E30" s="696">
        <v>0.72667179093005385</v>
      </c>
      <c r="F30" s="772">
        <v>3224</v>
      </c>
      <c r="G30" s="701">
        <v>0.49561875480399692</v>
      </c>
      <c r="H30" s="772"/>
      <c r="I30" s="696"/>
      <c r="J30" s="772"/>
      <c r="K30" s="696"/>
      <c r="L30" s="772"/>
      <c r="M30" s="701"/>
      <c r="N30" s="772"/>
      <c r="O30" s="696"/>
      <c r="P30" s="772"/>
      <c r="Q30" s="696"/>
      <c r="R30" s="772"/>
      <c r="S30" s="702"/>
    </row>
    <row r="31" spans="1:19" ht="14.4" customHeight="1" x14ac:dyDescent="0.3">
      <c r="A31" s="718" t="s">
        <v>4225</v>
      </c>
      <c r="B31" s="772">
        <v>39387</v>
      </c>
      <c r="C31" s="696">
        <v>1</v>
      </c>
      <c r="D31" s="772">
        <v>33839</v>
      </c>
      <c r="E31" s="696">
        <v>0.85914134105161599</v>
      </c>
      <c r="F31" s="772">
        <v>33723</v>
      </c>
      <c r="G31" s="701">
        <v>0.85619620687028719</v>
      </c>
      <c r="H31" s="772"/>
      <c r="I31" s="696"/>
      <c r="J31" s="772"/>
      <c r="K31" s="696"/>
      <c r="L31" s="772">
        <v>904.75</v>
      </c>
      <c r="M31" s="701"/>
      <c r="N31" s="772"/>
      <c r="O31" s="696"/>
      <c r="P31" s="772"/>
      <c r="Q31" s="696"/>
      <c r="R31" s="772"/>
      <c r="S31" s="702"/>
    </row>
    <row r="32" spans="1:19" ht="14.4" customHeight="1" thickBot="1" x14ac:dyDescent="0.35">
      <c r="A32" s="774" t="s">
        <v>4226</v>
      </c>
      <c r="B32" s="773">
        <v>3716378</v>
      </c>
      <c r="C32" s="704">
        <v>1</v>
      </c>
      <c r="D32" s="773">
        <v>4756297</v>
      </c>
      <c r="E32" s="704">
        <v>1.2798205672297058</v>
      </c>
      <c r="F32" s="773">
        <v>4500543</v>
      </c>
      <c r="G32" s="709">
        <v>1.2110024868299187</v>
      </c>
      <c r="H32" s="773">
        <v>9240</v>
      </c>
      <c r="I32" s="704">
        <v>1</v>
      </c>
      <c r="J32" s="773">
        <v>119149.89</v>
      </c>
      <c r="K32" s="704">
        <v>12.89500974025974</v>
      </c>
      <c r="L32" s="773">
        <v>197524.25</v>
      </c>
      <c r="M32" s="709">
        <v>21.377083333333335</v>
      </c>
      <c r="N32" s="773"/>
      <c r="O32" s="704"/>
      <c r="P32" s="773"/>
      <c r="Q32" s="704"/>
      <c r="R32" s="773"/>
      <c r="S32" s="710"/>
    </row>
  </sheetData>
  <mergeCells count="5">
    <mergeCell ref="A1:S1"/>
    <mergeCell ref="A4:A5"/>
    <mergeCell ref="B4:G4"/>
    <mergeCell ref="H4:M4"/>
    <mergeCell ref="N4:S4"/>
  </mergeCells>
  <conditionalFormatting sqref="F6:F1048576">
    <cfRule type="dataBar" priority="3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{BA794F54-B18B-4A26-BB4F-CB6E26EA0EF6}</x14:id>
        </ext>
      </extLst>
    </cfRule>
  </conditionalFormatting>
  <conditionalFormatting sqref="L6:L1048576">
    <cfRule type="dataBar" priority="2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{902DDBAC-AFA8-4C48-B345-7784752BF2A0}</x14:id>
        </ext>
      </extLst>
    </cfRule>
  </conditionalFormatting>
  <conditionalFormatting sqref="R6:R1048576">
    <cfRule type="dataBar" priority="1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{79EC4184-E94E-4209-8644-6CBC339FEFF0}</x14:id>
        </ext>
      </extLs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  <ignoredErrors>
    <ignoredError sqref="B3 D3 F3 H3 J3 L3 N3 P3 R3" formulaRange="1"/>
    <ignoredError sqref="G3 M3" formula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BA794F54-B18B-4A26-BB4F-CB6E26EA0EF6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F6:F1048576</xm:sqref>
        </x14:conditionalFormatting>
        <x14:conditionalFormatting xmlns:xm="http://schemas.microsoft.com/office/excel/2006/main">
          <x14:cfRule type="dataBar" id="{902DDBAC-AFA8-4C48-B345-7784752BF2A0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L6:L1048576</xm:sqref>
        </x14:conditionalFormatting>
        <x14:conditionalFormatting xmlns:xm="http://schemas.microsoft.com/office/excel/2006/main">
          <x14:cfRule type="dataBar" id="{79EC4184-E94E-4209-8644-6CBC339FEFF0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R6:R1048576</xm:sqref>
        </x14:conditionalFormatting>
      </x14:conditionalFormattings>
    </ext>
  </extLst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1">
    <tabColor theme="0" tint="-0.249977111117893"/>
    <pageSetUpPr fitToPage="1"/>
  </sheetPr>
  <dimension ref="A1:Q1229"/>
  <sheetViews>
    <sheetView showGridLines="0" showRowColHeaders="0" workbookViewId="0">
      <pane ySplit="5" topLeftCell="A6" activePane="bottomLeft" state="frozen"/>
      <selection activeCell="A5" sqref="A5"/>
      <selection pane="bottomLeft" sqref="A1:Q1"/>
    </sheetView>
  </sheetViews>
  <sheetFormatPr defaultRowHeight="14.4" customHeight="1" x14ac:dyDescent="0.3"/>
  <cols>
    <col min="1" max="1" width="3" style="257" bestFit="1" customWidth="1"/>
    <col min="2" max="2" width="8.6640625" style="257" bestFit="1" customWidth="1"/>
    <col min="3" max="3" width="2.109375" style="257" bestFit="1" customWidth="1"/>
    <col min="4" max="4" width="8" style="257" bestFit="1" customWidth="1"/>
    <col min="5" max="5" width="52.88671875" style="257" bestFit="1" customWidth="1"/>
    <col min="6" max="7" width="11.109375" style="340" customWidth="1"/>
    <col min="8" max="9" width="9.33203125" style="340" hidden="1" customWidth="1"/>
    <col min="10" max="11" width="11.109375" style="340" customWidth="1"/>
    <col min="12" max="13" width="9.33203125" style="340" hidden="1" customWidth="1"/>
    <col min="14" max="15" width="11.109375" style="340" customWidth="1"/>
    <col min="16" max="16" width="11.109375" style="343" customWidth="1"/>
    <col min="17" max="17" width="11.109375" style="340" customWidth="1"/>
    <col min="18" max="16384" width="8.88671875" style="257"/>
  </cols>
  <sheetData>
    <row r="1" spans="1:17" ht="18.600000000000001" customHeight="1" thickBot="1" x14ac:dyDescent="0.4">
      <c r="A1" s="458" t="s">
        <v>4920</v>
      </c>
      <c r="B1" s="458"/>
      <c r="C1" s="458"/>
      <c r="D1" s="458"/>
      <c r="E1" s="458"/>
      <c r="F1" s="458"/>
      <c r="G1" s="458"/>
      <c r="H1" s="458"/>
      <c r="I1" s="458"/>
      <c r="J1" s="458"/>
      <c r="K1" s="458"/>
      <c r="L1" s="458"/>
      <c r="M1" s="458"/>
      <c r="N1" s="458"/>
      <c r="O1" s="458"/>
      <c r="P1" s="458"/>
      <c r="Q1" s="458"/>
    </row>
    <row r="2" spans="1:17" ht="14.4" customHeight="1" thickBot="1" x14ac:dyDescent="0.35">
      <c r="A2" s="386" t="s">
        <v>321</v>
      </c>
      <c r="B2" s="258"/>
      <c r="C2" s="258"/>
      <c r="D2" s="258"/>
      <c r="E2" s="258"/>
      <c r="F2" s="361"/>
      <c r="G2" s="361"/>
      <c r="H2" s="361"/>
      <c r="I2" s="361"/>
      <c r="J2" s="361"/>
      <c r="K2" s="361"/>
      <c r="L2" s="361"/>
      <c r="M2" s="361"/>
      <c r="N2" s="361"/>
      <c r="O2" s="361"/>
      <c r="P2" s="362"/>
      <c r="Q2" s="361"/>
    </row>
    <row r="3" spans="1:17" ht="14.4" customHeight="1" thickBot="1" x14ac:dyDescent="0.35">
      <c r="E3" s="112" t="s">
        <v>160</v>
      </c>
      <c r="F3" s="214">
        <f t="shared" ref="F3:O3" si="0">SUBTOTAL(9,F6:F1048576)</f>
        <v>98187.49000000002</v>
      </c>
      <c r="G3" s="215">
        <f t="shared" si="0"/>
        <v>69518157.729999989</v>
      </c>
      <c r="H3" s="215"/>
      <c r="I3" s="215"/>
      <c r="J3" s="215">
        <f t="shared" si="0"/>
        <v>96784.210000000021</v>
      </c>
      <c r="K3" s="215">
        <f t="shared" si="0"/>
        <v>69583770.49000001</v>
      </c>
      <c r="L3" s="215"/>
      <c r="M3" s="215"/>
      <c r="N3" s="215">
        <f t="shared" si="0"/>
        <v>106323.84</v>
      </c>
      <c r="O3" s="215">
        <f t="shared" si="0"/>
        <v>75390249.810000002</v>
      </c>
      <c r="P3" s="79">
        <f>IF(G3=0,0,O3/G3)</f>
        <v>1.0844684650995284</v>
      </c>
      <c r="Q3" s="216">
        <f>IF(N3=0,0,O3/N3)</f>
        <v>709.06251890450915</v>
      </c>
    </row>
    <row r="4" spans="1:17" ht="14.4" customHeight="1" x14ac:dyDescent="0.3">
      <c r="A4" s="532" t="s">
        <v>74</v>
      </c>
      <c r="B4" s="531" t="s">
        <v>119</v>
      </c>
      <c r="C4" s="532" t="s">
        <v>120</v>
      </c>
      <c r="D4" s="533" t="s">
        <v>121</v>
      </c>
      <c r="E4" s="534" t="s">
        <v>81</v>
      </c>
      <c r="F4" s="538">
        <v>2012</v>
      </c>
      <c r="G4" s="539"/>
      <c r="H4" s="217"/>
      <c r="I4" s="217"/>
      <c r="J4" s="538">
        <v>2013</v>
      </c>
      <c r="K4" s="539"/>
      <c r="L4" s="217"/>
      <c r="M4" s="217"/>
      <c r="N4" s="538">
        <v>2014</v>
      </c>
      <c r="O4" s="539"/>
      <c r="P4" s="540" t="s">
        <v>2</v>
      </c>
      <c r="Q4" s="530" t="s">
        <v>122</v>
      </c>
    </row>
    <row r="5" spans="1:17" ht="14.4" customHeight="1" thickBot="1" x14ac:dyDescent="0.35">
      <c r="A5" s="763"/>
      <c r="B5" s="762"/>
      <c r="C5" s="763"/>
      <c r="D5" s="764"/>
      <c r="E5" s="765"/>
      <c r="F5" s="775" t="s">
        <v>91</v>
      </c>
      <c r="G5" s="776" t="s">
        <v>14</v>
      </c>
      <c r="H5" s="777"/>
      <c r="I5" s="777"/>
      <c r="J5" s="775" t="s">
        <v>91</v>
      </c>
      <c r="K5" s="776" t="s">
        <v>14</v>
      </c>
      <c r="L5" s="777"/>
      <c r="M5" s="777"/>
      <c r="N5" s="775" t="s">
        <v>91</v>
      </c>
      <c r="O5" s="776" t="s">
        <v>14</v>
      </c>
      <c r="P5" s="778"/>
      <c r="Q5" s="770"/>
    </row>
    <row r="6" spans="1:17" ht="14.4" customHeight="1" x14ac:dyDescent="0.3">
      <c r="A6" s="624" t="s">
        <v>4227</v>
      </c>
      <c r="B6" s="625" t="s">
        <v>4082</v>
      </c>
      <c r="C6" s="625" t="s">
        <v>4103</v>
      </c>
      <c r="D6" s="625" t="s">
        <v>4228</v>
      </c>
      <c r="E6" s="625" t="s">
        <v>4229</v>
      </c>
      <c r="F6" s="628"/>
      <c r="G6" s="628"/>
      <c r="H6" s="628"/>
      <c r="I6" s="628"/>
      <c r="J6" s="628">
        <v>1</v>
      </c>
      <c r="K6" s="628">
        <v>904.75</v>
      </c>
      <c r="L6" s="628"/>
      <c r="M6" s="628">
        <v>904.75</v>
      </c>
      <c r="N6" s="628">
        <v>2</v>
      </c>
      <c r="O6" s="628">
        <v>1809.5</v>
      </c>
      <c r="P6" s="646"/>
      <c r="Q6" s="629">
        <v>904.75</v>
      </c>
    </row>
    <row r="7" spans="1:17" ht="14.4" customHeight="1" x14ac:dyDescent="0.3">
      <c r="A7" s="695" t="s">
        <v>4227</v>
      </c>
      <c r="B7" s="696" t="s">
        <v>4082</v>
      </c>
      <c r="C7" s="696" t="s">
        <v>4114</v>
      </c>
      <c r="D7" s="696" t="s">
        <v>4230</v>
      </c>
      <c r="E7" s="696" t="s">
        <v>4231</v>
      </c>
      <c r="F7" s="711">
        <v>1</v>
      </c>
      <c r="G7" s="711">
        <v>185</v>
      </c>
      <c r="H7" s="711">
        <v>1</v>
      </c>
      <c r="I7" s="711">
        <v>185</v>
      </c>
      <c r="J7" s="711"/>
      <c r="K7" s="711"/>
      <c r="L7" s="711"/>
      <c r="M7" s="711"/>
      <c r="N7" s="711"/>
      <c r="O7" s="711"/>
      <c r="P7" s="701"/>
      <c r="Q7" s="712"/>
    </row>
    <row r="8" spans="1:17" ht="14.4" customHeight="1" x14ac:dyDescent="0.3">
      <c r="A8" s="695" t="s">
        <v>4227</v>
      </c>
      <c r="B8" s="696" t="s">
        <v>4082</v>
      </c>
      <c r="C8" s="696" t="s">
        <v>4114</v>
      </c>
      <c r="D8" s="696" t="s">
        <v>4119</v>
      </c>
      <c r="E8" s="696" t="s">
        <v>4120</v>
      </c>
      <c r="F8" s="711">
        <v>1</v>
      </c>
      <c r="G8" s="711">
        <v>34</v>
      </c>
      <c r="H8" s="711">
        <v>1</v>
      </c>
      <c r="I8" s="711">
        <v>34</v>
      </c>
      <c r="J8" s="711">
        <v>1</v>
      </c>
      <c r="K8" s="711">
        <v>34</v>
      </c>
      <c r="L8" s="711">
        <v>1</v>
      </c>
      <c r="M8" s="711">
        <v>34</v>
      </c>
      <c r="N8" s="711"/>
      <c r="O8" s="711"/>
      <c r="P8" s="701"/>
      <c r="Q8" s="712"/>
    </row>
    <row r="9" spans="1:17" ht="14.4" customHeight="1" x14ac:dyDescent="0.3">
      <c r="A9" s="695" t="s">
        <v>4227</v>
      </c>
      <c r="B9" s="696" t="s">
        <v>4082</v>
      </c>
      <c r="C9" s="696" t="s">
        <v>4114</v>
      </c>
      <c r="D9" s="696" t="s">
        <v>4125</v>
      </c>
      <c r="E9" s="696" t="s">
        <v>4078</v>
      </c>
      <c r="F9" s="711">
        <v>1</v>
      </c>
      <c r="G9" s="711">
        <v>156</v>
      </c>
      <c r="H9" s="711">
        <v>1</v>
      </c>
      <c r="I9" s="711">
        <v>156</v>
      </c>
      <c r="J9" s="711"/>
      <c r="K9" s="711"/>
      <c r="L9" s="711"/>
      <c r="M9" s="711"/>
      <c r="N9" s="711"/>
      <c r="O9" s="711"/>
      <c r="P9" s="701"/>
      <c r="Q9" s="712"/>
    </row>
    <row r="10" spans="1:17" ht="14.4" customHeight="1" x14ac:dyDescent="0.3">
      <c r="A10" s="695" t="s">
        <v>4227</v>
      </c>
      <c r="B10" s="696" t="s">
        <v>4082</v>
      </c>
      <c r="C10" s="696" t="s">
        <v>4114</v>
      </c>
      <c r="D10" s="696" t="s">
        <v>4126</v>
      </c>
      <c r="E10" s="696" t="s">
        <v>4078</v>
      </c>
      <c r="F10" s="711">
        <v>1</v>
      </c>
      <c r="G10" s="711">
        <v>78</v>
      </c>
      <c r="H10" s="711">
        <v>1</v>
      </c>
      <c r="I10" s="711">
        <v>78</v>
      </c>
      <c r="J10" s="711"/>
      <c r="K10" s="711"/>
      <c r="L10" s="711"/>
      <c r="M10" s="711"/>
      <c r="N10" s="711"/>
      <c r="O10" s="711"/>
      <c r="P10" s="701"/>
      <c r="Q10" s="712"/>
    </row>
    <row r="11" spans="1:17" ht="14.4" customHeight="1" x14ac:dyDescent="0.3">
      <c r="A11" s="695" t="s">
        <v>4227</v>
      </c>
      <c r="B11" s="696" t="s">
        <v>4082</v>
      </c>
      <c r="C11" s="696" t="s">
        <v>4114</v>
      </c>
      <c r="D11" s="696" t="s">
        <v>4127</v>
      </c>
      <c r="E11" s="696" t="s">
        <v>4128</v>
      </c>
      <c r="F11" s="711">
        <v>14</v>
      </c>
      <c r="G11" s="711">
        <v>3234</v>
      </c>
      <c r="H11" s="711">
        <v>1</v>
      </c>
      <c r="I11" s="711">
        <v>231</v>
      </c>
      <c r="J11" s="711">
        <v>22</v>
      </c>
      <c r="K11" s="711">
        <v>5104</v>
      </c>
      <c r="L11" s="711">
        <v>1.5782312925170068</v>
      </c>
      <c r="M11" s="711">
        <v>232</v>
      </c>
      <c r="N11" s="711">
        <v>34</v>
      </c>
      <c r="O11" s="711">
        <v>7906</v>
      </c>
      <c r="P11" s="701">
        <v>2.4446505875077302</v>
      </c>
      <c r="Q11" s="712">
        <v>232.52941176470588</v>
      </c>
    </row>
    <row r="12" spans="1:17" ht="14.4" customHeight="1" x14ac:dyDescent="0.3">
      <c r="A12" s="695" t="s">
        <v>4227</v>
      </c>
      <c r="B12" s="696" t="s">
        <v>4082</v>
      </c>
      <c r="C12" s="696" t="s">
        <v>4114</v>
      </c>
      <c r="D12" s="696" t="s">
        <v>4129</v>
      </c>
      <c r="E12" s="696" t="s">
        <v>4130</v>
      </c>
      <c r="F12" s="711">
        <v>3</v>
      </c>
      <c r="G12" s="711">
        <v>348</v>
      </c>
      <c r="H12" s="711">
        <v>1</v>
      </c>
      <c r="I12" s="711">
        <v>116</v>
      </c>
      <c r="J12" s="711">
        <v>15</v>
      </c>
      <c r="K12" s="711">
        <v>1740</v>
      </c>
      <c r="L12" s="711">
        <v>5</v>
      </c>
      <c r="M12" s="711">
        <v>116</v>
      </c>
      <c r="N12" s="711">
        <v>8</v>
      </c>
      <c r="O12" s="711">
        <v>934</v>
      </c>
      <c r="P12" s="701">
        <v>2.6839080459770117</v>
      </c>
      <c r="Q12" s="712">
        <v>116.75</v>
      </c>
    </row>
    <row r="13" spans="1:17" ht="14.4" customHeight="1" x14ac:dyDescent="0.3">
      <c r="A13" s="695" t="s">
        <v>4227</v>
      </c>
      <c r="B13" s="696" t="s">
        <v>4082</v>
      </c>
      <c r="C13" s="696" t="s">
        <v>4114</v>
      </c>
      <c r="D13" s="696" t="s">
        <v>4131</v>
      </c>
      <c r="E13" s="696" t="s">
        <v>4132</v>
      </c>
      <c r="F13" s="711"/>
      <c r="G13" s="711"/>
      <c r="H13" s="711"/>
      <c r="I13" s="711"/>
      <c r="J13" s="711">
        <v>2</v>
      </c>
      <c r="K13" s="711">
        <v>640</v>
      </c>
      <c r="L13" s="711"/>
      <c r="M13" s="711">
        <v>320</v>
      </c>
      <c r="N13" s="711"/>
      <c r="O13" s="711"/>
      <c r="P13" s="701"/>
      <c r="Q13" s="712"/>
    </row>
    <row r="14" spans="1:17" ht="14.4" customHeight="1" x14ac:dyDescent="0.3">
      <c r="A14" s="695" t="s">
        <v>4227</v>
      </c>
      <c r="B14" s="696" t="s">
        <v>4082</v>
      </c>
      <c r="C14" s="696" t="s">
        <v>4114</v>
      </c>
      <c r="D14" s="696" t="s">
        <v>4133</v>
      </c>
      <c r="E14" s="696" t="s">
        <v>4134</v>
      </c>
      <c r="F14" s="711">
        <v>3</v>
      </c>
      <c r="G14" s="711">
        <v>1449</v>
      </c>
      <c r="H14" s="711">
        <v>1</v>
      </c>
      <c r="I14" s="711">
        <v>483</v>
      </c>
      <c r="J14" s="711">
        <v>2</v>
      </c>
      <c r="K14" s="711">
        <v>968</v>
      </c>
      <c r="L14" s="711">
        <v>0.66804692891649409</v>
      </c>
      <c r="M14" s="711">
        <v>484</v>
      </c>
      <c r="N14" s="711"/>
      <c r="O14" s="711"/>
      <c r="P14" s="701"/>
      <c r="Q14" s="712"/>
    </row>
    <row r="15" spans="1:17" ht="14.4" customHeight="1" x14ac:dyDescent="0.3">
      <c r="A15" s="695" t="s">
        <v>4227</v>
      </c>
      <c r="B15" s="696" t="s">
        <v>4082</v>
      </c>
      <c r="C15" s="696" t="s">
        <v>4114</v>
      </c>
      <c r="D15" s="696" t="s">
        <v>4135</v>
      </c>
      <c r="E15" s="696" t="s">
        <v>4136</v>
      </c>
      <c r="F15" s="711"/>
      <c r="G15" s="711"/>
      <c r="H15" s="711"/>
      <c r="I15" s="711"/>
      <c r="J15" s="711">
        <v>4</v>
      </c>
      <c r="K15" s="711">
        <v>2708</v>
      </c>
      <c r="L15" s="711"/>
      <c r="M15" s="711">
        <v>677</v>
      </c>
      <c r="N15" s="711">
        <v>3</v>
      </c>
      <c r="O15" s="711">
        <v>2037</v>
      </c>
      <c r="P15" s="701"/>
      <c r="Q15" s="712">
        <v>679</v>
      </c>
    </row>
    <row r="16" spans="1:17" ht="14.4" customHeight="1" x14ac:dyDescent="0.3">
      <c r="A16" s="695" t="s">
        <v>4227</v>
      </c>
      <c r="B16" s="696" t="s">
        <v>4082</v>
      </c>
      <c r="C16" s="696" t="s">
        <v>4114</v>
      </c>
      <c r="D16" s="696" t="s">
        <v>4139</v>
      </c>
      <c r="E16" s="696" t="s">
        <v>4134</v>
      </c>
      <c r="F16" s="711"/>
      <c r="G16" s="711"/>
      <c r="H16" s="711"/>
      <c r="I16" s="711"/>
      <c r="J16" s="711">
        <v>1</v>
      </c>
      <c r="K16" s="711">
        <v>553</v>
      </c>
      <c r="L16" s="711"/>
      <c r="M16" s="711">
        <v>553</v>
      </c>
      <c r="N16" s="711"/>
      <c r="O16" s="711"/>
      <c r="P16" s="701"/>
      <c r="Q16" s="712"/>
    </row>
    <row r="17" spans="1:17" ht="14.4" customHeight="1" x14ac:dyDescent="0.3">
      <c r="A17" s="695" t="s">
        <v>4227</v>
      </c>
      <c r="B17" s="696" t="s">
        <v>4082</v>
      </c>
      <c r="C17" s="696" t="s">
        <v>4114</v>
      </c>
      <c r="D17" s="696" t="s">
        <v>4140</v>
      </c>
      <c r="E17" s="696" t="s">
        <v>4136</v>
      </c>
      <c r="F17" s="711">
        <v>10</v>
      </c>
      <c r="G17" s="711">
        <v>7430</v>
      </c>
      <c r="H17" s="711">
        <v>1</v>
      </c>
      <c r="I17" s="711">
        <v>743</v>
      </c>
      <c r="J17" s="711"/>
      <c r="K17" s="711"/>
      <c r="L17" s="711"/>
      <c r="M17" s="711"/>
      <c r="N17" s="711">
        <v>9</v>
      </c>
      <c r="O17" s="711">
        <v>6714</v>
      </c>
      <c r="P17" s="701">
        <v>0.90363391655450875</v>
      </c>
      <c r="Q17" s="712">
        <v>746</v>
      </c>
    </row>
    <row r="18" spans="1:17" ht="14.4" customHeight="1" x14ac:dyDescent="0.3">
      <c r="A18" s="695" t="s">
        <v>4227</v>
      </c>
      <c r="B18" s="696" t="s">
        <v>4082</v>
      </c>
      <c r="C18" s="696" t="s">
        <v>4114</v>
      </c>
      <c r="D18" s="696" t="s">
        <v>4232</v>
      </c>
      <c r="E18" s="696" t="s">
        <v>4233</v>
      </c>
      <c r="F18" s="711"/>
      <c r="G18" s="711"/>
      <c r="H18" s="711"/>
      <c r="I18" s="711"/>
      <c r="J18" s="711">
        <v>17</v>
      </c>
      <c r="K18" s="711">
        <v>13651</v>
      </c>
      <c r="L18" s="711"/>
      <c r="M18" s="711">
        <v>803</v>
      </c>
      <c r="N18" s="711">
        <v>65</v>
      </c>
      <c r="O18" s="711">
        <v>52283</v>
      </c>
      <c r="P18" s="701"/>
      <c r="Q18" s="712">
        <v>804.35384615384612</v>
      </c>
    </row>
    <row r="19" spans="1:17" ht="14.4" customHeight="1" x14ac:dyDescent="0.3">
      <c r="A19" s="695" t="s">
        <v>4227</v>
      </c>
      <c r="B19" s="696" t="s">
        <v>4082</v>
      </c>
      <c r="C19" s="696" t="s">
        <v>4114</v>
      </c>
      <c r="D19" s="696" t="s">
        <v>4141</v>
      </c>
      <c r="E19" s="696" t="s">
        <v>4142</v>
      </c>
      <c r="F19" s="711"/>
      <c r="G19" s="711"/>
      <c r="H19" s="711"/>
      <c r="I19" s="711"/>
      <c r="J19" s="711">
        <v>2</v>
      </c>
      <c r="K19" s="711">
        <v>878</v>
      </c>
      <c r="L19" s="711"/>
      <c r="M19" s="711">
        <v>439</v>
      </c>
      <c r="N19" s="711"/>
      <c r="O19" s="711"/>
      <c r="P19" s="701"/>
      <c r="Q19" s="712"/>
    </row>
    <row r="20" spans="1:17" ht="14.4" customHeight="1" x14ac:dyDescent="0.3">
      <c r="A20" s="695" t="s">
        <v>4227</v>
      </c>
      <c r="B20" s="696" t="s">
        <v>4082</v>
      </c>
      <c r="C20" s="696" t="s">
        <v>4114</v>
      </c>
      <c r="D20" s="696" t="s">
        <v>4145</v>
      </c>
      <c r="E20" s="696" t="s">
        <v>4146</v>
      </c>
      <c r="F20" s="711">
        <v>2</v>
      </c>
      <c r="G20" s="711">
        <v>412</v>
      </c>
      <c r="H20" s="711">
        <v>1</v>
      </c>
      <c r="I20" s="711">
        <v>206</v>
      </c>
      <c r="J20" s="711">
        <v>3</v>
      </c>
      <c r="K20" s="711">
        <v>621</v>
      </c>
      <c r="L20" s="711">
        <v>1.5072815533980584</v>
      </c>
      <c r="M20" s="711">
        <v>207</v>
      </c>
      <c r="N20" s="711">
        <v>5</v>
      </c>
      <c r="O20" s="711">
        <v>1039</v>
      </c>
      <c r="P20" s="701">
        <v>2.5218446601941746</v>
      </c>
      <c r="Q20" s="712">
        <v>207.8</v>
      </c>
    </row>
    <row r="21" spans="1:17" ht="14.4" customHeight="1" x14ac:dyDescent="0.3">
      <c r="A21" s="695" t="s">
        <v>4227</v>
      </c>
      <c r="B21" s="696" t="s">
        <v>4082</v>
      </c>
      <c r="C21" s="696" t="s">
        <v>4114</v>
      </c>
      <c r="D21" s="696" t="s">
        <v>4149</v>
      </c>
      <c r="E21" s="696" t="s">
        <v>4150</v>
      </c>
      <c r="F21" s="711">
        <v>1</v>
      </c>
      <c r="G21" s="711">
        <v>326</v>
      </c>
      <c r="H21" s="711">
        <v>1</v>
      </c>
      <c r="I21" s="711">
        <v>326</v>
      </c>
      <c r="J21" s="711">
        <v>2</v>
      </c>
      <c r="K21" s="711">
        <v>654</v>
      </c>
      <c r="L21" s="711">
        <v>2.0061349693251533</v>
      </c>
      <c r="M21" s="711">
        <v>327</v>
      </c>
      <c r="N21" s="711">
        <v>2</v>
      </c>
      <c r="O21" s="711">
        <v>654</v>
      </c>
      <c r="P21" s="701">
        <v>2.0061349693251533</v>
      </c>
      <c r="Q21" s="712">
        <v>327</v>
      </c>
    </row>
    <row r="22" spans="1:17" ht="14.4" customHeight="1" x14ac:dyDescent="0.3">
      <c r="A22" s="695" t="s">
        <v>4227</v>
      </c>
      <c r="B22" s="696" t="s">
        <v>4082</v>
      </c>
      <c r="C22" s="696" t="s">
        <v>4114</v>
      </c>
      <c r="D22" s="696" t="s">
        <v>4153</v>
      </c>
      <c r="E22" s="696" t="s">
        <v>4154</v>
      </c>
      <c r="F22" s="711">
        <v>30</v>
      </c>
      <c r="G22" s="711">
        <v>2430</v>
      </c>
      <c r="H22" s="711">
        <v>1</v>
      </c>
      <c r="I22" s="711">
        <v>81</v>
      </c>
      <c r="J22" s="711">
        <v>26</v>
      </c>
      <c r="K22" s="711">
        <v>2132</v>
      </c>
      <c r="L22" s="711">
        <v>0.87736625514403288</v>
      </c>
      <c r="M22" s="711">
        <v>82</v>
      </c>
      <c r="N22" s="711">
        <v>83</v>
      </c>
      <c r="O22" s="711">
        <v>6874</v>
      </c>
      <c r="P22" s="701">
        <v>2.8288065843621397</v>
      </c>
      <c r="Q22" s="712">
        <v>82.819277108433738</v>
      </c>
    </row>
    <row r="23" spans="1:17" ht="14.4" customHeight="1" x14ac:dyDescent="0.3">
      <c r="A23" s="695" t="s">
        <v>4227</v>
      </c>
      <c r="B23" s="696" t="s">
        <v>4082</v>
      </c>
      <c r="C23" s="696" t="s">
        <v>4114</v>
      </c>
      <c r="D23" s="696" t="s">
        <v>4234</v>
      </c>
      <c r="E23" s="696" t="s">
        <v>4233</v>
      </c>
      <c r="F23" s="711"/>
      <c r="G23" s="711"/>
      <c r="H23" s="711"/>
      <c r="I23" s="711"/>
      <c r="J23" s="711"/>
      <c r="K23" s="711"/>
      <c r="L23" s="711"/>
      <c r="M23" s="711"/>
      <c r="N23" s="711">
        <v>10</v>
      </c>
      <c r="O23" s="711">
        <v>9302</v>
      </c>
      <c r="P23" s="701"/>
      <c r="Q23" s="712">
        <v>930.2</v>
      </c>
    </row>
    <row r="24" spans="1:17" ht="14.4" customHeight="1" x14ac:dyDescent="0.3">
      <c r="A24" s="695" t="s">
        <v>4227</v>
      </c>
      <c r="B24" s="696" t="s">
        <v>4082</v>
      </c>
      <c r="C24" s="696" t="s">
        <v>4114</v>
      </c>
      <c r="D24" s="696" t="s">
        <v>4163</v>
      </c>
      <c r="E24" s="696" t="s">
        <v>4164</v>
      </c>
      <c r="F24" s="711">
        <v>5</v>
      </c>
      <c r="G24" s="711">
        <v>555</v>
      </c>
      <c r="H24" s="711">
        <v>1</v>
      </c>
      <c r="I24" s="711">
        <v>111</v>
      </c>
      <c r="J24" s="711">
        <v>7</v>
      </c>
      <c r="K24" s="711">
        <v>784</v>
      </c>
      <c r="L24" s="711">
        <v>1.4126126126126126</v>
      </c>
      <c r="M24" s="711">
        <v>112</v>
      </c>
      <c r="N24" s="711">
        <v>8</v>
      </c>
      <c r="O24" s="711">
        <v>896</v>
      </c>
      <c r="P24" s="701">
        <v>1.6144144144144144</v>
      </c>
      <c r="Q24" s="712">
        <v>112</v>
      </c>
    </row>
    <row r="25" spans="1:17" ht="14.4" customHeight="1" x14ac:dyDescent="0.3">
      <c r="A25" s="695" t="s">
        <v>4227</v>
      </c>
      <c r="B25" s="696" t="s">
        <v>4082</v>
      </c>
      <c r="C25" s="696" t="s">
        <v>4114</v>
      </c>
      <c r="D25" s="696" t="s">
        <v>4235</v>
      </c>
      <c r="E25" s="696" t="s">
        <v>4233</v>
      </c>
      <c r="F25" s="711">
        <v>10</v>
      </c>
      <c r="G25" s="711">
        <v>7330</v>
      </c>
      <c r="H25" s="711">
        <v>1</v>
      </c>
      <c r="I25" s="711">
        <v>733</v>
      </c>
      <c r="J25" s="711">
        <v>3</v>
      </c>
      <c r="K25" s="711">
        <v>2202</v>
      </c>
      <c r="L25" s="711">
        <v>0.3004092769440655</v>
      </c>
      <c r="M25" s="711">
        <v>734</v>
      </c>
      <c r="N25" s="711">
        <v>12</v>
      </c>
      <c r="O25" s="711">
        <v>8832</v>
      </c>
      <c r="P25" s="701">
        <v>1.2049113233287858</v>
      </c>
      <c r="Q25" s="712">
        <v>736</v>
      </c>
    </row>
    <row r="26" spans="1:17" ht="14.4" customHeight="1" x14ac:dyDescent="0.3">
      <c r="A26" s="695" t="s">
        <v>4227</v>
      </c>
      <c r="B26" s="696" t="s">
        <v>4082</v>
      </c>
      <c r="C26" s="696" t="s">
        <v>4114</v>
      </c>
      <c r="D26" s="696" t="s">
        <v>4236</v>
      </c>
      <c r="E26" s="696" t="s">
        <v>4237</v>
      </c>
      <c r="F26" s="711">
        <v>30</v>
      </c>
      <c r="G26" s="711">
        <v>15690</v>
      </c>
      <c r="H26" s="711">
        <v>1</v>
      </c>
      <c r="I26" s="711">
        <v>523</v>
      </c>
      <c r="J26" s="711">
        <v>11</v>
      </c>
      <c r="K26" s="711">
        <v>5764</v>
      </c>
      <c r="L26" s="711">
        <v>0.36736775015933715</v>
      </c>
      <c r="M26" s="711">
        <v>524</v>
      </c>
      <c r="N26" s="711">
        <v>20</v>
      </c>
      <c r="O26" s="711">
        <v>10490</v>
      </c>
      <c r="P26" s="701">
        <v>0.66857871255576795</v>
      </c>
      <c r="Q26" s="712">
        <v>524.5</v>
      </c>
    </row>
    <row r="27" spans="1:17" ht="14.4" customHeight="1" x14ac:dyDescent="0.3">
      <c r="A27" s="695" t="s">
        <v>4227</v>
      </c>
      <c r="B27" s="696" t="s">
        <v>4082</v>
      </c>
      <c r="C27" s="696" t="s">
        <v>4114</v>
      </c>
      <c r="D27" s="696" t="s">
        <v>4171</v>
      </c>
      <c r="E27" s="696" t="s">
        <v>4172</v>
      </c>
      <c r="F27" s="711"/>
      <c r="G27" s="711"/>
      <c r="H27" s="711"/>
      <c r="I27" s="711"/>
      <c r="J27" s="711">
        <v>6</v>
      </c>
      <c r="K27" s="711">
        <v>1776</v>
      </c>
      <c r="L27" s="711"/>
      <c r="M27" s="711">
        <v>296</v>
      </c>
      <c r="N27" s="711">
        <v>5</v>
      </c>
      <c r="O27" s="711">
        <v>1484</v>
      </c>
      <c r="P27" s="701"/>
      <c r="Q27" s="712">
        <v>296.8</v>
      </c>
    </row>
    <row r="28" spans="1:17" ht="14.4" customHeight="1" x14ac:dyDescent="0.3">
      <c r="A28" s="695" t="s">
        <v>4227</v>
      </c>
      <c r="B28" s="696" t="s">
        <v>4082</v>
      </c>
      <c r="C28" s="696" t="s">
        <v>4114</v>
      </c>
      <c r="D28" s="696" t="s">
        <v>4238</v>
      </c>
      <c r="E28" s="696" t="s">
        <v>4146</v>
      </c>
      <c r="F28" s="711"/>
      <c r="G28" s="711"/>
      <c r="H28" s="711"/>
      <c r="I28" s="711"/>
      <c r="J28" s="711"/>
      <c r="K28" s="711"/>
      <c r="L28" s="711"/>
      <c r="M28" s="711"/>
      <c r="N28" s="711">
        <v>2</v>
      </c>
      <c r="O28" s="711">
        <v>348</v>
      </c>
      <c r="P28" s="701"/>
      <c r="Q28" s="712">
        <v>174</v>
      </c>
    </row>
    <row r="29" spans="1:17" ht="14.4" customHeight="1" x14ac:dyDescent="0.3">
      <c r="A29" s="695" t="s">
        <v>4227</v>
      </c>
      <c r="B29" s="696" t="s">
        <v>4082</v>
      </c>
      <c r="C29" s="696" t="s">
        <v>4114</v>
      </c>
      <c r="D29" s="696" t="s">
        <v>4175</v>
      </c>
      <c r="E29" s="696" t="s">
        <v>4172</v>
      </c>
      <c r="F29" s="711">
        <v>7</v>
      </c>
      <c r="G29" s="711">
        <v>2534</v>
      </c>
      <c r="H29" s="711">
        <v>1</v>
      </c>
      <c r="I29" s="711">
        <v>362</v>
      </c>
      <c r="J29" s="711">
        <v>5</v>
      </c>
      <c r="K29" s="711">
        <v>1825</v>
      </c>
      <c r="L29" s="711">
        <v>0.72020520915548536</v>
      </c>
      <c r="M29" s="711">
        <v>365</v>
      </c>
      <c r="N29" s="711">
        <v>5</v>
      </c>
      <c r="O29" s="711">
        <v>1825</v>
      </c>
      <c r="P29" s="701">
        <v>0.72020520915548536</v>
      </c>
      <c r="Q29" s="712">
        <v>365</v>
      </c>
    </row>
    <row r="30" spans="1:17" ht="14.4" customHeight="1" x14ac:dyDescent="0.3">
      <c r="A30" s="695" t="s">
        <v>4227</v>
      </c>
      <c r="B30" s="696" t="s">
        <v>4082</v>
      </c>
      <c r="C30" s="696" t="s">
        <v>4114</v>
      </c>
      <c r="D30" s="696" t="s">
        <v>4239</v>
      </c>
      <c r="E30" s="696" t="s">
        <v>4233</v>
      </c>
      <c r="F30" s="711">
        <v>13</v>
      </c>
      <c r="G30" s="711">
        <v>13117</v>
      </c>
      <c r="H30" s="711">
        <v>1</v>
      </c>
      <c r="I30" s="711">
        <v>1009</v>
      </c>
      <c r="J30" s="711">
        <v>3</v>
      </c>
      <c r="K30" s="711">
        <v>3036</v>
      </c>
      <c r="L30" s="711">
        <v>0.23145536326904018</v>
      </c>
      <c r="M30" s="711">
        <v>1012</v>
      </c>
      <c r="N30" s="711"/>
      <c r="O30" s="711"/>
      <c r="P30" s="701"/>
      <c r="Q30" s="712"/>
    </row>
    <row r="31" spans="1:17" ht="14.4" customHeight="1" x14ac:dyDescent="0.3">
      <c r="A31" s="695" t="s">
        <v>4227</v>
      </c>
      <c r="B31" s="696" t="s">
        <v>4082</v>
      </c>
      <c r="C31" s="696" t="s">
        <v>4114</v>
      </c>
      <c r="D31" s="696" t="s">
        <v>4186</v>
      </c>
      <c r="E31" s="696" t="s">
        <v>4142</v>
      </c>
      <c r="F31" s="711">
        <v>2</v>
      </c>
      <c r="G31" s="711">
        <v>666</v>
      </c>
      <c r="H31" s="711">
        <v>1</v>
      </c>
      <c r="I31" s="711">
        <v>333</v>
      </c>
      <c r="J31" s="711"/>
      <c r="K31" s="711"/>
      <c r="L31" s="711"/>
      <c r="M31" s="711"/>
      <c r="N31" s="711"/>
      <c r="O31" s="711"/>
      <c r="P31" s="701"/>
      <c r="Q31" s="712"/>
    </row>
    <row r="32" spans="1:17" ht="14.4" customHeight="1" x14ac:dyDescent="0.3">
      <c r="A32" s="695" t="s">
        <v>4227</v>
      </c>
      <c r="B32" s="696" t="s">
        <v>4082</v>
      </c>
      <c r="C32" s="696" t="s">
        <v>4114</v>
      </c>
      <c r="D32" s="696" t="s">
        <v>4240</v>
      </c>
      <c r="E32" s="696" t="s">
        <v>4241</v>
      </c>
      <c r="F32" s="711"/>
      <c r="G32" s="711"/>
      <c r="H32" s="711"/>
      <c r="I32" s="711"/>
      <c r="J32" s="711"/>
      <c r="K32" s="711"/>
      <c r="L32" s="711"/>
      <c r="M32" s="711"/>
      <c r="N32" s="711">
        <v>1</v>
      </c>
      <c r="O32" s="711">
        <v>524</v>
      </c>
      <c r="P32" s="701"/>
      <c r="Q32" s="712">
        <v>524</v>
      </c>
    </row>
    <row r="33" spans="1:17" ht="14.4" customHeight="1" x14ac:dyDescent="0.3">
      <c r="A33" s="695" t="s">
        <v>4242</v>
      </c>
      <c r="B33" s="696" t="s">
        <v>4082</v>
      </c>
      <c r="C33" s="696" t="s">
        <v>4103</v>
      </c>
      <c r="D33" s="696" t="s">
        <v>4113</v>
      </c>
      <c r="E33" s="696" t="s">
        <v>4111</v>
      </c>
      <c r="F33" s="711">
        <v>1</v>
      </c>
      <c r="G33" s="711">
        <v>500</v>
      </c>
      <c r="H33" s="711">
        <v>1</v>
      </c>
      <c r="I33" s="711">
        <v>500</v>
      </c>
      <c r="J33" s="711"/>
      <c r="K33" s="711"/>
      <c r="L33" s="711"/>
      <c r="M33" s="711"/>
      <c r="N33" s="711"/>
      <c r="O33" s="711"/>
      <c r="P33" s="701"/>
      <c r="Q33" s="712"/>
    </row>
    <row r="34" spans="1:17" ht="14.4" customHeight="1" x14ac:dyDescent="0.3">
      <c r="A34" s="695" t="s">
        <v>4242</v>
      </c>
      <c r="B34" s="696" t="s">
        <v>4082</v>
      </c>
      <c r="C34" s="696" t="s">
        <v>4114</v>
      </c>
      <c r="D34" s="696" t="s">
        <v>4119</v>
      </c>
      <c r="E34" s="696" t="s">
        <v>4120</v>
      </c>
      <c r="F34" s="711">
        <v>3</v>
      </c>
      <c r="G34" s="711">
        <v>102</v>
      </c>
      <c r="H34" s="711">
        <v>1</v>
      </c>
      <c r="I34" s="711">
        <v>34</v>
      </c>
      <c r="J34" s="711"/>
      <c r="K34" s="711"/>
      <c r="L34" s="711"/>
      <c r="M34" s="711"/>
      <c r="N34" s="711"/>
      <c r="O34" s="711"/>
      <c r="P34" s="701"/>
      <c r="Q34" s="712"/>
    </row>
    <row r="35" spans="1:17" ht="14.4" customHeight="1" x14ac:dyDescent="0.3">
      <c r="A35" s="695" t="s">
        <v>4242</v>
      </c>
      <c r="B35" s="696" t="s">
        <v>4082</v>
      </c>
      <c r="C35" s="696" t="s">
        <v>4114</v>
      </c>
      <c r="D35" s="696" t="s">
        <v>4126</v>
      </c>
      <c r="E35" s="696" t="s">
        <v>4078</v>
      </c>
      <c r="F35" s="711">
        <v>2</v>
      </c>
      <c r="G35" s="711">
        <v>156</v>
      </c>
      <c r="H35" s="711">
        <v>1</v>
      </c>
      <c r="I35" s="711">
        <v>78</v>
      </c>
      <c r="J35" s="711"/>
      <c r="K35" s="711"/>
      <c r="L35" s="711"/>
      <c r="M35" s="711"/>
      <c r="N35" s="711"/>
      <c r="O35" s="711"/>
      <c r="P35" s="701"/>
      <c r="Q35" s="712"/>
    </row>
    <row r="36" spans="1:17" ht="14.4" customHeight="1" x14ac:dyDescent="0.3">
      <c r="A36" s="695" t="s">
        <v>4242</v>
      </c>
      <c r="B36" s="696" t="s">
        <v>4082</v>
      </c>
      <c r="C36" s="696" t="s">
        <v>4114</v>
      </c>
      <c r="D36" s="696" t="s">
        <v>4127</v>
      </c>
      <c r="E36" s="696" t="s">
        <v>4128</v>
      </c>
      <c r="F36" s="711">
        <v>69</v>
      </c>
      <c r="G36" s="711">
        <v>15939</v>
      </c>
      <c r="H36" s="711">
        <v>1</v>
      </c>
      <c r="I36" s="711">
        <v>231</v>
      </c>
      <c r="J36" s="711">
        <v>69</v>
      </c>
      <c r="K36" s="711">
        <v>16008</v>
      </c>
      <c r="L36" s="711">
        <v>1.0043290043290043</v>
      </c>
      <c r="M36" s="711">
        <v>232</v>
      </c>
      <c r="N36" s="711">
        <v>125</v>
      </c>
      <c r="O36" s="711">
        <v>29124</v>
      </c>
      <c r="P36" s="701">
        <v>1.8272162619988708</v>
      </c>
      <c r="Q36" s="712">
        <v>232.99199999999999</v>
      </c>
    </row>
    <row r="37" spans="1:17" ht="14.4" customHeight="1" x14ac:dyDescent="0.3">
      <c r="A37" s="695" t="s">
        <v>4242</v>
      </c>
      <c r="B37" s="696" t="s">
        <v>4082</v>
      </c>
      <c r="C37" s="696" t="s">
        <v>4114</v>
      </c>
      <c r="D37" s="696" t="s">
        <v>4129</v>
      </c>
      <c r="E37" s="696" t="s">
        <v>4130</v>
      </c>
      <c r="F37" s="711">
        <v>27</v>
      </c>
      <c r="G37" s="711">
        <v>3132</v>
      </c>
      <c r="H37" s="711">
        <v>1</v>
      </c>
      <c r="I37" s="711">
        <v>116</v>
      </c>
      <c r="J37" s="711">
        <v>31</v>
      </c>
      <c r="K37" s="711">
        <v>3596</v>
      </c>
      <c r="L37" s="711">
        <v>1.1481481481481481</v>
      </c>
      <c r="M37" s="711">
        <v>116</v>
      </c>
      <c r="N37" s="711">
        <v>36</v>
      </c>
      <c r="O37" s="711">
        <v>4214</v>
      </c>
      <c r="P37" s="701">
        <v>1.3454661558109835</v>
      </c>
      <c r="Q37" s="712">
        <v>117.05555555555556</v>
      </c>
    </row>
    <row r="38" spans="1:17" ht="14.4" customHeight="1" x14ac:dyDescent="0.3">
      <c r="A38" s="695" t="s">
        <v>4242</v>
      </c>
      <c r="B38" s="696" t="s">
        <v>4082</v>
      </c>
      <c r="C38" s="696" t="s">
        <v>4114</v>
      </c>
      <c r="D38" s="696" t="s">
        <v>4131</v>
      </c>
      <c r="E38" s="696" t="s">
        <v>4132</v>
      </c>
      <c r="F38" s="711">
        <v>5</v>
      </c>
      <c r="G38" s="711">
        <v>1595</v>
      </c>
      <c r="H38" s="711">
        <v>1</v>
      </c>
      <c r="I38" s="711">
        <v>319</v>
      </c>
      <c r="J38" s="711"/>
      <c r="K38" s="711"/>
      <c r="L38" s="711"/>
      <c r="M38" s="711"/>
      <c r="N38" s="711"/>
      <c r="O38" s="711"/>
      <c r="P38" s="701"/>
      <c r="Q38" s="712"/>
    </row>
    <row r="39" spans="1:17" ht="14.4" customHeight="1" x14ac:dyDescent="0.3">
      <c r="A39" s="695" t="s">
        <v>4242</v>
      </c>
      <c r="B39" s="696" t="s">
        <v>4082</v>
      </c>
      <c r="C39" s="696" t="s">
        <v>4114</v>
      </c>
      <c r="D39" s="696" t="s">
        <v>4133</v>
      </c>
      <c r="E39" s="696" t="s">
        <v>4134</v>
      </c>
      <c r="F39" s="711">
        <v>7</v>
      </c>
      <c r="G39" s="711">
        <v>3381</v>
      </c>
      <c r="H39" s="711">
        <v>1</v>
      </c>
      <c r="I39" s="711">
        <v>483</v>
      </c>
      <c r="J39" s="711">
        <v>9</v>
      </c>
      <c r="K39" s="711">
        <v>4356</v>
      </c>
      <c r="L39" s="711">
        <v>1.2883762200532387</v>
      </c>
      <c r="M39" s="711">
        <v>484</v>
      </c>
      <c r="N39" s="711">
        <v>6</v>
      </c>
      <c r="O39" s="711">
        <v>2912</v>
      </c>
      <c r="P39" s="701">
        <v>0.86128364389233958</v>
      </c>
      <c r="Q39" s="712">
        <v>485.33333333333331</v>
      </c>
    </row>
    <row r="40" spans="1:17" ht="14.4" customHeight="1" x14ac:dyDescent="0.3">
      <c r="A40" s="695" t="s">
        <v>4242</v>
      </c>
      <c r="B40" s="696" t="s">
        <v>4082</v>
      </c>
      <c r="C40" s="696" t="s">
        <v>4114</v>
      </c>
      <c r="D40" s="696" t="s">
        <v>4135</v>
      </c>
      <c r="E40" s="696" t="s">
        <v>4136</v>
      </c>
      <c r="F40" s="711">
        <v>6</v>
      </c>
      <c r="G40" s="711">
        <v>4056</v>
      </c>
      <c r="H40" s="711">
        <v>1</v>
      </c>
      <c r="I40" s="711">
        <v>676</v>
      </c>
      <c r="J40" s="711"/>
      <c r="K40" s="711"/>
      <c r="L40" s="711"/>
      <c r="M40" s="711"/>
      <c r="N40" s="711"/>
      <c r="O40" s="711"/>
      <c r="P40" s="701"/>
      <c r="Q40" s="712"/>
    </row>
    <row r="41" spans="1:17" ht="14.4" customHeight="1" x14ac:dyDescent="0.3">
      <c r="A41" s="695" t="s">
        <v>4242</v>
      </c>
      <c r="B41" s="696" t="s">
        <v>4082</v>
      </c>
      <c r="C41" s="696" t="s">
        <v>4114</v>
      </c>
      <c r="D41" s="696" t="s">
        <v>4139</v>
      </c>
      <c r="E41" s="696" t="s">
        <v>4134</v>
      </c>
      <c r="F41" s="711">
        <v>2</v>
      </c>
      <c r="G41" s="711">
        <v>1100</v>
      </c>
      <c r="H41" s="711">
        <v>1</v>
      </c>
      <c r="I41" s="711">
        <v>550</v>
      </c>
      <c r="J41" s="711">
        <v>3</v>
      </c>
      <c r="K41" s="711">
        <v>1659</v>
      </c>
      <c r="L41" s="711">
        <v>1.5081818181818183</v>
      </c>
      <c r="M41" s="711">
        <v>553</v>
      </c>
      <c r="N41" s="711">
        <v>11</v>
      </c>
      <c r="O41" s="711">
        <v>6091</v>
      </c>
      <c r="P41" s="701">
        <v>5.5372727272727271</v>
      </c>
      <c r="Q41" s="712">
        <v>553.72727272727275</v>
      </c>
    </row>
    <row r="42" spans="1:17" ht="14.4" customHeight="1" x14ac:dyDescent="0.3">
      <c r="A42" s="695" t="s">
        <v>4242</v>
      </c>
      <c r="B42" s="696" t="s">
        <v>4082</v>
      </c>
      <c r="C42" s="696" t="s">
        <v>4114</v>
      </c>
      <c r="D42" s="696" t="s">
        <v>4140</v>
      </c>
      <c r="E42" s="696" t="s">
        <v>4136</v>
      </c>
      <c r="F42" s="711"/>
      <c r="G42" s="711"/>
      <c r="H42" s="711"/>
      <c r="I42" s="711"/>
      <c r="J42" s="711"/>
      <c r="K42" s="711"/>
      <c r="L42" s="711"/>
      <c r="M42" s="711"/>
      <c r="N42" s="711">
        <v>3</v>
      </c>
      <c r="O42" s="711">
        <v>2250</v>
      </c>
      <c r="P42" s="701"/>
      <c r="Q42" s="712">
        <v>750</v>
      </c>
    </row>
    <row r="43" spans="1:17" ht="14.4" customHeight="1" x14ac:dyDescent="0.3">
      <c r="A43" s="695" t="s">
        <v>4242</v>
      </c>
      <c r="B43" s="696" t="s">
        <v>4082</v>
      </c>
      <c r="C43" s="696" t="s">
        <v>4114</v>
      </c>
      <c r="D43" s="696" t="s">
        <v>4232</v>
      </c>
      <c r="E43" s="696" t="s">
        <v>4233</v>
      </c>
      <c r="F43" s="711">
        <v>3</v>
      </c>
      <c r="G43" s="711">
        <v>2400</v>
      </c>
      <c r="H43" s="711">
        <v>1</v>
      </c>
      <c r="I43" s="711">
        <v>800</v>
      </c>
      <c r="J43" s="711">
        <v>3</v>
      </c>
      <c r="K43" s="711">
        <v>2409</v>
      </c>
      <c r="L43" s="711">
        <v>1.0037499999999999</v>
      </c>
      <c r="M43" s="711">
        <v>803</v>
      </c>
      <c r="N43" s="711">
        <v>3</v>
      </c>
      <c r="O43" s="711">
        <v>2409</v>
      </c>
      <c r="P43" s="701">
        <v>1.0037499999999999</v>
      </c>
      <c r="Q43" s="712">
        <v>803</v>
      </c>
    </row>
    <row r="44" spans="1:17" ht="14.4" customHeight="1" x14ac:dyDescent="0.3">
      <c r="A44" s="695" t="s">
        <v>4242</v>
      </c>
      <c r="B44" s="696" t="s">
        <v>4082</v>
      </c>
      <c r="C44" s="696" t="s">
        <v>4114</v>
      </c>
      <c r="D44" s="696" t="s">
        <v>4141</v>
      </c>
      <c r="E44" s="696" t="s">
        <v>4142</v>
      </c>
      <c r="F44" s="711">
        <v>1</v>
      </c>
      <c r="G44" s="711">
        <v>435</v>
      </c>
      <c r="H44" s="711">
        <v>1</v>
      </c>
      <c r="I44" s="711">
        <v>435</v>
      </c>
      <c r="J44" s="711">
        <v>2</v>
      </c>
      <c r="K44" s="711">
        <v>878</v>
      </c>
      <c r="L44" s="711">
        <v>2.018390804597701</v>
      </c>
      <c r="M44" s="711">
        <v>439</v>
      </c>
      <c r="N44" s="711">
        <v>9</v>
      </c>
      <c r="O44" s="711">
        <v>4000</v>
      </c>
      <c r="P44" s="701">
        <v>9.1954022988505741</v>
      </c>
      <c r="Q44" s="712">
        <v>444.44444444444446</v>
      </c>
    </row>
    <row r="45" spans="1:17" ht="14.4" customHeight="1" x14ac:dyDescent="0.3">
      <c r="A45" s="695" t="s">
        <v>4242</v>
      </c>
      <c r="B45" s="696" t="s">
        <v>4082</v>
      </c>
      <c r="C45" s="696" t="s">
        <v>4114</v>
      </c>
      <c r="D45" s="696" t="s">
        <v>4145</v>
      </c>
      <c r="E45" s="696" t="s">
        <v>4146</v>
      </c>
      <c r="F45" s="711">
        <v>1</v>
      </c>
      <c r="G45" s="711">
        <v>206</v>
      </c>
      <c r="H45" s="711">
        <v>1</v>
      </c>
      <c r="I45" s="711">
        <v>206</v>
      </c>
      <c r="J45" s="711">
        <v>3</v>
      </c>
      <c r="K45" s="711">
        <v>621</v>
      </c>
      <c r="L45" s="711">
        <v>3.0145631067961167</v>
      </c>
      <c r="M45" s="711">
        <v>207</v>
      </c>
      <c r="N45" s="711">
        <v>2</v>
      </c>
      <c r="O45" s="711">
        <v>416</v>
      </c>
      <c r="P45" s="701">
        <v>2.0194174757281553</v>
      </c>
      <c r="Q45" s="712">
        <v>208</v>
      </c>
    </row>
    <row r="46" spans="1:17" ht="14.4" customHeight="1" x14ac:dyDescent="0.3">
      <c r="A46" s="695" t="s">
        <v>4242</v>
      </c>
      <c r="B46" s="696" t="s">
        <v>4082</v>
      </c>
      <c r="C46" s="696" t="s">
        <v>4114</v>
      </c>
      <c r="D46" s="696" t="s">
        <v>4149</v>
      </c>
      <c r="E46" s="696" t="s">
        <v>4150</v>
      </c>
      <c r="F46" s="711">
        <v>6</v>
      </c>
      <c r="G46" s="711">
        <v>1956</v>
      </c>
      <c r="H46" s="711">
        <v>1</v>
      </c>
      <c r="I46" s="711">
        <v>326</v>
      </c>
      <c r="J46" s="711">
        <v>8</v>
      </c>
      <c r="K46" s="711">
        <v>2616</v>
      </c>
      <c r="L46" s="711">
        <v>1.3374233128834356</v>
      </c>
      <c r="M46" s="711">
        <v>327</v>
      </c>
      <c r="N46" s="711">
        <v>12</v>
      </c>
      <c r="O46" s="711">
        <v>3954</v>
      </c>
      <c r="P46" s="701">
        <v>2.0214723926380369</v>
      </c>
      <c r="Q46" s="712">
        <v>329.5</v>
      </c>
    </row>
    <row r="47" spans="1:17" ht="14.4" customHeight="1" x14ac:dyDescent="0.3">
      <c r="A47" s="695" t="s">
        <v>4242</v>
      </c>
      <c r="B47" s="696" t="s">
        <v>4082</v>
      </c>
      <c r="C47" s="696" t="s">
        <v>4114</v>
      </c>
      <c r="D47" s="696" t="s">
        <v>4153</v>
      </c>
      <c r="E47" s="696" t="s">
        <v>4154</v>
      </c>
      <c r="F47" s="711">
        <v>16</v>
      </c>
      <c r="G47" s="711">
        <v>1296</v>
      </c>
      <c r="H47" s="711">
        <v>1</v>
      </c>
      <c r="I47" s="711">
        <v>81</v>
      </c>
      <c r="J47" s="711">
        <v>5</v>
      </c>
      <c r="K47" s="711">
        <v>410</v>
      </c>
      <c r="L47" s="711">
        <v>0.31635802469135804</v>
      </c>
      <c r="M47" s="711">
        <v>82</v>
      </c>
      <c r="N47" s="711">
        <v>23</v>
      </c>
      <c r="O47" s="711">
        <v>1900</v>
      </c>
      <c r="P47" s="701">
        <v>1.4660493827160495</v>
      </c>
      <c r="Q47" s="712">
        <v>82.608695652173907</v>
      </c>
    </row>
    <row r="48" spans="1:17" ht="14.4" customHeight="1" x14ac:dyDescent="0.3">
      <c r="A48" s="695" t="s">
        <v>4242</v>
      </c>
      <c r="B48" s="696" t="s">
        <v>4082</v>
      </c>
      <c r="C48" s="696" t="s">
        <v>4114</v>
      </c>
      <c r="D48" s="696" t="s">
        <v>4155</v>
      </c>
      <c r="E48" s="696" t="s">
        <v>4156</v>
      </c>
      <c r="F48" s="711">
        <v>1</v>
      </c>
      <c r="G48" s="711">
        <v>738</v>
      </c>
      <c r="H48" s="711">
        <v>1</v>
      </c>
      <c r="I48" s="711">
        <v>738</v>
      </c>
      <c r="J48" s="711"/>
      <c r="K48" s="711"/>
      <c r="L48" s="711"/>
      <c r="M48" s="711"/>
      <c r="N48" s="711"/>
      <c r="O48" s="711"/>
      <c r="P48" s="701"/>
      <c r="Q48" s="712"/>
    </row>
    <row r="49" spans="1:17" ht="14.4" customHeight="1" x14ac:dyDescent="0.3">
      <c r="A49" s="695" t="s">
        <v>4242</v>
      </c>
      <c r="B49" s="696" t="s">
        <v>4082</v>
      </c>
      <c r="C49" s="696" t="s">
        <v>4114</v>
      </c>
      <c r="D49" s="696" t="s">
        <v>4157</v>
      </c>
      <c r="E49" s="696" t="s">
        <v>4158</v>
      </c>
      <c r="F49" s="711"/>
      <c r="G49" s="711"/>
      <c r="H49" s="711"/>
      <c r="I49" s="711"/>
      <c r="J49" s="711">
        <v>2</v>
      </c>
      <c r="K49" s="711">
        <v>1406</v>
      </c>
      <c r="L49" s="711"/>
      <c r="M49" s="711">
        <v>703</v>
      </c>
      <c r="N49" s="711">
        <v>3</v>
      </c>
      <c r="O49" s="711">
        <v>2112</v>
      </c>
      <c r="P49" s="701"/>
      <c r="Q49" s="712">
        <v>704</v>
      </c>
    </row>
    <row r="50" spans="1:17" ht="14.4" customHeight="1" x14ac:dyDescent="0.3">
      <c r="A50" s="695" t="s">
        <v>4242</v>
      </c>
      <c r="B50" s="696" t="s">
        <v>4082</v>
      </c>
      <c r="C50" s="696" t="s">
        <v>4114</v>
      </c>
      <c r="D50" s="696" t="s">
        <v>4159</v>
      </c>
      <c r="E50" s="696" t="s">
        <v>4160</v>
      </c>
      <c r="F50" s="711">
        <v>2</v>
      </c>
      <c r="G50" s="711">
        <v>0</v>
      </c>
      <c r="H50" s="711"/>
      <c r="I50" s="711">
        <v>0</v>
      </c>
      <c r="J50" s="711">
        <v>1</v>
      </c>
      <c r="K50" s="711">
        <v>0</v>
      </c>
      <c r="L50" s="711"/>
      <c r="M50" s="711">
        <v>0</v>
      </c>
      <c r="N50" s="711">
        <v>3</v>
      </c>
      <c r="O50" s="711">
        <v>0</v>
      </c>
      <c r="P50" s="701"/>
      <c r="Q50" s="712">
        <v>0</v>
      </c>
    </row>
    <row r="51" spans="1:17" ht="14.4" customHeight="1" x14ac:dyDescent="0.3">
      <c r="A51" s="695" t="s">
        <v>4242</v>
      </c>
      <c r="B51" s="696" t="s">
        <v>4082</v>
      </c>
      <c r="C51" s="696" t="s">
        <v>4114</v>
      </c>
      <c r="D51" s="696" t="s">
        <v>4161</v>
      </c>
      <c r="E51" s="696" t="s">
        <v>4162</v>
      </c>
      <c r="F51" s="711"/>
      <c r="G51" s="711"/>
      <c r="H51" s="711"/>
      <c r="I51" s="711"/>
      <c r="J51" s="711">
        <v>3</v>
      </c>
      <c r="K51" s="711">
        <v>0</v>
      </c>
      <c r="L51" s="711"/>
      <c r="M51" s="711">
        <v>0</v>
      </c>
      <c r="N51" s="711"/>
      <c r="O51" s="711"/>
      <c r="P51" s="701"/>
      <c r="Q51" s="712"/>
    </row>
    <row r="52" spans="1:17" ht="14.4" customHeight="1" x14ac:dyDescent="0.3">
      <c r="A52" s="695" t="s">
        <v>4242</v>
      </c>
      <c r="B52" s="696" t="s">
        <v>4082</v>
      </c>
      <c r="C52" s="696" t="s">
        <v>4114</v>
      </c>
      <c r="D52" s="696" t="s">
        <v>4163</v>
      </c>
      <c r="E52" s="696" t="s">
        <v>4164</v>
      </c>
      <c r="F52" s="711"/>
      <c r="G52" s="711"/>
      <c r="H52" s="711"/>
      <c r="I52" s="711"/>
      <c r="J52" s="711">
        <v>8</v>
      </c>
      <c r="K52" s="711">
        <v>896</v>
      </c>
      <c r="L52" s="711"/>
      <c r="M52" s="711">
        <v>112</v>
      </c>
      <c r="N52" s="711">
        <v>2</v>
      </c>
      <c r="O52" s="711">
        <v>224</v>
      </c>
      <c r="P52" s="701"/>
      <c r="Q52" s="712">
        <v>112</v>
      </c>
    </row>
    <row r="53" spans="1:17" ht="14.4" customHeight="1" x14ac:dyDescent="0.3">
      <c r="A53" s="695" t="s">
        <v>4242</v>
      </c>
      <c r="B53" s="696" t="s">
        <v>4082</v>
      </c>
      <c r="C53" s="696" t="s">
        <v>4114</v>
      </c>
      <c r="D53" s="696" t="s">
        <v>4235</v>
      </c>
      <c r="E53" s="696" t="s">
        <v>4233</v>
      </c>
      <c r="F53" s="711">
        <v>10</v>
      </c>
      <c r="G53" s="711">
        <v>7330</v>
      </c>
      <c r="H53" s="711">
        <v>1</v>
      </c>
      <c r="I53" s="711">
        <v>733</v>
      </c>
      <c r="J53" s="711">
        <v>10</v>
      </c>
      <c r="K53" s="711">
        <v>7340</v>
      </c>
      <c r="L53" s="711">
        <v>1.0013642564802183</v>
      </c>
      <c r="M53" s="711">
        <v>734</v>
      </c>
      <c r="N53" s="711">
        <v>7</v>
      </c>
      <c r="O53" s="711">
        <v>5138</v>
      </c>
      <c r="P53" s="701">
        <v>0.70095497953615282</v>
      </c>
      <c r="Q53" s="712">
        <v>734</v>
      </c>
    </row>
    <row r="54" spans="1:17" ht="14.4" customHeight="1" x14ac:dyDescent="0.3">
      <c r="A54" s="695" t="s">
        <v>4242</v>
      </c>
      <c r="B54" s="696" t="s">
        <v>4082</v>
      </c>
      <c r="C54" s="696" t="s">
        <v>4114</v>
      </c>
      <c r="D54" s="696" t="s">
        <v>4243</v>
      </c>
      <c r="E54" s="696" t="s">
        <v>4244</v>
      </c>
      <c r="F54" s="711">
        <v>1</v>
      </c>
      <c r="G54" s="711">
        <v>58</v>
      </c>
      <c r="H54" s="711">
        <v>1</v>
      </c>
      <c r="I54" s="711">
        <v>58</v>
      </c>
      <c r="J54" s="711"/>
      <c r="K54" s="711"/>
      <c r="L54" s="711"/>
      <c r="M54" s="711"/>
      <c r="N54" s="711"/>
      <c r="O54" s="711"/>
      <c r="P54" s="701"/>
      <c r="Q54" s="712"/>
    </row>
    <row r="55" spans="1:17" ht="14.4" customHeight="1" x14ac:dyDescent="0.3">
      <c r="A55" s="695" t="s">
        <v>4242</v>
      </c>
      <c r="B55" s="696" t="s">
        <v>4082</v>
      </c>
      <c r="C55" s="696" t="s">
        <v>4114</v>
      </c>
      <c r="D55" s="696" t="s">
        <v>4236</v>
      </c>
      <c r="E55" s="696" t="s">
        <v>4237</v>
      </c>
      <c r="F55" s="711">
        <v>4</v>
      </c>
      <c r="G55" s="711">
        <v>2092</v>
      </c>
      <c r="H55" s="711">
        <v>1</v>
      </c>
      <c r="I55" s="711">
        <v>523</v>
      </c>
      <c r="J55" s="711">
        <v>7</v>
      </c>
      <c r="K55" s="711">
        <v>3668</v>
      </c>
      <c r="L55" s="711">
        <v>1.7533460803059273</v>
      </c>
      <c r="M55" s="711">
        <v>524</v>
      </c>
      <c r="N55" s="711">
        <v>6</v>
      </c>
      <c r="O55" s="711">
        <v>3144</v>
      </c>
      <c r="P55" s="701">
        <v>1.502868068833652</v>
      </c>
      <c r="Q55" s="712">
        <v>524</v>
      </c>
    </row>
    <row r="56" spans="1:17" ht="14.4" customHeight="1" x14ac:dyDescent="0.3">
      <c r="A56" s="695" t="s">
        <v>4242</v>
      </c>
      <c r="B56" s="696" t="s">
        <v>4082</v>
      </c>
      <c r="C56" s="696" t="s">
        <v>4114</v>
      </c>
      <c r="D56" s="696" t="s">
        <v>4171</v>
      </c>
      <c r="E56" s="696" t="s">
        <v>4172</v>
      </c>
      <c r="F56" s="711">
        <v>64</v>
      </c>
      <c r="G56" s="711">
        <v>18880</v>
      </c>
      <c r="H56" s="711">
        <v>1</v>
      </c>
      <c r="I56" s="711">
        <v>295</v>
      </c>
      <c r="J56" s="711">
        <v>25</v>
      </c>
      <c r="K56" s="711">
        <v>7400</v>
      </c>
      <c r="L56" s="711">
        <v>0.39194915254237289</v>
      </c>
      <c r="M56" s="711">
        <v>296</v>
      </c>
      <c r="N56" s="711">
        <v>28</v>
      </c>
      <c r="O56" s="711">
        <v>8316</v>
      </c>
      <c r="P56" s="701">
        <v>0.44046610169491524</v>
      </c>
      <c r="Q56" s="712">
        <v>297</v>
      </c>
    </row>
    <row r="57" spans="1:17" ht="14.4" customHeight="1" x14ac:dyDescent="0.3">
      <c r="A57" s="695" t="s">
        <v>4242</v>
      </c>
      <c r="B57" s="696" t="s">
        <v>4082</v>
      </c>
      <c r="C57" s="696" t="s">
        <v>4114</v>
      </c>
      <c r="D57" s="696" t="s">
        <v>4238</v>
      </c>
      <c r="E57" s="696" t="s">
        <v>4146</v>
      </c>
      <c r="F57" s="711">
        <v>2</v>
      </c>
      <c r="G57" s="711">
        <v>344</v>
      </c>
      <c r="H57" s="711">
        <v>1</v>
      </c>
      <c r="I57" s="711">
        <v>172</v>
      </c>
      <c r="J57" s="711">
        <v>4</v>
      </c>
      <c r="K57" s="711">
        <v>688</v>
      </c>
      <c r="L57" s="711">
        <v>2</v>
      </c>
      <c r="M57" s="711">
        <v>172</v>
      </c>
      <c r="N57" s="711">
        <v>3</v>
      </c>
      <c r="O57" s="711">
        <v>516</v>
      </c>
      <c r="P57" s="701">
        <v>1.5</v>
      </c>
      <c r="Q57" s="712">
        <v>172</v>
      </c>
    </row>
    <row r="58" spans="1:17" ht="14.4" customHeight="1" x14ac:dyDescent="0.3">
      <c r="A58" s="695" t="s">
        <v>4242</v>
      </c>
      <c r="B58" s="696" t="s">
        <v>4082</v>
      </c>
      <c r="C58" s="696" t="s">
        <v>4114</v>
      </c>
      <c r="D58" s="696" t="s">
        <v>4175</v>
      </c>
      <c r="E58" s="696" t="s">
        <v>4172</v>
      </c>
      <c r="F58" s="711">
        <v>34</v>
      </c>
      <c r="G58" s="711">
        <v>12308</v>
      </c>
      <c r="H58" s="711">
        <v>1</v>
      </c>
      <c r="I58" s="711">
        <v>362</v>
      </c>
      <c r="J58" s="711">
        <v>17</v>
      </c>
      <c r="K58" s="711">
        <v>6205</v>
      </c>
      <c r="L58" s="711">
        <v>0.5041436464088398</v>
      </c>
      <c r="M58" s="711">
        <v>365</v>
      </c>
      <c r="N58" s="711">
        <v>33</v>
      </c>
      <c r="O58" s="711">
        <v>12113</v>
      </c>
      <c r="P58" s="701">
        <v>0.9841566460838479</v>
      </c>
      <c r="Q58" s="712">
        <v>367.06060606060606</v>
      </c>
    </row>
    <row r="59" spans="1:17" ht="14.4" customHeight="1" x14ac:dyDescent="0.3">
      <c r="A59" s="695" t="s">
        <v>4242</v>
      </c>
      <c r="B59" s="696" t="s">
        <v>4082</v>
      </c>
      <c r="C59" s="696" t="s">
        <v>4114</v>
      </c>
      <c r="D59" s="696" t="s">
        <v>4186</v>
      </c>
      <c r="E59" s="696" t="s">
        <v>4142</v>
      </c>
      <c r="F59" s="711">
        <v>6</v>
      </c>
      <c r="G59" s="711">
        <v>1998</v>
      </c>
      <c r="H59" s="711">
        <v>1</v>
      </c>
      <c r="I59" s="711">
        <v>333</v>
      </c>
      <c r="J59" s="711">
        <v>6</v>
      </c>
      <c r="K59" s="711">
        <v>2010</v>
      </c>
      <c r="L59" s="711">
        <v>1.0060060060060061</v>
      </c>
      <c r="M59" s="711">
        <v>335</v>
      </c>
      <c r="N59" s="711">
        <v>3</v>
      </c>
      <c r="O59" s="711">
        <v>1009</v>
      </c>
      <c r="P59" s="701">
        <v>0.505005005005005</v>
      </c>
      <c r="Q59" s="712">
        <v>336.33333333333331</v>
      </c>
    </row>
    <row r="60" spans="1:17" ht="14.4" customHeight="1" x14ac:dyDescent="0.3">
      <c r="A60" s="695" t="s">
        <v>4242</v>
      </c>
      <c r="B60" s="696" t="s">
        <v>4082</v>
      </c>
      <c r="C60" s="696" t="s">
        <v>4114</v>
      </c>
      <c r="D60" s="696" t="s">
        <v>4192</v>
      </c>
      <c r="E60" s="696" t="s">
        <v>4132</v>
      </c>
      <c r="F60" s="711">
        <v>3</v>
      </c>
      <c r="G60" s="711">
        <v>1158</v>
      </c>
      <c r="H60" s="711">
        <v>1</v>
      </c>
      <c r="I60" s="711">
        <v>386</v>
      </c>
      <c r="J60" s="711"/>
      <c r="K60" s="711"/>
      <c r="L60" s="711"/>
      <c r="M60" s="711"/>
      <c r="N60" s="711"/>
      <c r="O60" s="711"/>
      <c r="P60" s="701"/>
      <c r="Q60" s="712"/>
    </row>
    <row r="61" spans="1:17" ht="14.4" customHeight="1" x14ac:dyDescent="0.3">
      <c r="A61" s="695" t="s">
        <v>4242</v>
      </c>
      <c r="B61" s="696" t="s">
        <v>4082</v>
      </c>
      <c r="C61" s="696" t="s">
        <v>4114</v>
      </c>
      <c r="D61" s="696" t="s">
        <v>4245</v>
      </c>
      <c r="E61" s="696" t="s">
        <v>4241</v>
      </c>
      <c r="F61" s="711"/>
      <c r="G61" s="711"/>
      <c r="H61" s="711"/>
      <c r="I61" s="711"/>
      <c r="J61" s="711">
        <v>2</v>
      </c>
      <c r="K61" s="711">
        <v>1212</v>
      </c>
      <c r="L61" s="711"/>
      <c r="M61" s="711">
        <v>606</v>
      </c>
      <c r="N61" s="711">
        <v>2</v>
      </c>
      <c r="O61" s="711">
        <v>1212</v>
      </c>
      <c r="P61" s="701"/>
      <c r="Q61" s="712">
        <v>606</v>
      </c>
    </row>
    <row r="62" spans="1:17" ht="14.4" customHeight="1" x14ac:dyDescent="0.3">
      <c r="A62" s="695" t="s">
        <v>4242</v>
      </c>
      <c r="B62" s="696" t="s">
        <v>4082</v>
      </c>
      <c r="C62" s="696" t="s">
        <v>4114</v>
      </c>
      <c r="D62" s="696" t="s">
        <v>4240</v>
      </c>
      <c r="E62" s="696" t="s">
        <v>4241</v>
      </c>
      <c r="F62" s="711"/>
      <c r="G62" s="711"/>
      <c r="H62" s="711"/>
      <c r="I62" s="711"/>
      <c r="J62" s="711">
        <v>1</v>
      </c>
      <c r="K62" s="711">
        <v>520</v>
      </c>
      <c r="L62" s="711"/>
      <c r="M62" s="711">
        <v>520</v>
      </c>
      <c r="N62" s="711">
        <v>1</v>
      </c>
      <c r="O62" s="711">
        <v>520</v>
      </c>
      <c r="P62" s="701"/>
      <c r="Q62" s="712">
        <v>520</v>
      </c>
    </row>
    <row r="63" spans="1:17" ht="14.4" customHeight="1" x14ac:dyDescent="0.3">
      <c r="A63" s="695" t="s">
        <v>4246</v>
      </c>
      <c r="B63" s="696" t="s">
        <v>4082</v>
      </c>
      <c r="C63" s="696" t="s">
        <v>4103</v>
      </c>
      <c r="D63" s="696" t="s">
        <v>4228</v>
      </c>
      <c r="E63" s="696" t="s">
        <v>4229</v>
      </c>
      <c r="F63" s="711"/>
      <c r="G63" s="711"/>
      <c r="H63" s="711"/>
      <c r="I63" s="711"/>
      <c r="J63" s="711"/>
      <c r="K63" s="711"/>
      <c r="L63" s="711"/>
      <c r="M63" s="711"/>
      <c r="N63" s="711">
        <v>1</v>
      </c>
      <c r="O63" s="711">
        <v>904.75</v>
      </c>
      <c r="P63" s="701"/>
      <c r="Q63" s="712">
        <v>904.75</v>
      </c>
    </row>
    <row r="64" spans="1:17" ht="14.4" customHeight="1" x14ac:dyDescent="0.3">
      <c r="A64" s="695" t="s">
        <v>4246</v>
      </c>
      <c r="B64" s="696" t="s">
        <v>4082</v>
      </c>
      <c r="C64" s="696" t="s">
        <v>4114</v>
      </c>
      <c r="D64" s="696" t="s">
        <v>4127</v>
      </c>
      <c r="E64" s="696" t="s">
        <v>4128</v>
      </c>
      <c r="F64" s="711">
        <v>9</v>
      </c>
      <c r="G64" s="711">
        <v>2079</v>
      </c>
      <c r="H64" s="711">
        <v>1</v>
      </c>
      <c r="I64" s="711">
        <v>231</v>
      </c>
      <c r="J64" s="711">
        <v>18</v>
      </c>
      <c r="K64" s="711">
        <v>4176</v>
      </c>
      <c r="L64" s="711">
        <v>2.0086580086580086</v>
      </c>
      <c r="M64" s="711">
        <v>232</v>
      </c>
      <c r="N64" s="711">
        <v>48</v>
      </c>
      <c r="O64" s="711">
        <v>11164</v>
      </c>
      <c r="P64" s="701">
        <v>5.3698893698893695</v>
      </c>
      <c r="Q64" s="712">
        <v>232.58333333333334</v>
      </c>
    </row>
    <row r="65" spans="1:17" ht="14.4" customHeight="1" x14ac:dyDescent="0.3">
      <c r="A65" s="695" t="s">
        <v>4246</v>
      </c>
      <c r="B65" s="696" t="s">
        <v>4082</v>
      </c>
      <c r="C65" s="696" t="s">
        <v>4114</v>
      </c>
      <c r="D65" s="696" t="s">
        <v>4129</v>
      </c>
      <c r="E65" s="696" t="s">
        <v>4130</v>
      </c>
      <c r="F65" s="711">
        <v>3</v>
      </c>
      <c r="G65" s="711">
        <v>348</v>
      </c>
      <c r="H65" s="711">
        <v>1</v>
      </c>
      <c r="I65" s="711">
        <v>116</v>
      </c>
      <c r="J65" s="711">
        <v>7</v>
      </c>
      <c r="K65" s="711">
        <v>812</v>
      </c>
      <c r="L65" s="711">
        <v>2.3333333333333335</v>
      </c>
      <c r="M65" s="711">
        <v>116</v>
      </c>
      <c r="N65" s="711">
        <v>4</v>
      </c>
      <c r="O65" s="711">
        <v>468</v>
      </c>
      <c r="P65" s="701">
        <v>1.3448275862068966</v>
      </c>
      <c r="Q65" s="712">
        <v>117</v>
      </c>
    </row>
    <row r="66" spans="1:17" ht="14.4" customHeight="1" x14ac:dyDescent="0.3">
      <c r="A66" s="695" t="s">
        <v>4246</v>
      </c>
      <c r="B66" s="696" t="s">
        <v>4082</v>
      </c>
      <c r="C66" s="696" t="s">
        <v>4114</v>
      </c>
      <c r="D66" s="696" t="s">
        <v>4131</v>
      </c>
      <c r="E66" s="696" t="s">
        <v>4132</v>
      </c>
      <c r="F66" s="711">
        <v>2</v>
      </c>
      <c r="G66" s="711">
        <v>638</v>
      </c>
      <c r="H66" s="711">
        <v>1</v>
      </c>
      <c r="I66" s="711">
        <v>319</v>
      </c>
      <c r="J66" s="711"/>
      <c r="K66" s="711"/>
      <c r="L66" s="711"/>
      <c r="M66" s="711"/>
      <c r="N66" s="711"/>
      <c r="O66" s="711"/>
      <c r="P66" s="701"/>
      <c r="Q66" s="712"/>
    </row>
    <row r="67" spans="1:17" ht="14.4" customHeight="1" x14ac:dyDescent="0.3">
      <c r="A67" s="695" t="s">
        <v>4246</v>
      </c>
      <c r="B67" s="696" t="s">
        <v>4082</v>
      </c>
      <c r="C67" s="696" t="s">
        <v>4114</v>
      </c>
      <c r="D67" s="696" t="s">
        <v>4133</v>
      </c>
      <c r="E67" s="696" t="s">
        <v>4134</v>
      </c>
      <c r="F67" s="711"/>
      <c r="G67" s="711"/>
      <c r="H67" s="711"/>
      <c r="I67" s="711"/>
      <c r="J67" s="711">
        <v>4</v>
      </c>
      <c r="K67" s="711">
        <v>1936</v>
      </c>
      <c r="L67" s="711"/>
      <c r="M67" s="711">
        <v>484</v>
      </c>
      <c r="N67" s="711"/>
      <c r="O67" s="711"/>
      <c r="P67" s="701"/>
      <c r="Q67" s="712"/>
    </row>
    <row r="68" spans="1:17" ht="14.4" customHeight="1" x14ac:dyDescent="0.3">
      <c r="A68" s="695" t="s">
        <v>4246</v>
      </c>
      <c r="B68" s="696" t="s">
        <v>4082</v>
      </c>
      <c r="C68" s="696" t="s">
        <v>4114</v>
      </c>
      <c r="D68" s="696" t="s">
        <v>4135</v>
      </c>
      <c r="E68" s="696" t="s">
        <v>4136</v>
      </c>
      <c r="F68" s="711"/>
      <c r="G68" s="711"/>
      <c r="H68" s="711"/>
      <c r="I68" s="711"/>
      <c r="J68" s="711">
        <v>1</v>
      </c>
      <c r="K68" s="711">
        <v>677</v>
      </c>
      <c r="L68" s="711"/>
      <c r="M68" s="711">
        <v>677</v>
      </c>
      <c r="N68" s="711"/>
      <c r="O68" s="711"/>
      <c r="P68" s="701"/>
      <c r="Q68" s="712"/>
    </row>
    <row r="69" spans="1:17" ht="14.4" customHeight="1" x14ac:dyDescent="0.3">
      <c r="A69" s="695" t="s">
        <v>4246</v>
      </c>
      <c r="B69" s="696" t="s">
        <v>4082</v>
      </c>
      <c r="C69" s="696" t="s">
        <v>4114</v>
      </c>
      <c r="D69" s="696" t="s">
        <v>4145</v>
      </c>
      <c r="E69" s="696" t="s">
        <v>4146</v>
      </c>
      <c r="F69" s="711"/>
      <c r="G69" s="711"/>
      <c r="H69" s="711"/>
      <c r="I69" s="711"/>
      <c r="J69" s="711"/>
      <c r="K69" s="711"/>
      <c r="L69" s="711"/>
      <c r="M69" s="711"/>
      <c r="N69" s="711">
        <v>1</v>
      </c>
      <c r="O69" s="711">
        <v>207</v>
      </c>
      <c r="P69" s="701"/>
      <c r="Q69" s="712">
        <v>207</v>
      </c>
    </row>
    <row r="70" spans="1:17" ht="14.4" customHeight="1" x14ac:dyDescent="0.3">
      <c r="A70" s="695" t="s">
        <v>4246</v>
      </c>
      <c r="B70" s="696" t="s">
        <v>4082</v>
      </c>
      <c r="C70" s="696" t="s">
        <v>4114</v>
      </c>
      <c r="D70" s="696" t="s">
        <v>4149</v>
      </c>
      <c r="E70" s="696" t="s">
        <v>4150</v>
      </c>
      <c r="F70" s="711">
        <v>6</v>
      </c>
      <c r="G70" s="711">
        <v>1956</v>
      </c>
      <c r="H70" s="711">
        <v>1</v>
      </c>
      <c r="I70" s="711">
        <v>326</v>
      </c>
      <c r="J70" s="711">
        <v>4</v>
      </c>
      <c r="K70" s="711">
        <v>1308</v>
      </c>
      <c r="L70" s="711">
        <v>0.66871165644171782</v>
      </c>
      <c r="M70" s="711">
        <v>327</v>
      </c>
      <c r="N70" s="711">
        <v>2</v>
      </c>
      <c r="O70" s="711">
        <v>654</v>
      </c>
      <c r="P70" s="701">
        <v>0.33435582822085891</v>
      </c>
      <c r="Q70" s="712">
        <v>327</v>
      </c>
    </row>
    <row r="71" spans="1:17" ht="14.4" customHeight="1" x14ac:dyDescent="0.3">
      <c r="A71" s="695" t="s">
        <v>4246</v>
      </c>
      <c r="B71" s="696" t="s">
        <v>4082</v>
      </c>
      <c r="C71" s="696" t="s">
        <v>4114</v>
      </c>
      <c r="D71" s="696" t="s">
        <v>4153</v>
      </c>
      <c r="E71" s="696" t="s">
        <v>4154</v>
      </c>
      <c r="F71" s="711">
        <v>9</v>
      </c>
      <c r="G71" s="711">
        <v>729</v>
      </c>
      <c r="H71" s="711">
        <v>1</v>
      </c>
      <c r="I71" s="711">
        <v>81</v>
      </c>
      <c r="J71" s="711">
        <v>1</v>
      </c>
      <c r="K71" s="711">
        <v>82</v>
      </c>
      <c r="L71" s="711">
        <v>0.11248285322359397</v>
      </c>
      <c r="M71" s="711">
        <v>82</v>
      </c>
      <c r="N71" s="711">
        <v>10</v>
      </c>
      <c r="O71" s="711">
        <v>820</v>
      </c>
      <c r="P71" s="701">
        <v>1.1248285322359397</v>
      </c>
      <c r="Q71" s="712">
        <v>82</v>
      </c>
    </row>
    <row r="72" spans="1:17" ht="14.4" customHeight="1" x14ac:dyDescent="0.3">
      <c r="A72" s="695" t="s">
        <v>4246</v>
      </c>
      <c r="B72" s="696" t="s">
        <v>4082</v>
      </c>
      <c r="C72" s="696" t="s">
        <v>4114</v>
      </c>
      <c r="D72" s="696" t="s">
        <v>4159</v>
      </c>
      <c r="E72" s="696" t="s">
        <v>4160</v>
      </c>
      <c r="F72" s="711"/>
      <c r="G72" s="711"/>
      <c r="H72" s="711"/>
      <c r="I72" s="711"/>
      <c r="J72" s="711"/>
      <c r="K72" s="711"/>
      <c r="L72" s="711"/>
      <c r="M72" s="711"/>
      <c r="N72" s="711">
        <v>1</v>
      </c>
      <c r="O72" s="711">
        <v>0</v>
      </c>
      <c r="P72" s="701"/>
      <c r="Q72" s="712">
        <v>0</v>
      </c>
    </row>
    <row r="73" spans="1:17" ht="14.4" customHeight="1" x14ac:dyDescent="0.3">
      <c r="A73" s="695" t="s">
        <v>4246</v>
      </c>
      <c r="B73" s="696" t="s">
        <v>4082</v>
      </c>
      <c r="C73" s="696" t="s">
        <v>4114</v>
      </c>
      <c r="D73" s="696" t="s">
        <v>4234</v>
      </c>
      <c r="E73" s="696" t="s">
        <v>4233</v>
      </c>
      <c r="F73" s="711"/>
      <c r="G73" s="711"/>
      <c r="H73" s="711"/>
      <c r="I73" s="711"/>
      <c r="J73" s="711"/>
      <c r="K73" s="711"/>
      <c r="L73" s="711"/>
      <c r="M73" s="711"/>
      <c r="N73" s="711">
        <v>6</v>
      </c>
      <c r="O73" s="711">
        <v>5574</v>
      </c>
      <c r="P73" s="701"/>
      <c r="Q73" s="712">
        <v>929</v>
      </c>
    </row>
    <row r="74" spans="1:17" ht="14.4" customHeight="1" x14ac:dyDescent="0.3">
      <c r="A74" s="695" t="s">
        <v>4246</v>
      </c>
      <c r="B74" s="696" t="s">
        <v>4082</v>
      </c>
      <c r="C74" s="696" t="s">
        <v>4114</v>
      </c>
      <c r="D74" s="696" t="s">
        <v>4247</v>
      </c>
      <c r="E74" s="696" t="s">
        <v>4248</v>
      </c>
      <c r="F74" s="711">
        <v>1</v>
      </c>
      <c r="G74" s="711">
        <v>0</v>
      </c>
      <c r="H74" s="711"/>
      <c r="I74" s="711">
        <v>0</v>
      </c>
      <c r="J74" s="711"/>
      <c r="K74" s="711"/>
      <c r="L74" s="711"/>
      <c r="M74" s="711"/>
      <c r="N74" s="711"/>
      <c r="O74" s="711"/>
      <c r="P74" s="701"/>
      <c r="Q74" s="712"/>
    </row>
    <row r="75" spans="1:17" ht="14.4" customHeight="1" x14ac:dyDescent="0.3">
      <c r="A75" s="695" t="s">
        <v>4246</v>
      </c>
      <c r="B75" s="696" t="s">
        <v>4082</v>
      </c>
      <c r="C75" s="696" t="s">
        <v>4114</v>
      </c>
      <c r="D75" s="696" t="s">
        <v>4235</v>
      </c>
      <c r="E75" s="696" t="s">
        <v>4233</v>
      </c>
      <c r="F75" s="711">
        <v>2</v>
      </c>
      <c r="G75" s="711">
        <v>1466</v>
      </c>
      <c r="H75" s="711">
        <v>1</v>
      </c>
      <c r="I75" s="711">
        <v>733</v>
      </c>
      <c r="J75" s="711"/>
      <c r="K75" s="711"/>
      <c r="L75" s="711"/>
      <c r="M75" s="711"/>
      <c r="N75" s="711"/>
      <c r="O75" s="711"/>
      <c r="P75" s="701"/>
      <c r="Q75" s="712"/>
    </row>
    <row r="76" spans="1:17" ht="14.4" customHeight="1" x14ac:dyDescent="0.3">
      <c r="A76" s="695" t="s">
        <v>4246</v>
      </c>
      <c r="B76" s="696" t="s">
        <v>4082</v>
      </c>
      <c r="C76" s="696" t="s">
        <v>4114</v>
      </c>
      <c r="D76" s="696" t="s">
        <v>4236</v>
      </c>
      <c r="E76" s="696" t="s">
        <v>4237</v>
      </c>
      <c r="F76" s="711">
        <v>7</v>
      </c>
      <c r="G76" s="711">
        <v>3661</v>
      </c>
      <c r="H76" s="711">
        <v>1</v>
      </c>
      <c r="I76" s="711">
        <v>523</v>
      </c>
      <c r="J76" s="711"/>
      <c r="K76" s="711"/>
      <c r="L76" s="711"/>
      <c r="M76" s="711"/>
      <c r="N76" s="711"/>
      <c r="O76" s="711"/>
      <c r="P76" s="701"/>
      <c r="Q76" s="712"/>
    </row>
    <row r="77" spans="1:17" ht="14.4" customHeight="1" x14ac:dyDescent="0.3">
      <c r="A77" s="695" t="s">
        <v>4246</v>
      </c>
      <c r="B77" s="696" t="s">
        <v>4082</v>
      </c>
      <c r="C77" s="696" t="s">
        <v>4114</v>
      </c>
      <c r="D77" s="696" t="s">
        <v>4171</v>
      </c>
      <c r="E77" s="696" t="s">
        <v>4172</v>
      </c>
      <c r="F77" s="711">
        <v>3</v>
      </c>
      <c r="G77" s="711">
        <v>885</v>
      </c>
      <c r="H77" s="711">
        <v>1</v>
      </c>
      <c r="I77" s="711">
        <v>295</v>
      </c>
      <c r="J77" s="711"/>
      <c r="K77" s="711"/>
      <c r="L77" s="711"/>
      <c r="M77" s="711"/>
      <c r="N77" s="711">
        <v>3</v>
      </c>
      <c r="O77" s="711">
        <v>892</v>
      </c>
      <c r="P77" s="701">
        <v>1.007909604519774</v>
      </c>
      <c r="Q77" s="712">
        <v>297.33333333333331</v>
      </c>
    </row>
    <row r="78" spans="1:17" ht="14.4" customHeight="1" x14ac:dyDescent="0.3">
      <c r="A78" s="695" t="s">
        <v>4246</v>
      </c>
      <c r="B78" s="696" t="s">
        <v>4082</v>
      </c>
      <c r="C78" s="696" t="s">
        <v>4114</v>
      </c>
      <c r="D78" s="696" t="s">
        <v>4238</v>
      </c>
      <c r="E78" s="696" t="s">
        <v>4146</v>
      </c>
      <c r="F78" s="711">
        <v>3</v>
      </c>
      <c r="G78" s="711">
        <v>516</v>
      </c>
      <c r="H78" s="711">
        <v>1</v>
      </c>
      <c r="I78" s="711">
        <v>172</v>
      </c>
      <c r="J78" s="711">
        <v>1</v>
      </c>
      <c r="K78" s="711">
        <v>172</v>
      </c>
      <c r="L78" s="711">
        <v>0.33333333333333331</v>
      </c>
      <c r="M78" s="711">
        <v>172</v>
      </c>
      <c r="N78" s="711"/>
      <c r="O78" s="711"/>
      <c r="P78" s="701"/>
      <c r="Q78" s="712"/>
    </row>
    <row r="79" spans="1:17" ht="14.4" customHeight="1" x14ac:dyDescent="0.3">
      <c r="A79" s="695" t="s">
        <v>4246</v>
      </c>
      <c r="B79" s="696" t="s">
        <v>4082</v>
      </c>
      <c r="C79" s="696" t="s">
        <v>4114</v>
      </c>
      <c r="D79" s="696" t="s">
        <v>4175</v>
      </c>
      <c r="E79" s="696" t="s">
        <v>4172</v>
      </c>
      <c r="F79" s="711"/>
      <c r="G79" s="711"/>
      <c r="H79" s="711"/>
      <c r="I79" s="711"/>
      <c r="J79" s="711">
        <v>2</v>
      </c>
      <c r="K79" s="711">
        <v>730</v>
      </c>
      <c r="L79" s="711"/>
      <c r="M79" s="711">
        <v>365</v>
      </c>
      <c r="N79" s="711">
        <v>7</v>
      </c>
      <c r="O79" s="711">
        <v>2555</v>
      </c>
      <c r="P79" s="701"/>
      <c r="Q79" s="712">
        <v>365</v>
      </c>
    </row>
    <row r="80" spans="1:17" ht="14.4" customHeight="1" x14ac:dyDescent="0.3">
      <c r="A80" s="695" t="s">
        <v>4246</v>
      </c>
      <c r="B80" s="696" t="s">
        <v>4082</v>
      </c>
      <c r="C80" s="696" t="s">
        <v>4114</v>
      </c>
      <c r="D80" s="696" t="s">
        <v>4249</v>
      </c>
      <c r="E80" s="696" t="s">
        <v>4233</v>
      </c>
      <c r="F80" s="711">
        <v>7</v>
      </c>
      <c r="G80" s="711">
        <v>6013</v>
      </c>
      <c r="H80" s="711">
        <v>1</v>
      </c>
      <c r="I80" s="711">
        <v>859</v>
      </c>
      <c r="J80" s="711"/>
      <c r="K80" s="711"/>
      <c r="L80" s="711"/>
      <c r="M80" s="711"/>
      <c r="N80" s="711"/>
      <c r="O80" s="711"/>
      <c r="P80" s="701"/>
      <c r="Q80" s="712"/>
    </row>
    <row r="81" spans="1:17" ht="14.4" customHeight="1" x14ac:dyDescent="0.3">
      <c r="A81" s="695" t="s">
        <v>4250</v>
      </c>
      <c r="B81" s="696" t="s">
        <v>4082</v>
      </c>
      <c r="C81" s="696" t="s">
        <v>4103</v>
      </c>
      <c r="D81" s="696" t="s">
        <v>4251</v>
      </c>
      <c r="E81" s="696" t="s">
        <v>4252</v>
      </c>
      <c r="F81" s="711">
        <v>59</v>
      </c>
      <c r="G81" s="711">
        <v>136290</v>
      </c>
      <c r="H81" s="711">
        <v>1</v>
      </c>
      <c r="I81" s="711">
        <v>2310</v>
      </c>
      <c r="J81" s="711">
        <v>60</v>
      </c>
      <c r="K81" s="711">
        <v>137194.75</v>
      </c>
      <c r="L81" s="711">
        <v>1.0066384180790962</v>
      </c>
      <c r="M81" s="711">
        <v>2286.5791666666669</v>
      </c>
      <c r="N81" s="711">
        <v>46</v>
      </c>
      <c r="O81" s="711">
        <v>106260</v>
      </c>
      <c r="P81" s="701">
        <v>0.77966101694915257</v>
      </c>
      <c r="Q81" s="712">
        <v>2310</v>
      </c>
    </row>
    <row r="82" spans="1:17" ht="14.4" customHeight="1" x14ac:dyDescent="0.3">
      <c r="A82" s="695" t="s">
        <v>4250</v>
      </c>
      <c r="B82" s="696" t="s">
        <v>4082</v>
      </c>
      <c r="C82" s="696" t="s">
        <v>4103</v>
      </c>
      <c r="D82" s="696" t="s">
        <v>4253</v>
      </c>
      <c r="E82" s="696" t="s">
        <v>4254</v>
      </c>
      <c r="F82" s="711">
        <v>9</v>
      </c>
      <c r="G82" s="711">
        <v>20790</v>
      </c>
      <c r="H82" s="711">
        <v>1</v>
      </c>
      <c r="I82" s="711">
        <v>2310</v>
      </c>
      <c r="J82" s="711">
        <v>15</v>
      </c>
      <c r="K82" s="711">
        <v>34650</v>
      </c>
      <c r="L82" s="711">
        <v>1.6666666666666667</v>
      </c>
      <c r="M82" s="711">
        <v>2310</v>
      </c>
      <c r="N82" s="711">
        <v>19</v>
      </c>
      <c r="O82" s="711">
        <v>43890</v>
      </c>
      <c r="P82" s="701">
        <v>2.1111111111111112</v>
      </c>
      <c r="Q82" s="712">
        <v>2310</v>
      </c>
    </row>
    <row r="83" spans="1:17" ht="14.4" customHeight="1" x14ac:dyDescent="0.3">
      <c r="A83" s="695" t="s">
        <v>4250</v>
      </c>
      <c r="B83" s="696" t="s">
        <v>4082</v>
      </c>
      <c r="C83" s="696" t="s">
        <v>4103</v>
      </c>
      <c r="D83" s="696" t="s">
        <v>4228</v>
      </c>
      <c r="E83" s="696" t="s">
        <v>4229</v>
      </c>
      <c r="F83" s="711"/>
      <c r="G83" s="711"/>
      <c r="H83" s="711"/>
      <c r="I83" s="711"/>
      <c r="J83" s="711">
        <v>85</v>
      </c>
      <c r="K83" s="711">
        <v>76903.75</v>
      </c>
      <c r="L83" s="711"/>
      <c r="M83" s="711">
        <v>904.75</v>
      </c>
      <c r="N83" s="711">
        <v>305</v>
      </c>
      <c r="O83" s="711">
        <v>275948.75</v>
      </c>
      <c r="P83" s="701"/>
      <c r="Q83" s="712">
        <v>904.75</v>
      </c>
    </row>
    <row r="84" spans="1:17" ht="14.4" customHeight="1" x14ac:dyDescent="0.3">
      <c r="A84" s="695" t="s">
        <v>4250</v>
      </c>
      <c r="B84" s="696" t="s">
        <v>4082</v>
      </c>
      <c r="C84" s="696" t="s">
        <v>4103</v>
      </c>
      <c r="D84" s="696" t="s">
        <v>4106</v>
      </c>
      <c r="E84" s="696" t="s">
        <v>4107</v>
      </c>
      <c r="F84" s="711"/>
      <c r="G84" s="711"/>
      <c r="H84" s="711"/>
      <c r="I84" s="711"/>
      <c r="J84" s="711">
        <v>6</v>
      </c>
      <c r="K84" s="711">
        <v>1455.84</v>
      </c>
      <c r="L84" s="711"/>
      <c r="M84" s="711">
        <v>242.64</v>
      </c>
      <c r="N84" s="711">
        <v>4</v>
      </c>
      <c r="O84" s="711">
        <v>970.56</v>
      </c>
      <c r="P84" s="701"/>
      <c r="Q84" s="712">
        <v>242.64</v>
      </c>
    </row>
    <row r="85" spans="1:17" ht="14.4" customHeight="1" x14ac:dyDescent="0.3">
      <c r="A85" s="695" t="s">
        <v>4250</v>
      </c>
      <c r="B85" s="696" t="s">
        <v>4082</v>
      </c>
      <c r="C85" s="696" t="s">
        <v>4103</v>
      </c>
      <c r="D85" s="696" t="s">
        <v>4108</v>
      </c>
      <c r="E85" s="696" t="s">
        <v>4109</v>
      </c>
      <c r="F85" s="711"/>
      <c r="G85" s="711"/>
      <c r="H85" s="711"/>
      <c r="I85" s="711"/>
      <c r="J85" s="711">
        <v>1</v>
      </c>
      <c r="K85" s="711">
        <v>242.64</v>
      </c>
      <c r="L85" s="711"/>
      <c r="M85" s="711">
        <v>242.64</v>
      </c>
      <c r="N85" s="711">
        <v>2</v>
      </c>
      <c r="O85" s="711">
        <v>485.28</v>
      </c>
      <c r="P85" s="701"/>
      <c r="Q85" s="712">
        <v>242.64</v>
      </c>
    </row>
    <row r="86" spans="1:17" ht="14.4" customHeight="1" x14ac:dyDescent="0.3">
      <c r="A86" s="695" t="s">
        <v>4250</v>
      </c>
      <c r="B86" s="696" t="s">
        <v>4082</v>
      </c>
      <c r="C86" s="696" t="s">
        <v>4103</v>
      </c>
      <c r="D86" s="696" t="s">
        <v>4112</v>
      </c>
      <c r="E86" s="696" t="s">
        <v>4111</v>
      </c>
      <c r="F86" s="711"/>
      <c r="G86" s="711"/>
      <c r="H86" s="711"/>
      <c r="I86" s="711"/>
      <c r="J86" s="711">
        <v>2</v>
      </c>
      <c r="K86" s="711">
        <v>898</v>
      </c>
      <c r="L86" s="711"/>
      <c r="M86" s="711">
        <v>449</v>
      </c>
      <c r="N86" s="711"/>
      <c r="O86" s="711"/>
      <c r="P86" s="701"/>
      <c r="Q86" s="712"/>
    </row>
    <row r="87" spans="1:17" ht="14.4" customHeight="1" x14ac:dyDescent="0.3">
      <c r="A87" s="695" t="s">
        <v>4250</v>
      </c>
      <c r="B87" s="696" t="s">
        <v>4082</v>
      </c>
      <c r="C87" s="696" t="s">
        <v>4114</v>
      </c>
      <c r="D87" s="696" t="s">
        <v>4230</v>
      </c>
      <c r="E87" s="696" t="s">
        <v>4231</v>
      </c>
      <c r="F87" s="711">
        <v>18</v>
      </c>
      <c r="G87" s="711">
        <v>3330</v>
      </c>
      <c r="H87" s="711">
        <v>1</v>
      </c>
      <c r="I87" s="711">
        <v>185</v>
      </c>
      <c r="J87" s="711">
        <v>12</v>
      </c>
      <c r="K87" s="711">
        <v>2220</v>
      </c>
      <c r="L87" s="711">
        <v>0.66666666666666663</v>
      </c>
      <c r="M87" s="711">
        <v>185</v>
      </c>
      <c r="N87" s="711">
        <v>15</v>
      </c>
      <c r="O87" s="711">
        <v>2787</v>
      </c>
      <c r="P87" s="701">
        <v>0.83693693693693694</v>
      </c>
      <c r="Q87" s="712">
        <v>185.8</v>
      </c>
    </row>
    <row r="88" spans="1:17" ht="14.4" customHeight="1" x14ac:dyDescent="0.3">
      <c r="A88" s="695" t="s">
        <v>4250</v>
      </c>
      <c r="B88" s="696" t="s">
        <v>4082</v>
      </c>
      <c r="C88" s="696" t="s">
        <v>4114</v>
      </c>
      <c r="D88" s="696" t="s">
        <v>4119</v>
      </c>
      <c r="E88" s="696" t="s">
        <v>4120</v>
      </c>
      <c r="F88" s="711">
        <v>11</v>
      </c>
      <c r="G88" s="711">
        <v>374</v>
      </c>
      <c r="H88" s="711">
        <v>1</v>
      </c>
      <c r="I88" s="711">
        <v>34</v>
      </c>
      <c r="J88" s="711">
        <v>3</v>
      </c>
      <c r="K88" s="711">
        <v>102</v>
      </c>
      <c r="L88" s="711">
        <v>0.27272727272727271</v>
      </c>
      <c r="M88" s="711">
        <v>34</v>
      </c>
      <c r="N88" s="711">
        <v>4</v>
      </c>
      <c r="O88" s="711">
        <v>140</v>
      </c>
      <c r="P88" s="701">
        <v>0.37433155080213903</v>
      </c>
      <c r="Q88" s="712">
        <v>35</v>
      </c>
    </row>
    <row r="89" spans="1:17" ht="14.4" customHeight="1" x14ac:dyDescent="0.3">
      <c r="A89" s="695" t="s">
        <v>4250</v>
      </c>
      <c r="B89" s="696" t="s">
        <v>4082</v>
      </c>
      <c r="C89" s="696" t="s">
        <v>4114</v>
      </c>
      <c r="D89" s="696" t="s">
        <v>4125</v>
      </c>
      <c r="E89" s="696" t="s">
        <v>4078</v>
      </c>
      <c r="F89" s="711">
        <v>44</v>
      </c>
      <c r="G89" s="711">
        <v>6864</v>
      </c>
      <c r="H89" s="711">
        <v>1</v>
      </c>
      <c r="I89" s="711">
        <v>156</v>
      </c>
      <c r="J89" s="711"/>
      <c r="K89" s="711"/>
      <c r="L89" s="711"/>
      <c r="M89" s="711"/>
      <c r="N89" s="711"/>
      <c r="O89" s="711"/>
      <c r="P89" s="701"/>
      <c r="Q89" s="712"/>
    </row>
    <row r="90" spans="1:17" ht="14.4" customHeight="1" x14ac:dyDescent="0.3">
      <c r="A90" s="695" t="s">
        <v>4250</v>
      </c>
      <c r="B90" s="696" t="s">
        <v>4082</v>
      </c>
      <c r="C90" s="696" t="s">
        <v>4114</v>
      </c>
      <c r="D90" s="696" t="s">
        <v>4126</v>
      </c>
      <c r="E90" s="696" t="s">
        <v>4078</v>
      </c>
      <c r="F90" s="711">
        <v>36</v>
      </c>
      <c r="G90" s="711">
        <v>2808</v>
      </c>
      <c r="H90" s="711">
        <v>1</v>
      </c>
      <c r="I90" s="711">
        <v>78</v>
      </c>
      <c r="J90" s="711"/>
      <c r="K90" s="711"/>
      <c r="L90" s="711"/>
      <c r="M90" s="711"/>
      <c r="N90" s="711"/>
      <c r="O90" s="711"/>
      <c r="P90" s="701"/>
      <c r="Q90" s="712"/>
    </row>
    <row r="91" spans="1:17" ht="14.4" customHeight="1" x14ac:dyDescent="0.3">
      <c r="A91" s="695" t="s">
        <v>4250</v>
      </c>
      <c r="B91" s="696" t="s">
        <v>4082</v>
      </c>
      <c r="C91" s="696" t="s">
        <v>4114</v>
      </c>
      <c r="D91" s="696" t="s">
        <v>4127</v>
      </c>
      <c r="E91" s="696" t="s">
        <v>4128</v>
      </c>
      <c r="F91" s="711">
        <v>955</v>
      </c>
      <c r="G91" s="711">
        <v>220605</v>
      </c>
      <c r="H91" s="711">
        <v>1</v>
      </c>
      <c r="I91" s="711">
        <v>231</v>
      </c>
      <c r="J91" s="711">
        <v>1117</v>
      </c>
      <c r="K91" s="711">
        <v>259144</v>
      </c>
      <c r="L91" s="711">
        <v>1.1746968563722491</v>
      </c>
      <c r="M91" s="711">
        <v>232</v>
      </c>
      <c r="N91" s="711">
        <v>1881</v>
      </c>
      <c r="O91" s="711">
        <v>437912</v>
      </c>
      <c r="P91" s="701">
        <v>1.98505020285125</v>
      </c>
      <c r="Q91" s="712">
        <v>232.8080808080808</v>
      </c>
    </row>
    <row r="92" spans="1:17" ht="14.4" customHeight="1" x14ac:dyDescent="0.3">
      <c r="A92" s="695" t="s">
        <v>4250</v>
      </c>
      <c r="B92" s="696" t="s">
        <v>4082</v>
      </c>
      <c r="C92" s="696" t="s">
        <v>4114</v>
      </c>
      <c r="D92" s="696" t="s">
        <v>4129</v>
      </c>
      <c r="E92" s="696" t="s">
        <v>4130</v>
      </c>
      <c r="F92" s="711">
        <v>2109</v>
      </c>
      <c r="G92" s="711">
        <v>244644</v>
      </c>
      <c r="H92" s="711">
        <v>1</v>
      </c>
      <c r="I92" s="711">
        <v>116</v>
      </c>
      <c r="J92" s="711">
        <v>2602</v>
      </c>
      <c r="K92" s="711">
        <v>301832</v>
      </c>
      <c r="L92" s="711">
        <v>1.2337600758653391</v>
      </c>
      <c r="M92" s="711">
        <v>116</v>
      </c>
      <c r="N92" s="711">
        <v>2609</v>
      </c>
      <c r="O92" s="711">
        <v>304714</v>
      </c>
      <c r="P92" s="701">
        <v>1.2455404587890977</v>
      </c>
      <c r="Q92" s="712">
        <v>116.79340743579915</v>
      </c>
    </row>
    <row r="93" spans="1:17" ht="14.4" customHeight="1" x14ac:dyDescent="0.3">
      <c r="A93" s="695" t="s">
        <v>4250</v>
      </c>
      <c r="B93" s="696" t="s">
        <v>4082</v>
      </c>
      <c r="C93" s="696" t="s">
        <v>4114</v>
      </c>
      <c r="D93" s="696" t="s">
        <v>4131</v>
      </c>
      <c r="E93" s="696" t="s">
        <v>4132</v>
      </c>
      <c r="F93" s="711">
        <v>3</v>
      </c>
      <c r="G93" s="711">
        <v>957</v>
      </c>
      <c r="H93" s="711">
        <v>1</v>
      </c>
      <c r="I93" s="711">
        <v>319</v>
      </c>
      <c r="J93" s="711"/>
      <c r="K93" s="711"/>
      <c r="L93" s="711"/>
      <c r="M93" s="711"/>
      <c r="N93" s="711"/>
      <c r="O93" s="711"/>
      <c r="P93" s="701"/>
      <c r="Q93" s="712"/>
    </row>
    <row r="94" spans="1:17" ht="14.4" customHeight="1" x14ac:dyDescent="0.3">
      <c r="A94" s="695" t="s">
        <v>4250</v>
      </c>
      <c r="B94" s="696" t="s">
        <v>4082</v>
      </c>
      <c r="C94" s="696" t="s">
        <v>4114</v>
      </c>
      <c r="D94" s="696" t="s">
        <v>4133</v>
      </c>
      <c r="E94" s="696" t="s">
        <v>4134</v>
      </c>
      <c r="F94" s="711">
        <v>51</v>
      </c>
      <c r="G94" s="711">
        <v>24633</v>
      </c>
      <c r="H94" s="711">
        <v>1</v>
      </c>
      <c r="I94" s="711">
        <v>483</v>
      </c>
      <c r="J94" s="711">
        <v>28</v>
      </c>
      <c r="K94" s="711">
        <v>13552</v>
      </c>
      <c r="L94" s="711">
        <v>0.55015629440181868</v>
      </c>
      <c r="M94" s="711">
        <v>484</v>
      </c>
      <c r="N94" s="711">
        <v>13</v>
      </c>
      <c r="O94" s="711">
        <v>6296</v>
      </c>
      <c r="P94" s="701">
        <v>0.25559209190922744</v>
      </c>
      <c r="Q94" s="712">
        <v>484.30769230769232</v>
      </c>
    </row>
    <row r="95" spans="1:17" ht="14.4" customHeight="1" x14ac:dyDescent="0.3">
      <c r="A95" s="695" t="s">
        <v>4250</v>
      </c>
      <c r="B95" s="696" t="s">
        <v>4082</v>
      </c>
      <c r="C95" s="696" t="s">
        <v>4114</v>
      </c>
      <c r="D95" s="696" t="s">
        <v>4135</v>
      </c>
      <c r="E95" s="696" t="s">
        <v>4136</v>
      </c>
      <c r="F95" s="711">
        <v>89</v>
      </c>
      <c r="G95" s="711">
        <v>60164</v>
      </c>
      <c r="H95" s="711">
        <v>1</v>
      </c>
      <c r="I95" s="711">
        <v>676</v>
      </c>
      <c r="J95" s="711">
        <v>85</v>
      </c>
      <c r="K95" s="711">
        <v>57545</v>
      </c>
      <c r="L95" s="711">
        <v>0.95646898477494846</v>
      </c>
      <c r="M95" s="711">
        <v>677</v>
      </c>
      <c r="N95" s="711">
        <v>30</v>
      </c>
      <c r="O95" s="711">
        <v>20340</v>
      </c>
      <c r="P95" s="701">
        <v>0.33807592580280565</v>
      </c>
      <c r="Q95" s="712">
        <v>678</v>
      </c>
    </row>
    <row r="96" spans="1:17" ht="14.4" customHeight="1" x14ac:dyDescent="0.3">
      <c r="A96" s="695" t="s">
        <v>4250</v>
      </c>
      <c r="B96" s="696" t="s">
        <v>4082</v>
      </c>
      <c r="C96" s="696" t="s">
        <v>4114</v>
      </c>
      <c r="D96" s="696" t="s">
        <v>4137</v>
      </c>
      <c r="E96" s="696" t="s">
        <v>4138</v>
      </c>
      <c r="F96" s="711">
        <v>3</v>
      </c>
      <c r="G96" s="711">
        <v>2244</v>
      </c>
      <c r="H96" s="711">
        <v>1</v>
      </c>
      <c r="I96" s="711">
        <v>748</v>
      </c>
      <c r="J96" s="711"/>
      <c r="K96" s="711"/>
      <c r="L96" s="711"/>
      <c r="M96" s="711"/>
      <c r="N96" s="711"/>
      <c r="O96" s="711"/>
      <c r="P96" s="701"/>
      <c r="Q96" s="712"/>
    </row>
    <row r="97" spans="1:17" ht="14.4" customHeight="1" x14ac:dyDescent="0.3">
      <c r="A97" s="695" t="s">
        <v>4250</v>
      </c>
      <c r="B97" s="696" t="s">
        <v>4082</v>
      </c>
      <c r="C97" s="696" t="s">
        <v>4114</v>
      </c>
      <c r="D97" s="696" t="s">
        <v>4139</v>
      </c>
      <c r="E97" s="696" t="s">
        <v>4134</v>
      </c>
      <c r="F97" s="711">
        <v>55</v>
      </c>
      <c r="G97" s="711">
        <v>30250</v>
      </c>
      <c r="H97" s="711">
        <v>1</v>
      </c>
      <c r="I97" s="711">
        <v>550</v>
      </c>
      <c r="J97" s="711">
        <v>37</v>
      </c>
      <c r="K97" s="711">
        <v>20461</v>
      </c>
      <c r="L97" s="711">
        <v>0.67639669421487603</v>
      </c>
      <c r="M97" s="711">
        <v>553</v>
      </c>
      <c r="N97" s="711">
        <v>74</v>
      </c>
      <c r="O97" s="711">
        <v>41034</v>
      </c>
      <c r="P97" s="701">
        <v>1.356495867768595</v>
      </c>
      <c r="Q97" s="712">
        <v>554.51351351351354</v>
      </c>
    </row>
    <row r="98" spans="1:17" ht="14.4" customHeight="1" x14ac:dyDescent="0.3">
      <c r="A98" s="695" t="s">
        <v>4250</v>
      </c>
      <c r="B98" s="696" t="s">
        <v>4082</v>
      </c>
      <c r="C98" s="696" t="s">
        <v>4114</v>
      </c>
      <c r="D98" s="696" t="s">
        <v>4140</v>
      </c>
      <c r="E98" s="696" t="s">
        <v>4136</v>
      </c>
      <c r="F98" s="711">
        <v>88</v>
      </c>
      <c r="G98" s="711">
        <v>65384</v>
      </c>
      <c r="H98" s="711">
        <v>1</v>
      </c>
      <c r="I98" s="711">
        <v>743</v>
      </c>
      <c r="J98" s="711">
        <v>182</v>
      </c>
      <c r="K98" s="711">
        <v>135772</v>
      </c>
      <c r="L98" s="711">
        <v>2.0765324850116236</v>
      </c>
      <c r="M98" s="711">
        <v>746</v>
      </c>
      <c r="N98" s="711">
        <v>241</v>
      </c>
      <c r="O98" s="711">
        <v>180194</v>
      </c>
      <c r="P98" s="701">
        <v>2.7559341734981033</v>
      </c>
      <c r="Q98" s="712">
        <v>747.69294605809125</v>
      </c>
    </row>
    <row r="99" spans="1:17" ht="14.4" customHeight="1" x14ac:dyDescent="0.3">
      <c r="A99" s="695" t="s">
        <v>4250</v>
      </c>
      <c r="B99" s="696" t="s">
        <v>4082</v>
      </c>
      <c r="C99" s="696" t="s">
        <v>4114</v>
      </c>
      <c r="D99" s="696" t="s">
        <v>4232</v>
      </c>
      <c r="E99" s="696" t="s">
        <v>4233</v>
      </c>
      <c r="F99" s="711">
        <v>1857</v>
      </c>
      <c r="G99" s="711">
        <v>1485600</v>
      </c>
      <c r="H99" s="711">
        <v>1</v>
      </c>
      <c r="I99" s="711">
        <v>800</v>
      </c>
      <c r="J99" s="711">
        <v>2529</v>
      </c>
      <c r="K99" s="711">
        <v>2030787</v>
      </c>
      <c r="L99" s="711">
        <v>1.3669810177705977</v>
      </c>
      <c r="M99" s="711">
        <v>803</v>
      </c>
      <c r="N99" s="711">
        <v>2862</v>
      </c>
      <c r="O99" s="711">
        <v>2302718</v>
      </c>
      <c r="P99" s="701">
        <v>1.5500255788906838</v>
      </c>
      <c r="Q99" s="712">
        <v>804.58350803633823</v>
      </c>
    </row>
    <row r="100" spans="1:17" ht="14.4" customHeight="1" x14ac:dyDescent="0.3">
      <c r="A100" s="695" t="s">
        <v>4250</v>
      </c>
      <c r="B100" s="696" t="s">
        <v>4082</v>
      </c>
      <c r="C100" s="696" t="s">
        <v>4114</v>
      </c>
      <c r="D100" s="696" t="s">
        <v>4141</v>
      </c>
      <c r="E100" s="696" t="s">
        <v>4142</v>
      </c>
      <c r="F100" s="711">
        <v>3</v>
      </c>
      <c r="G100" s="711">
        <v>1305</v>
      </c>
      <c r="H100" s="711">
        <v>1</v>
      </c>
      <c r="I100" s="711">
        <v>435</v>
      </c>
      <c r="J100" s="711">
        <v>3</v>
      </c>
      <c r="K100" s="711">
        <v>1317</v>
      </c>
      <c r="L100" s="711">
        <v>1.0091954022988505</v>
      </c>
      <c r="M100" s="711">
        <v>439</v>
      </c>
      <c r="N100" s="711">
        <v>9</v>
      </c>
      <c r="O100" s="711">
        <v>3979</v>
      </c>
      <c r="P100" s="701">
        <v>3.0490421455938699</v>
      </c>
      <c r="Q100" s="712">
        <v>442.11111111111109</v>
      </c>
    </row>
    <row r="101" spans="1:17" ht="14.4" customHeight="1" x14ac:dyDescent="0.3">
      <c r="A101" s="695" t="s">
        <v>4250</v>
      </c>
      <c r="B101" s="696" t="s">
        <v>4082</v>
      </c>
      <c r="C101" s="696" t="s">
        <v>4114</v>
      </c>
      <c r="D101" s="696" t="s">
        <v>4143</v>
      </c>
      <c r="E101" s="696" t="s">
        <v>4144</v>
      </c>
      <c r="F101" s="711"/>
      <c r="G101" s="711"/>
      <c r="H101" s="711"/>
      <c r="I101" s="711"/>
      <c r="J101" s="711">
        <v>5</v>
      </c>
      <c r="K101" s="711">
        <v>2155</v>
      </c>
      <c r="L101" s="711"/>
      <c r="M101" s="711">
        <v>431</v>
      </c>
      <c r="N101" s="711">
        <v>5</v>
      </c>
      <c r="O101" s="711">
        <v>2163</v>
      </c>
      <c r="P101" s="701"/>
      <c r="Q101" s="712">
        <v>432.6</v>
      </c>
    </row>
    <row r="102" spans="1:17" ht="14.4" customHeight="1" x14ac:dyDescent="0.3">
      <c r="A102" s="695" t="s">
        <v>4250</v>
      </c>
      <c r="B102" s="696" t="s">
        <v>4082</v>
      </c>
      <c r="C102" s="696" t="s">
        <v>4114</v>
      </c>
      <c r="D102" s="696" t="s">
        <v>4255</v>
      </c>
      <c r="E102" s="696" t="s">
        <v>4181</v>
      </c>
      <c r="F102" s="711">
        <v>62</v>
      </c>
      <c r="G102" s="711">
        <v>43462</v>
      </c>
      <c r="H102" s="711">
        <v>1</v>
      </c>
      <c r="I102" s="711">
        <v>701</v>
      </c>
      <c r="J102" s="711">
        <v>84</v>
      </c>
      <c r="K102" s="711">
        <v>59220</v>
      </c>
      <c r="L102" s="711">
        <v>1.3625696010307855</v>
      </c>
      <c r="M102" s="711">
        <v>705</v>
      </c>
      <c r="N102" s="711">
        <v>101</v>
      </c>
      <c r="O102" s="711">
        <v>71541</v>
      </c>
      <c r="P102" s="701">
        <v>1.6460586259260963</v>
      </c>
      <c r="Q102" s="712">
        <v>708.32673267326732</v>
      </c>
    </row>
    <row r="103" spans="1:17" ht="14.4" customHeight="1" x14ac:dyDescent="0.3">
      <c r="A103" s="695" t="s">
        <v>4250</v>
      </c>
      <c r="B103" s="696" t="s">
        <v>4082</v>
      </c>
      <c r="C103" s="696" t="s">
        <v>4114</v>
      </c>
      <c r="D103" s="696" t="s">
        <v>4256</v>
      </c>
      <c r="E103" s="696" t="s">
        <v>4138</v>
      </c>
      <c r="F103" s="711">
        <v>49</v>
      </c>
      <c r="G103" s="711">
        <v>39935</v>
      </c>
      <c r="H103" s="711">
        <v>1</v>
      </c>
      <c r="I103" s="711">
        <v>815</v>
      </c>
      <c r="J103" s="711">
        <v>60</v>
      </c>
      <c r="K103" s="711">
        <v>49080</v>
      </c>
      <c r="L103" s="711">
        <v>1.2289971203205208</v>
      </c>
      <c r="M103" s="711">
        <v>818</v>
      </c>
      <c r="N103" s="711">
        <v>86</v>
      </c>
      <c r="O103" s="711">
        <v>70504</v>
      </c>
      <c r="P103" s="701">
        <v>1.7654688869412796</v>
      </c>
      <c r="Q103" s="712">
        <v>819.81395348837214</v>
      </c>
    </row>
    <row r="104" spans="1:17" ht="14.4" customHeight="1" x14ac:dyDescent="0.3">
      <c r="A104" s="695" t="s">
        <v>4250</v>
      </c>
      <c r="B104" s="696" t="s">
        <v>4082</v>
      </c>
      <c r="C104" s="696" t="s">
        <v>4114</v>
      </c>
      <c r="D104" s="696" t="s">
        <v>4145</v>
      </c>
      <c r="E104" s="696" t="s">
        <v>4146</v>
      </c>
      <c r="F104" s="711">
        <v>682</v>
      </c>
      <c r="G104" s="711">
        <v>140492</v>
      </c>
      <c r="H104" s="711">
        <v>1</v>
      </c>
      <c r="I104" s="711">
        <v>206</v>
      </c>
      <c r="J104" s="711">
        <v>822</v>
      </c>
      <c r="K104" s="711">
        <v>170154</v>
      </c>
      <c r="L104" s="711">
        <v>1.211129459328645</v>
      </c>
      <c r="M104" s="711">
        <v>207</v>
      </c>
      <c r="N104" s="711">
        <v>929</v>
      </c>
      <c r="O104" s="711">
        <v>193057</v>
      </c>
      <c r="P104" s="701">
        <v>1.3741494177604419</v>
      </c>
      <c r="Q104" s="712">
        <v>207.81162540365986</v>
      </c>
    </row>
    <row r="105" spans="1:17" ht="14.4" customHeight="1" x14ac:dyDescent="0.3">
      <c r="A105" s="695" t="s">
        <v>4250</v>
      </c>
      <c r="B105" s="696" t="s">
        <v>4082</v>
      </c>
      <c r="C105" s="696" t="s">
        <v>4114</v>
      </c>
      <c r="D105" s="696" t="s">
        <v>4147</v>
      </c>
      <c r="E105" s="696" t="s">
        <v>4148</v>
      </c>
      <c r="F105" s="711">
        <v>3</v>
      </c>
      <c r="G105" s="711">
        <v>1926</v>
      </c>
      <c r="H105" s="711">
        <v>1</v>
      </c>
      <c r="I105" s="711">
        <v>642</v>
      </c>
      <c r="J105" s="711"/>
      <c r="K105" s="711"/>
      <c r="L105" s="711"/>
      <c r="M105" s="711"/>
      <c r="N105" s="711"/>
      <c r="O105" s="711"/>
      <c r="P105" s="701"/>
      <c r="Q105" s="712"/>
    </row>
    <row r="106" spans="1:17" ht="14.4" customHeight="1" x14ac:dyDescent="0.3">
      <c r="A106" s="695" t="s">
        <v>4250</v>
      </c>
      <c r="B106" s="696" t="s">
        <v>4082</v>
      </c>
      <c r="C106" s="696" t="s">
        <v>4114</v>
      </c>
      <c r="D106" s="696" t="s">
        <v>4149</v>
      </c>
      <c r="E106" s="696" t="s">
        <v>4150</v>
      </c>
      <c r="F106" s="711">
        <v>13</v>
      </c>
      <c r="G106" s="711">
        <v>4238</v>
      </c>
      <c r="H106" s="711">
        <v>1</v>
      </c>
      <c r="I106" s="711">
        <v>326</v>
      </c>
      <c r="J106" s="711">
        <v>20</v>
      </c>
      <c r="K106" s="711">
        <v>6540</v>
      </c>
      <c r="L106" s="711">
        <v>1.5431807456347333</v>
      </c>
      <c r="M106" s="711">
        <v>327</v>
      </c>
      <c r="N106" s="711">
        <v>11</v>
      </c>
      <c r="O106" s="711">
        <v>3615</v>
      </c>
      <c r="P106" s="701">
        <v>0.85299669655497878</v>
      </c>
      <c r="Q106" s="712">
        <v>328.63636363636363</v>
      </c>
    </row>
    <row r="107" spans="1:17" ht="14.4" customHeight="1" x14ac:dyDescent="0.3">
      <c r="A107" s="695" t="s">
        <v>4250</v>
      </c>
      <c r="B107" s="696" t="s">
        <v>4082</v>
      </c>
      <c r="C107" s="696" t="s">
        <v>4114</v>
      </c>
      <c r="D107" s="696" t="s">
        <v>4151</v>
      </c>
      <c r="E107" s="696" t="s">
        <v>4152</v>
      </c>
      <c r="F107" s="711"/>
      <c r="G107" s="711"/>
      <c r="H107" s="711"/>
      <c r="I107" s="711"/>
      <c r="J107" s="711"/>
      <c r="K107" s="711"/>
      <c r="L107" s="711"/>
      <c r="M107" s="711"/>
      <c r="N107" s="711">
        <v>1</v>
      </c>
      <c r="O107" s="711">
        <v>0</v>
      </c>
      <c r="P107" s="701"/>
      <c r="Q107" s="712">
        <v>0</v>
      </c>
    </row>
    <row r="108" spans="1:17" ht="14.4" customHeight="1" x14ac:dyDescent="0.3">
      <c r="A108" s="695" t="s">
        <v>4250</v>
      </c>
      <c r="B108" s="696" t="s">
        <v>4082</v>
      </c>
      <c r="C108" s="696" t="s">
        <v>4114</v>
      </c>
      <c r="D108" s="696" t="s">
        <v>4153</v>
      </c>
      <c r="E108" s="696" t="s">
        <v>4154</v>
      </c>
      <c r="F108" s="711">
        <v>4426</v>
      </c>
      <c r="G108" s="711">
        <v>358506</v>
      </c>
      <c r="H108" s="711">
        <v>1</v>
      </c>
      <c r="I108" s="711">
        <v>81</v>
      </c>
      <c r="J108" s="711">
        <v>4901</v>
      </c>
      <c r="K108" s="711">
        <v>401882</v>
      </c>
      <c r="L108" s="711">
        <v>1.120991001545302</v>
      </c>
      <c r="M108" s="711">
        <v>82</v>
      </c>
      <c r="N108" s="711">
        <v>5222</v>
      </c>
      <c r="O108" s="711">
        <v>432378</v>
      </c>
      <c r="P108" s="701">
        <v>1.2060551287844554</v>
      </c>
      <c r="Q108" s="712">
        <v>82.799310608962088</v>
      </c>
    </row>
    <row r="109" spans="1:17" ht="14.4" customHeight="1" x14ac:dyDescent="0.3">
      <c r="A109" s="695" t="s">
        <v>4250</v>
      </c>
      <c r="B109" s="696" t="s">
        <v>4082</v>
      </c>
      <c r="C109" s="696" t="s">
        <v>4114</v>
      </c>
      <c r="D109" s="696" t="s">
        <v>4157</v>
      </c>
      <c r="E109" s="696" t="s">
        <v>4158</v>
      </c>
      <c r="F109" s="711">
        <v>11</v>
      </c>
      <c r="G109" s="711">
        <v>9372</v>
      </c>
      <c r="H109" s="711">
        <v>1</v>
      </c>
      <c r="I109" s="711">
        <v>852</v>
      </c>
      <c r="J109" s="711">
        <v>28</v>
      </c>
      <c r="K109" s="711">
        <v>19684</v>
      </c>
      <c r="L109" s="711">
        <v>2.1002987622705933</v>
      </c>
      <c r="M109" s="711">
        <v>703</v>
      </c>
      <c r="N109" s="711">
        <v>29</v>
      </c>
      <c r="O109" s="711">
        <v>20423</v>
      </c>
      <c r="P109" s="701">
        <v>2.1791506615450276</v>
      </c>
      <c r="Q109" s="712">
        <v>704.24137931034488</v>
      </c>
    </row>
    <row r="110" spans="1:17" ht="14.4" customHeight="1" x14ac:dyDescent="0.3">
      <c r="A110" s="695" t="s">
        <v>4250</v>
      </c>
      <c r="B110" s="696" t="s">
        <v>4082</v>
      </c>
      <c r="C110" s="696" t="s">
        <v>4114</v>
      </c>
      <c r="D110" s="696" t="s">
        <v>4159</v>
      </c>
      <c r="E110" s="696" t="s">
        <v>4160</v>
      </c>
      <c r="F110" s="711">
        <v>9</v>
      </c>
      <c r="G110" s="711">
        <v>0</v>
      </c>
      <c r="H110" s="711"/>
      <c r="I110" s="711">
        <v>0</v>
      </c>
      <c r="J110" s="711">
        <v>7</v>
      </c>
      <c r="K110" s="711">
        <v>0</v>
      </c>
      <c r="L110" s="711"/>
      <c r="M110" s="711">
        <v>0</v>
      </c>
      <c r="N110" s="711">
        <v>7</v>
      </c>
      <c r="O110" s="711">
        <v>0</v>
      </c>
      <c r="P110" s="701"/>
      <c r="Q110" s="712">
        <v>0</v>
      </c>
    </row>
    <row r="111" spans="1:17" ht="14.4" customHeight="1" x14ac:dyDescent="0.3">
      <c r="A111" s="695" t="s">
        <v>4250</v>
      </c>
      <c r="B111" s="696" t="s">
        <v>4082</v>
      </c>
      <c r="C111" s="696" t="s">
        <v>4114</v>
      </c>
      <c r="D111" s="696" t="s">
        <v>4234</v>
      </c>
      <c r="E111" s="696" t="s">
        <v>4233</v>
      </c>
      <c r="F111" s="711">
        <v>1969</v>
      </c>
      <c r="G111" s="711">
        <v>1823294</v>
      </c>
      <c r="H111" s="711">
        <v>1</v>
      </c>
      <c r="I111" s="711">
        <v>926</v>
      </c>
      <c r="J111" s="711">
        <v>1730</v>
      </c>
      <c r="K111" s="711">
        <v>1607170</v>
      </c>
      <c r="L111" s="711">
        <v>0.88146508462156958</v>
      </c>
      <c r="M111" s="711">
        <v>929</v>
      </c>
      <c r="N111" s="711">
        <v>1865</v>
      </c>
      <c r="O111" s="711">
        <v>1735689</v>
      </c>
      <c r="P111" s="701">
        <v>0.95195234558990482</v>
      </c>
      <c r="Q111" s="712">
        <v>930.66434316353889</v>
      </c>
    </row>
    <row r="112" spans="1:17" ht="14.4" customHeight="1" x14ac:dyDescent="0.3">
      <c r="A112" s="695" t="s">
        <v>4250</v>
      </c>
      <c r="B112" s="696" t="s">
        <v>4082</v>
      </c>
      <c r="C112" s="696" t="s">
        <v>4114</v>
      </c>
      <c r="D112" s="696" t="s">
        <v>4163</v>
      </c>
      <c r="E112" s="696" t="s">
        <v>4164</v>
      </c>
      <c r="F112" s="711"/>
      <c r="G112" s="711"/>
      <c r="H112" s="711"/>
      <c r="I112" s="711"/>
      <c r="J112" s="711">
        <v>12</v>
      </c>
      <c r="K112" s="711">
        <v>1344</v>
      </c>
      <c r="L112" s="711"/>
      <c r="M112" s="711">
        <v>112</v>
      </c>
      <c r="N112" s="711">
        <v>7</v>
      </c>
      <c r="O112" s="711">
        <v>789</v>
      </c>
      <c r="P112" s="701"/>
      <c r="Q112" s="712">
        <v>112.71428571428571</v>
      </c>
    </row>
    <row r="113" spans="1:17" ht="14.4" customHeight="1" x14ac:dyDescent="0.3">
      <c r="A113" s="695" t="s">
        <v>4250</v>
      </c>
      <c r="B113" s="696" t="s">
        <v>4082</v>
      </c>
      <c r="C113" s="696" t="s">
        <v>4114</v>
      </c>
      <c r="D113" s="696" t="s">
        <v>4235</v>
      </c>
      <c r="E113" s="696" t="s">
        <v>4233</v>
      </c>
      <c r="F113" s="711">
        <v>324</v>
      </c>
      <c r="G113" s="711">
        <v>237492</v>
      </c>
      <c r="H113" s="711">
        <v>1</v>
      </c>
      <c r="I113" s="711">
        <v>733</v>
      </c>
      <c r="J113" s="711">
        <v>309</v>
      </c>
      <c r="K113" s="711">
        <v>226806</v>
      </c>
      <c r="L113" s="711">
        <v>0.95500480016168965</v>
      </c>
      <c r="M113" s="711">
        <v>734</v>
      </c>
      <c r="N113" s="711">
        <v>179</v>
      </c>
      <c r="O113" s="711">
        <v>131502</v>
      </c>
      <c r="P113" s="701">
        <v>0.55371128290637162</v>
      </c>
      <c r="Q113" s="712">
        <v>734.64804469273747</v>
      </c>
    </row>
    <row r="114" spans="1:17" ht="14.4" customHeight="1" x14ac:dyDescent="0.3">
      <c r="A114" s="695" t="s">
        <v>4250</v>
      </c>
      <c r="B114" s="696" t="s">
        <v>4082</v>
      </c>
      <c r="C114" s="696" t="s">
        <v>4114</v>
      </c>
      <c r="D114" s="696" t="s">
        <v>4243</v>
      </c>
      <c r="E114" s="696" t="s">
        <v>4244</v>
      </c>
      <c r="F114" s="711">
        <v>10</v>
      </c>
      <c r="G114" s="711">
        <v>580</v>
      </c>
      <c r="H114" s="711">
        <v>1</v>
      </c>
      <c r="I114" s="711">
        <v>58</v>
      </c>
      <c r="J114" s="711">
        <v>10</v>
      </c>
      <c r="K114" s="711">
        <v>560</v>
      </c>
      <c r="L114" s="711">
        <v>0.96551724137931039</v>
      </c>
      <c r="M114" s="711">
        <v>56</v>
      </c>
      <c r="N114" s="711">
        <v>3</v>
      </c>
      <c r="O114" s="711">
        <v>169</v>
      </c>
      <c r="P114" s="701">
        <v>0.29137931034482761</v>
      </c>
      <c r="Q114" s="712">
        <v>56.333333333333336</v>
      </c>
    </row>
    <row r="115" spans="1:17" ht="14.4" customHeight="1" x14ac:dyDescent="0.3">
      <c r="A115" s="695" t="s">
        <v>4250</v>
      </c>
      <c r="B115" s="696" t="s">
        <v>4082</v>
      </c>
      <c r="C115" s="696" t="s">
        <v>4114</v>
      </c>
      <c r="D115" s="696" t="s">
        <v>4236</v>
      </c>
      <c r="E115" s="696" t="s">
        <v>4237</v>
      </c>
      <c r="F115" s="711">
        <v>98</v>
      </c>
      <c r="G115" s="711">
        <v>51254</v>
      </c>
      <c r="H115" s="711">
        <v>1</v>
      </c>
      <c r="I115" s="711">
        <v>523</v>
      </c>
      <c r="J115" s="711">
        <v>79</v>
      </c>
      <c r="K115" s="711">
        <v>41396</v>
      </c>
      <c r="L115" s="711">
        <v>0.80766379209427552</v>
      </c>
      <c r="M115" s="711">
        <v>524</v>
      </c>
      <c r="N115" s="711">
        <v>64</v>
      </c>
      <c r="O115" s="711">
        <v>33558</v>
      </c>
      <c r="P115" s="701">
        <v>0.65473914231084407</v>
      </c>
      <c r="Q115" s="712">
        <v>524.34375</v>
      </c>
    </row>
    <row r="116" spans="1:17" ht="14.4" customHeight="1" x14ac:dyDescent="0.3">
      <c r="A116" s="695" t="s">
        <v>4250</v>
      </c>
      <c r="B116" s="696" t="s">
        <v>4082</v>
      </c>
      <c r="C116" s="696" t="s">
        <v>4114</v>
      </c>
      <c r="D116" s="696" t="s">
        <v>4171</v>
      </c>
      <c r="E116" s="696" t="s">
        <v>4172</v>
      </c>
      <c r="F116" s="711">
        <v>75</v>
      </c>
      <c r="G116" s="711">
        <v>22125</v>
      </c>
      <c r="H116" s="711">
        <v>1</v>
      </c>
      <c r="I116" s="711">
        <v>295</v>
      </c>
      <c r="J116" s="711">
        <v>28</v>
      </c>
      <c r="K116" s="711">
        <v>8288</v>
      </c>
      <c r="L116" s="711">
        <v>0.37459887005649717</v>
      </c>
      <c r="M116" s="711">
        <v>296</v>
      </c>
      <c r="N116" s="711">
        <v>43</v>
      </c>
      <c r="O116" s="711">
        <v>12774</v>
      </c>
      <c r="P116" s="701">
        <v>0.57735593220338988</v>
      </c>
      <c r="Q116" s="712">
        <v>297.06976744186045</v>
      </c>
    </row>
    <row r="117" spans="1:17" ht="14.4" customHeight="1" x14ac:dyDescent="0.3">
      <c r="A117" s="695" t="s">
        <v>4250</v>
      </c>
      <c r="B117" s="696" t="s">
        <v>4082</v>
      </c>
      <c r="C117" s="696" t="s">
        <v>4114</v>
      </c>
      <c r="D117" s="696" t="s">
        <v>4238</v>
      </c>
      <c r="E117" s="696" t="s">
        <v>4146</v>
      </c>
      <c r="F117" s="711">
        <v>109</v>
      </c>
      <c r="G117" s="711">
        <v>18748</v>
      </c>
      <c r="H117" s="711">
        <v>1</v>
      </c>
      <c r="I117" s="711">
        <v>172</v>
      </c>
      <c r="J117" s="711">
        <v>89</v>
      </c>
      <c r="K117" s="711">
        <v>15308</v>
      </c>
      <c r="L117" s="711">
        <v>0.8165137614678899</v>
      </c>
      <c r="M117" s="711">
        <v>172</v>
      </c>
      <c r="N117" s="711">
        <v>55</v>
      </c>
      <c r="O117" s="711">
        <v>9492</v>
      </c>
      <c r="P117" s="701">
        <v>0.50629400469383401</v>
      </c>
      <c r="Q117" s="712">
        <v>172.58181818181819</v>
      </c>
    </row>
    <row r="118" spans="1:17" ht="14.4" customHeight="1" x14ac:dyDescent="0.3">
      <c r="A118" s="695" t="s">
        <v>4250</v>
      </c>
      <c r="B118" s="696" t="s">
        <v>4082</v>
      </c>
      <c r="C118" s="696" t="s">
        <v>4114</v>
      </c>
      <c r="D118" s="696" t="s">
        <v>4175</v>
      </c>
      <c r="E118" s="696" t="s">
        <v>4172</v>
      </c>
      <c r="F118" s="711">
        <v>29</v>
      </c>
      <c r="G118" s="711">
        <v>10498</v>
      </c>
      <c r="H118" s="711">
        <v>1</v>
      </c>
      <c r="I118" s="711">
        <v>362</v>
      </c>
      <c r="J118" s="711">
        <v>22</v>
      </c>
      <c r="K118" s="711">
        <v>8030</v>
      </c>
      <c r="L118" s="711">
        <v>0.76490760144789482</v>
      </c>
      <c r="M118" s="711">
        <v>365</v>
      </c>
      <c r="N118" s="711">
        <v>31</v>
      </c>
      <c r="O118" s="711">
        <v>11407</v>
      </c>
      <c r="P118" s="701">
        <v>1.0865879215088587</v>
      </c>
      <c r="Q118" s="712">
        <v>367.96774193548384</v>
      </c>
    </row>
    <row r="119" spans="1:17" ht="14.4" customHeight="1" x14ac:dyDescent="0.3">
      <c r="A119" s="695" t="s">
        <v>4250</v>
      </c>
      <c r="B119" s="696" t="s">
        <v>4082</v>
      </c>
      <c r="C119" s="696" t="s">
        <v>4114</v>
      </c>
      <c r="D119" s="696" t="s">
        <v>4178</v>
      </c>
      <c r="E119" s="696" t="s">
        <v>4179</v>
      </c>
      <c r="F119" s="711">
        <v>52</v>
      </c>
      <c r="G119" s="711">
        <v>32864</v>
      </c>
      <c r="H119" s="711">
        <v>1</v>
      </c>
      <c r="I119" s="711">
        <v>632</v>
      </c>
      <c r="J119" s="711">
        <v>33</v>
      </c>
      <c r="K119" s="711">
        <v>20955</v>
      </c>
      <c r="L119" s="711">
        <v>0.63762779941577408</v>
      </c>
      <c r="M119" s="711">
        <v>635</v>
      </c>
      <c r="N119" s="711">
        <v>4</v>
      </c>
      <c r="O119" s="711">
        <v>2540</v>
      </c>
      <c r="P119" s="701">
        <v>7.7288218111002921E-2</v>
      </c>
      <c r="Q119" s="712">
        <v>635</v>
      </c>
    </row>
    <row r="120" spans="1:17" ht="14.4" customHeight="1" x14ac:dyDescent="0.3">
      <c r="A120" s="695" t="s">
        <v>4250</v>
      </c>
      <c r="B120" s="696" t="s">
        <v>4082</v>
      </c>
      <c r="C120" s="696" t="s">
        <v>4114</v>
      </c>
      <c r="D120" s="696" t="s">
        <v>4180</v>
      </c>
      <c r="E120" s="696" t="s">
        <v>4181</v>
      </c>
      <c r="F120" s="711">
        <v>4</v>
      </c>
      <c r="G120" s="711">
        <v>2396</v>
      </c>
      <c r="H120" s="711">
        <v>1</v>
      </c>
      <c r="I120" s="711">
        <v>599</v>
      </c>
      <c r="J120" s="711"/>
      <c r="K120" s="711"/>
      <c r="L120" s="711"/>
      <c r="M120" s="711"/>
      <c r="N120" s="711"/>
      <c r="O120" s="711"/>
      <c r="P120" s="701"/>
      <c r="Q120" s="712"/>
    </row>
    <row r="121" spans="1:17" ht="14.4" customHeight="1" x14ac:dyDescent="0.3">
      <c r="A121" s="695" t="s">
        <v>4250</v>
      </c>
      <c r="B121" s="696" t="s">
        <v>4082</v>
      </c>
      <c r="C121" s="696" t="s">
        <v>4114</v>
      </c>
      <c r="D121" s="696" t="s">
        <v>4257</v>
      </c>
      <c r="E121" s="696" t="s">
        <v>4258</v>
      </c>
      <c r="F121" s="711">
        <v>28</v>
      </c>
      <c r="G121" s="711">
        <v>2800</v>
      </c>
      <c r="H121" s="711">
        <v>1</v>
      </c>
      <c r="I121" s="711">
        <v>100</v>
      </c>
      <c r="J121" s="711">
        <v>22</v>
      </c>
      <c r="K121" s="711">
        <v>2200</v>
      </c>
      <c r="L121" s="711">
        <v>0.7857142857142857</v>
      </c>
      <c r="M121" s="711">
        <v>100</v>
      </c>
      <c r="N121" s="711">
        <v>13</v>
      </c>
      <c r="O121" s="711">
        <v>1300</v>
      </c>
      <c r="P121" s="701">
        <v>0.4642857142857143</v>
      </c>
      <c r="Q121" s="712">
        <v>100</v>
      </c>
    </row>
    <row r="122" spans="1:17" ht="14.4" customHeight="1" x14ac:dyDescent="0.3">
      <c r="A122" s="695" t="s">
        <v>4250</v>
      </c>
      <c r="B122" s="696" t="s">
        <v>4082</v>
      </c>
      <c r="C122" s="696" t="s">
        <v>4114</v>
      </c>
      <c r="D122" s="696" t="s">
        <v>4239</v>
      </c>
      <c r="E122" s="696" t="s">
        <v>4233</v>
      </c>
      <c r="F122" s="711">
        <v>101</v>
      </c>
      <c r="G122" s="711">
        <v>101909</v>
      </c>
      <c r="H122" s="711">
        <v>1</v>
      </c>
      <c r="I122" s="711">
        <v>1009</v>
      </c>
      <c r="J122" s="711">
        <v>132</v>
      </c>
      <c r="K122" s="711">
        <v>133584</v>
      </c>
      <c r="L122" s="711">
        <v>1.3108165127711979</v>
      </c>
      <c r="M122" s="711">
        <v>1012</v>
      </c>
      <c r="N122" s="711">
        <v>30</v>
      </c>
      <c r="O122" s="711">
        <v>30408</v>
      </c>
      <c r="P122" s="701">
        <v>0.29838385226034991</v>
      </c>
      <c r="Q122" s="712">
        <v>1013.6</v>
      </c>
    </row>
    <row r="123" spans="1:17" ht="14.4" customHeight="1" x14ac:dyDescent="0.3">
      <c r="A123" s="695" t="s">
        <v>4250</v>
      </c>
      <c r="B123" s="696" t="s">
        <v>4082</v>
      </c>
      <c r="C123" s="696" t="s">
        <v>4114</v>
      </c>
      <c r="D123" s="696" t="s">
        <v>4186</v>
      </c>
      <c r="E123" s="696" t="s">
        <v>4142</v>
      </c>
      <c r="F123" s="711">
        <v>3</v>
      </c>
      <c r="G123" s="711">
        <v>999</v>
      </c>
      <c r="H123" s="711">
        <v>1</v>
      </c>
      <c r="I123" s="711">
        <v>333</v>
      </c>
      <c r="J123" s="711">
        <v>6</v>
      </c>
      <c r="K123" s="711">
        <v>2010</v>
      </c>
      <c r="L123" s="711">
        <v>2.0120120120120122</v>
      </c>
      <c r="M123" s="711">
        <v>335</v>
      </c>
      <c r="N123" s="711"/>
      <c r="O123" s="711"/>
      <c r="P123" s="701"/>
      <c r="Q123" s="712"/>
    </row>
    <row r="124" spans="1:17" ht="14.4" customHeight="1" x14ac:dyDescent="0.3">
      <c r="A124" s="695" t="s">
        <v>4250</v>
      </c>
      <c r="B124" s="696" t="s">
        <v>4082</v>
      </c>
      <c r="C124" s="696" t="s">
        <v>4114</v>
      </c>
      <c r="D124" s="696" t="s">
        <v>4187</v>
      </c>
      <c r="E124" s="696" t="s">
        <v>4144</v>
      </c>
      <c r="F124" s="711">
        <v>2</v>
      </c>
      <c r="G124" s="711">
        <v>722</v>
      </c>
      <c r="H124" s="711">
        <v>1</v>
      </c>
      <c r="I124" s="711">
        <v>361</v>
      </c>
      <c r="J124" s="711"/>
      <c r="K124" s="711"/>
      <c r="L124" s="711"/>
      <c r="M124" s="711"/>
      <c r="N124" s="711"/>
      <c r="O124" s="711"/>
      <c r="P124" s="701"/>
      <c r="Q124" s="712"/>
    </row>
    <row r="125" spans="1:17" ht="14.4" customHeight="1" x14ac:dyDescent="0.3">
      <c r="A125" s="695" t="s">
        <v>4250</v>
      </c>
      <c r="B125" s="696" t="s">
        <v>4082</v>
      </c>
      <c r="C125" s="696" t="s">
        <v>4114</v>
      </c>
      <c r="D125" s="696" t="s">
        <v>4249</v>
      </c>
      <c r="E125" s="696" t="s">
        <v>4233</v>
      </c>
      <c r="F125" s="711">
        <v>58</v>
      </c>
      <c r="G125" s="711">
        <v>49822</v>
      </c>
      <c r="H125" s="711">
        <v>1</v>
      </c>
      <c r="I125" s="711">
        <v>859</v>
      </c>
      <c r="J125" s="711">
        <v>7</v>
      </c>
      <c r="K125" s="711">
        <v>6020</v>
      </c>
      <c r="L125" s="711">
        <v>0.12083015535305688</v>
      </c>
      <c r="M125" s="711">
        <v>860</v>
      </c>
      <c r="N125" s="711">
        <v>14</v>
      </c>
      <c r="O125" s="711">
        <v>12040</v>
      </c>
      <c r="P125" s="701">
        <v>0.24166031070611377</v>
      </c>
      <c r="Q125" s="712">
        <v>860</v>
      </c>
    </row>
    <row r="126" spans="1:17" ht="14.4" customHeight="1" x14ac:dyDescent="0.3">
      <c r="A126" s="695" t="s">
        <v>4250</v>
      </c>
      <c r="B126" s="696" t="s">
        <v>4082</v>
      </c>
      <c r="C126" s="696" t="s">
        <v>4114</v>
      </c>
      <c r="D126" s="696" t="s">
        <v>4188</v>
      </c>
      <c r="E126" s="696" t="s">
        <v>4189</v>
      </c>
      <c r="F126" s="711"/>
      <c r="G126" s="711"/>
      <c r="H126" s="711"/>
      <c r="I126" s="711"/>
      <c r="J126" s="711">
        <v>4</v>
      </c>
      <c r="K126" s="711">
        <v>2080</v>
      </c>
      <c r="L126" s="711"/>
      <c r="M126" s="711">
        <v>520</v>
      </c>
      <c r="N126" s="711"/>
      <c r="O126" s="711"/>
      <c r="P126" s="701"/>
      <c r="Q126" s="712"/>
    </row>
    <row r="127" spans="1:17" ht="14.4" customHeight="1" x14ac:dyDescent="0.3">
      <c r="A127" s="695" t="s">
        <v>4250</v>
      </c>
      <c r="B127" s="696" t="s">
        <v>4082</v>
      </c>
      <c r="C127" s="696" t="s">
        <v>4114</v>
      </c>
      <c r="D127" s="696" t="s">
        <v>4259</v>
      </c>
      <c r="E127" s="696" t="s">
        <v>4189</v>
      </c>
      <c r="F127" s="711">
        <v>23</v>
      </c>
      <c r="G127" s="711">
        <v>18354</v>
      </c>
      <c r="H127" s="711">
        <v>1</v>
      </c>
      <c r="I127" s="711">
        <v>798</v>
      </c>
      <c r="J127" s="711">
        <v>131</v>
      </c>
      <c r="K127" s="711">
        <v>104931</v>
      </c>
      <c r="L127" s="711">
        <v>5.717064400130762</v>
      </c>
      <c r="M127" s="711">
        <v>801</v>
      </c>
      <c r="N127" s="711">
        <v>36</v>
      </c>
      <c r="O127" s="711">
        <v>28864</v>
      </c>
      <c r="P127" s="701">
        <v>1.5726272202244742</v>
      </c>
      <c r="Q127" s="712">
        <v>801.77777777777783</v>
      </c>
    </row>
    <row r="128" spans="1:17" ht="14.4" customHeight="1" x14ac:dyDescent="0.3">
      <c r="A128" s="695" t="s">
        <v>4250</v>
      </c>
      <c r="B128" s="696" t="s">
        <v>4082</v>
      </c>
      <c r="C128" s="696" t="s">
        <v>4114</v>
      </c>
      <c r="D128" s="696" t="s">
        <v>4260</v>
      </c>
      <c r="E128" s="696" t="s">
        <v>4189</v>
      </c>
      <c r="F128" s="711">
        <v>19</v>
      </c>
      <c r="G128" s="711">
        <v>11134</v>
      </c>
      <c r="H128" s="711">
        <v>1</v>
      </c>
      <c r="I128" s="711">
        <v>586</v>
      </c>
      <c r="J128" s="711">
        <v>32</v>
      </c>
      <c r="K128" s="711">
        <v>18848</v>
      </c>
      <c r="L128" s="711">
        <v>1.6928327645051195</v>
      </c>
      <c r="M128" s="711">
        <v>589</v>
      </c>
      <c r="N128" s="711">
        <v>38</v>
      </c>
      <c r="O128" s="711">
        <v>22438</v>
      </c>
      <c r="P128" s="701">
        <v>2.0152685467936053</v>
      </c>
      <c r="Q128" s="712">
        <v>590.47368421052636</v>
      </c>
    </row>
    <row r="129" spans="1:17" ht="14.4" customHeight="1" x14ac:dyDescent="0.3">
      <c r="A129" s="695" t="s">
        <v>4250</v>
      </c>
      <c r="B129" s="696" t="s">
        <v>4082</v>
      </c>
      <c r="C129" s="696" t="s">
        <v>4114</v>
      </c>
      <c r="D129" s="696" t="s">
        <v>4261</v>
      </c>
      <c r="E129" s="696" t="s">
        <v>4233</v>
      </c>
      <c r="F129" s="711"/>
      <c r="G129" s="711"/>
      <c r="H129" s="711"/>
      <c r="I129" s="711"/>
      <c r="J129" s="711">
        <v>3</v>
      </c>
      <c r="K129" s="711">
        <v>2829</v>
      </c>
      <c r="L129" s="711"/>
      <c r="M129" s="711">
        <v>943</v>
      </c>
      <c r="N129" s="711"/>
      <c r="O129" s="711"/>
      <c r="P129" s="701"/>
      <c r="Q129" s="712"/>
    </row>
    <row r="130" spans="1:17" ht="14.4" customHeight="1" x14ac:dyDescent="0.3">
      <c r="A130" s="695" t="s">
        <v>4250</v>
      </c>
      <c r="B130" s="696" t="s">
        <v>4082</v>
      </c>
      <c r="C130" s="696" t="s">
        <v>4114</v>
      </c>
      <c r="D130" s="696" t="s">
        <v>4190</v>
      </c>
      <c r="E130" s="696" t="s">
        <v>4191</v>
      </c>
      <c r="F130" s="711"/>
      <c r="G130" s="711"/>
      <c r="H130" s="711"/>
      <c r="I130" s="711"/>
      <c r="J130" s="711"/>
      <c r="K130" s="711"/>
      <c r="L130" s="711"/>
      <c r="M130" s="711"/>
      <c r="N130" s="711">
        <v>1</v>
      </c>
      <c r="O130" s="711">
        <v>163</v>
      </c>
      <c r="P130" s="701"/>
      <c r="Q130" s="712">
        <v>163</v>
      </c>
    </row>
    <row r="131" spans="1:17" ht="14.4" customHeight="1" x14ac:dyDescent="0.3">
      <c r="A131" s="695" t="s">
        <v>4250</v>
      </c>
      <c r="B131" s="696" t="s">
        <v>4082</v>
      </c>
      <c r="C131" s="696" t="s">
        <v>4114</v>
      </c>
      <c r="D131" s="696" t="s">
        <v>4192</v>
      </c>
      <c r="E131" s="696" t="s">
        <v>4132</v>
      </c>
      <c r="F131" s="711"/>
      <c r="G131" s="711"/>
      <c r="H131" s="711"/>
      <c r="I131" s="711"/>
      <c r="J131" s="711">
        <v>2</v>
      </c>
      <c r="K131" s="711">
        <v>778</v>
      </c>
      <c r="L131" s="711"/>
      <c r="M131" s="711">
        <v>389</v>
      </c>
      <c r="N131" s="711"/>
      <c r="O131" s="711"/>
      <c r="P131" s="701"/>
      <c r="Q131" s="712"/>
    </row>
    <row r="132" spans="1:17" ht="14.4" customHeight="1" x14ac:dyDescent="0.3">
      <c r="A132" s="695" t="s">
        <v>4250</v>
      </c>
      <c r="B132" s="696" t="s">
        <v>4082</v>
      </c>
      <c r="C132" s="696" t="s">
        <v>4114</v>
      </c>
      <c r="D132" s="696" t="s">
        <v>4245</v>
      </c>
      <c r="E132" s="696" t="s">
        <v>4241</v>
      </c>
      <c r="F132" s="711">
        <v>1</v>
      </c>
      <c r="G132" s="711">
        <v>604</v>
      </c>
      <c r="H132" s="711">
        <v>1</v>
      </c>
      <c r="I132" s="711">
        <v>604</v>
      </c>
      <c r="J132" s="711"/>
      <c r="K132" s="711"/>
      <c r="L132" s="711"/>
      <c r="M132" s="711"/>
      <c r="N132" s="711">
        <v>1</v>
      </c>
      <c r="O132" s="711">
        <v>606</v>
      </c>
      <c r="P132" s="701">
        <v>1.0033112582781456</v>
      </c>
      <c r="Q132" s="712">
        <v>606</v>
      </c>
    </row>
    <row r="133" spans="1:17" ht="14.4" customHeight="1" x14ac:dyDescent="0.3">
      <c r="A133" s="695" t="s">
        <v>4250</v>
      </c>
      <c r="B133" s="696" t="s">
        <v>4082</v>
      </c>
      <c r="C133" s="696" t="s">
        <v>4114</v>
      </c>
      <c r="D133" s="696" t="s">
        <v>4240</v>
      </c>
      <c r="E133" s="696" t="s">
        <v>4241</v>
      </c>
      <c r="F133" s="711"/>
      <c r="G133" s="711"/>
      <c r="H133" s="711"/>
      <c r="I133" s="711"/>
      <c r="J133" s="711"/>
      <c r="K133" s="711"/>
      <c r="L133" s="711"/>
      <c r="M133" s="711"/>
      <c r="N133" s="711">
        <v>1</v>
      </c>
      <c r="O133" s="711">
        <v>520</v>
      </c>
      <c r="P133" s="701"/>
      <c r="Q133" s="712">
        <v>520</v>
      </c>
    </row>
    <row r="134" spans="1:17" ht="14.4" customHeight="1" x14ac:dyDescent="0.3">
      <c r="A134" s="695" t="s">
        <v>4250</v>
      </c>
      <c r="B134" s="696" t="s">
        <v>4082</v>
      </c>
      <c r="C134" s="696" t="s">
        <v>4114</v>
      </c>
      <c r="D134" s="696" t="s">
        <v>4262</v>
      </c>
      <c r="E134" s="696" t="s">
        <v>4189</v>
      </c>
      <c r="F134" s="711"/>
      <c r="G134" s="711"/>
      <c r="H134" s="711"/>
      <c r="I134" s="711"/>
      <c r="J134" s="711">
        <v>15</v>
      </c>
      <c r="K134" s="711">
        <v>12765</v>
      </c>
      <c r="L134" s="711"/>
      <c r="M134" s="711">
        <v>851</v>
      </c>
      <c r="N134" s="711"/>
      <c r="O134" s="711"/>
      <c r="P134" s="701"/>
      <c r="Q134" s="712"/>
    </row>
    <row r="135" spans="1:17" ht="14.4" customHeight="1" x14ac:dyDescent="0.3">
      <c r="A135" s="695" t="s">
        <v>4250</v>
      </c>
      <c r="B135" s="696" t="s">
        <v>4082</v>
      </c>
      <c r="C135" s="696" t="s">
        <v>4114</v>
      </c>
      <c r="D135" s="696" t="s">
        <v>4193</v>
      </c>
      <c r="E135" s="696" t="s">
        <v>4194</v>
      </c>
      <c r="F135" s="711"/>
      <c r="G135" s="711"/>
      <c r="H135" s="711"/>
      <c r="I135" s="711"/>
      <c r="J135" s="711">
        <v>1</v>
      </c>
      <c r="K135" s="711">
        <v>1043</v>
      </c>
      <c r="L135" s="711"/>
      <c r="M135" s="711">
        <v>1043</v>
      </c>
      <c r="N135" s="711"/>
      <c r="O135" s="711"/>
      <c r="P135" s="701"/>
      <c r="Q135" s="712"/>
    </row>
    <row r="136" spans="1:17" ht="14.4" customHeight="1" x14ac:dyDescent="0.3">
      <c r="A136" s="695" t="s">
        <v>4250</v>
      </c>
      <c r="B136" s="696" t="s">
        <v>4082</v>
      </c>
      <c r="C136" s="696" t="s">
        <v>4114</v>
      </c>
      <c r="D136" s="696" t="s">
        <v>4263</v>
      </c>
      <c r="E136" s="696" t="s">
        <v>4264</v>
      </c>
      <c r="F136" s="711"/>
      <c r="G136" s="711"/>
      <c r="H136" s="711"/>
      <c r="I136" s="711"/>
      <c r="J136" s="711">
        <v>3</v>
      </c>
      <c r="K136" s="711">
        <v>1020</v>
      </c>
      <c r="L136" s="711"/>
      <c r="M136" s="711">
        <v>340</v>
      </c>
      <c r="N136" s="711">
        <v>1</v>
      </c>
      <c r="O136" s="711">
        <v>340</v>
      </c>
      <c r="P136" s="701"/>
      <c r="Q136" s="712">
        <v>340</v>
      </c>
    </row>
    <row r="137" spans="1:17" ht="14.4" customHeight="1" x14ac:dyDescent="0.3">
      <c r="A137" s="695" t="s">
        <v>4265</v>
      </c>
      <c r="B137" s="696" t="s">
        <v>4082</v>
      </c>
      <c r="C137" s="696" t="s">
        <v>4103</v>
      </c>
      <c r="D137" s="696" t="s">
        <v>4251</v>
      </c>
      <c r="E137" s="696" t="s">
        <v>4252</v>
      </c>
      <c r="F137" s="711">
        <v>4</v>
      </c>
      <c r="G137" s="711">
        <v>9240</v>
      </c>
      <c r="H137" s="711">
        <v>1</v>
      </c>
      <c r="I137" s="711">
        <v>2310</v>
      </c>
      <c r="J137" s="711">
        <v>3</v>
      </c>
      <c r="K137" s="711">
        <v>6930</v>
      </c>
      <c r="L137" s="711">
        <v>0.75</v>
      </c>
      <c r="M137" s="711">
        <v>2310</v>
      </c>
      <c r="N137" s="711">
        <v>1</v>
      </c>
      <c r="O137" s="711">
        <v>2310</v>
      </c>
      <c r="P137" s="701">
        <v>0.25</v>
      </c>
      <c r="Q137" s="712">
        <v>2310</v>
      </c>
    </row>
    <row r="138" spans="1:17" ht="14.4" customHeight="1" x14ac:dyDescent="0.3">
      <c r="A138" s="695" t="s">
        <v>4265</v>
      </c>
      <c r="B138" s="696" t="s">
        <v>4082</v>
      </c>
      <c r="C138" s="696" t="s">
        <v>4103</v>
      </c>
      <c r="D138" s="696" t="s">
        <v>4228</v>
      </c>
      <c r="E138" s="696" t="s">
        <v>4229</v>
      </c>
      <c r="F138" s="711"/>
      <c r="G138" s="711"/>
      <c r="H138" s="711"/>
      <c r="I138" s="711"/>
      <c r="J138" s="711">
        <v>28</v>
      </c>
      <c r="K138" s="711">
        <v>25333</v>
      </c>
      <c r="L138" s="711"/>
      <c r="M138" s="711">
        <v>904.75</v>
      </c>
      <c r="N138" s="711">
        <v>78</v>
      </c>
      <c r="O138" s="711">
        <v>70570.5</v>
      </c>
      <c r="P138" s="701"/>
      <c r="Q138" s="712">
        <v>904.75</v>
      </c>
    </row>
    <row r="139" spans="1:17" ht="14.4" customHeight="1" x14ac:dyDescent="0.3">
      <c r="A139" s="695" t="s">
        <v>4265</v>
      </c>
      <c r="B139" s="696" t="s">
        <v>4082</v>
      </c>
      <c r="C139" s="696" t="s">
        <v>4103</v>
      </c>
      <c r="D139" s="696" t="s">
        <v>4104</v>
      </c>
      <c r="E139" s="696" t="s">
        <v>4105</v>
      </c>
      <c r="F139" s="711"/>
      <c r="G139" s="711"/>
      <c r="H139" s="711"/>
      <c r="I139" s="711"/>
      <c r="J139" s="711">
        <v>1</v>
      </c>
      <c r="K139" s="711">
        <v>242.64</v>
      </c>
      <c r="L139" s="711"/>
      <c r="M139" s="711">
        <v>242.64</v>
      </c>
      <c r="N139" s="711"/>
      <c r="O139" s="711"/>
      <c r="P139" s="701"/>
      <c r="Q139" s="712"/>
    </row>
    <row r="140" spans="1:17" ht="14.4" customHeight="1" x14ac:dyDescent="0.3">
      <c r="A140" s="695" t="s">
        <v>4265</v>
      </c>
      <c r="B140" s="696" t="s">
        <v>4082</v>
      </c>
      <c r="C140" s="696" t="s">
        <v>4103</v>
      </c>
      <c r="D140" s="696" t="s">
        <v>4106</v>
      </c>
      <c r="E140" s="696" t="s">
        <v>4107</v>
      </c>
      <c r="F140" s="711">
        <v>22</v>
      </c>
      <c r="G140" s="711">
        <v>5338.08</v>
      </c>
      <c r="H140" s="711">
        <v>1</v>
      </c>
      <c r="I140" s="711">
        <v>242.64</v>
      </c>
      <c r="J140" s="711">
        <v>36</v>
      </c>
      <c r="K140" s="711">
        <v>8735.0400000000009</v>
      </c>
      <c r="L140" s="711">
        <v>1.6363636363636365</v>
      </c>
      <c r="M140" s="711">
        <v>242.64000000000001</v>
      </c>
      <c r="N140" s="711">
        <v>26</v>
      </c>
      <c r="O140" s="711">
        <v>6308.6400000000012</v>
      </c>
      <c r="P140" s="701">
        <v>1.1818181818181821</v>
      </c>
      <c r="Q140" s="712">
        <v>242.64000000000004</v>
      </c>
    </row>
    <row r="141" spans="1:17" ht="14.4" customHeight="1" x14ac:dyDescent="0.3">
      <c r="A141" s="695" t="s">
        <v>4265</v>
      </c>
      <c r="B141" s="696" t="s">
        <v>4082</v>
      </c>
      <c r="C141" s="696" t="s">
        <v>4103</v>
      </c>
      <c r="D141" s="696" t="s">
        <v>4113</v>
      </c>
      <c r="E141" s="696" t="s">
        <v>4111</v>
      </c>
      <c r="F141" s="711">
        <v>2</v>
      </c>
      <c r="G141" s="711">
        <v>1000</v>
      </c>
      <c r="H141" s="711">
        <v>1</v>
      </c>
      <c r="I141" s="711">
        <v>500</v>
      </c>
      <c r="J141" s="711">
        <v>1</v>
      </c>
      <c r="K141" s="711">
        <v>500</v>
      </c>
      <c r="L141" s="711">
        <v>0.5</v>
      </c>
      <c r="M141" s="711">
        <v>500</v>
      </c>
      <c r="N141" s="711">
        <v>2</v>
      </c>
      <c r="O141" s="711">
        <v>1000</v>
      </c>
      <c r="P141" s="701">
        <v>1</v>
      </c>
      <c r="Q141" s="712">
        <v>500</v>
      </c>
    </row>
    <row r="142" spans="1:17" ht="14.4" customHeight="1" x14ac:dyDescent="0.3">
      <c r="A142" s="695" t="s">
        <v>4265</v>
      </c>
      <c r="B142" s="696" t="s">
        <v>4082</v>
      </c>
      <c r="C142" s="696" t="s">
        <v>4114</v>
      </c>
      <c r="D142" s="696" t="s">
        <v>4230</v>
      </c>
      <c r="E142" s="696" t="s">
        <v>4231</v>
      </c>
      <c r="F142" s="711">
        <v>12</v>
      </c>
      <c r="G142" s="711">
        <v>2220</v>
      </c>
      <c r="H142" s="711">
        <v>1</v>
      </c>
      <c r="I142" s="711">
        <v>185</v>
      </c>
      <c r="J142" s="711">
        <v>12</v>
      </c>
      <c r="K142" s="711">
        <v>2220</v>
      </c>
      <c r="L142" s="711">
        <v>1</v>
      </c>
      <c r="M142" s="711">
        <v>185</v>
      </c>
      <c r="N142" s="711">
        <v>8</v>
      </c>
      <c r="O142" s="711">
        <v>1492</v>
      </c>
      <c r="P142" s="701">
        <v>0.67207207207207209</v>
      </c>
      <c r="Q142" s="712">
        <v>186.5</v>
      </c>
    </row>
    <row r="143" spans="1:17" ht="14.4" customHeight="1" x14ac:dyDescent="0.3">
      <c r="A143" s="695" t="s">
        <v>4265</v>
      </c>
      <c r="B143" s="696" t="s">
        <v>4082</v>
      </c>
      <c r="C143" s="696" t="s">
        <v>4114</v>
      </c>
      <c r="D143" s="696" t="s">
        <v>4266</v>
      </c>
      <c r="E143" s="696" t="s">
        <v>4267</v>
      </c>
      <c r="F143" s="711">
        <v>2</v>
      </c>
      <c r="G143" s="711">
        <v>2186</v>
      </c>
      <c r="H143" s="711">
        <v>1</v>
      </c>
      <c r="I143" s="711">
        <v>1093</v>
      </c>
      <c r="J143" s="711">
        <v>2</v>
      </c>
      <c r="K143" s="711">
        <v>2268</v>
      </c>
      <c r="L143" s="711">
        <v>1.0375114364135407</v>
      </c>
      <c r="M143" s="711">
        <v>1134</v>
      </c>
      <c r="N143" s="711">
        <v>1</v>
      </c>
      <c r="O143" s="711">
        <v>1134</v>
      </c>
      <c r="P143" s="701">
        <v>0.51875571820677036</v>
      </c>
      <c r="Q143" s="712">
        <v>1134</v>
      </c>
    </row>
    <row r="144" spans="1:17" ht="14.4" customHeight="1" x14ac:dyDescent="0.3">
      <c r="A144" s="695" t="s">
        <v>4265</v>
      </c>
      <c r="B144" s="696" t="s">
        <v>4082</v>
      </c>
      <c r="C144" s="696" t="s">
        <v>4114</v>
      </c>
      <c r="D144" s="696" t="s">
        <v>4119</v>
      </c>
      <c r="E144" s="696" t="s">
        <v>4120</v>
      </c>
      <c r="F144" s="711">
        <v>3</v>
      </c>
      <c r="G144" s="711">
        <v>102</v>
      </c>
      <c r="H144" s="711">
        <v>1</v>
      </c>
      <c r="I144" s="711">
        <v>34</v>
      </c>
      <c r="J144" s="711">
        <v>1</v>
      </c>
      <c r="K144" s="711">
        <v>34</v>
      </c>
      <c r="L144" s="711">
        <v>0.33333333333333331</v>
      </c>
      <c r="M144" s="711">
        <v>34</v>
      </c>
      <c r="N144" s="711">
        <v>1</v>
      </c>
      <c r="O144" s="711">
        <v>35</v>
      </c>
      <c r="P144" s="701">
        <v>0.34313725490196079</v>
      </c>
      <c r="Q144" s="712">
        <v>35</v>
      </c>
    </row>
    <row r="145" spans="1:17" ht="14.4" customHeight="1" x14ac:dyDescent="0.3">
      <c r="A145" s="695" t="s">
        <v>4265</v>
      </c>
      <c r="B145" s="696" t="s">
        <v>4082</v>
      </c>
      <c r="C145" s="696" t="s">
        <v>4114</v>
      </c>
      <c r="D145" s="696" t="s">
        <v>4123</v>
      </c>
      <c r="E145" s="696" t="s">
        <v>4124</v>
      </c>
      <c r="F145" s="711"/>
      <c r="G145" s="711"/>
      <c r="H145" s="711"/>
      <c r="I145" s="711"/>
      <c r="J145" s="711">
        <v>1</v>
      </c>
      <c r="K145" s="711">
        <v>121</v>
      </c>
      <c r="L145" s="711"/>
      <c r="M145" s="711">
        <v>121</v>
      </c>
      <c r="N145" s="711"/>
      <c r="O145" s="711"/>
      <c r="P145" s="701"/>
      <c r="Q145" s="712"/>
    </row>
    <row r="146" spans="1:17" ht="14.4" customHeight="1" x14ac:dyDescent="0.3">
      <c r="A146" s="695" t="s">
        <v>4265</v>
      </c>
      <c r="B146" s="696" t="s">
        <v>4082</v>
      </c>
      <c r="C146" s="696" t="s">
        <v>4114</v>
      </c>
      <c r="D146" s="696" t="s">
        <v>4125</v>
      </c>
      <c r="E146" s="696" t="s">
        <v>4078</v>
      </c>
      <c r="F146" s="711">
        <v>8</v>
      </c>
      <c r="G146" s="711">
        <v>1248</v>
      </c>
      <c r="H146" s="711">
        <v>1</v>
      </c>
      <c r="I146" s="711">
        <v>156</v>
      </c>
      <c r="J146" s="711"/>
      <c r="K146" s="711"/>
      <c r="L146" s="711"/>
      <c r="M146" s="711"/>
      <c r="N146" s="711"/>
      <c r="O146" s="711"/>
      <c r="P146" s="701"/>
      <c r="Q146" s="712"/>
    </row>
    <row r="147" spans="1:17" ht="14.4" customHeight="1" x14ac:dyDescent="0.3">
      <c r="A147" s="695" t="s">
        <v>4265</v>
      </c>
      <c r="B147" s="696" t="s">
        <v>4082</v>
      </c>
      <c r="C147" s="696" t="s">
        <v>4114</v>
      </c>
      <c r="D147" s="696" t="s">
        <v>4126</v>
      </c>
      <c r="E147" s="696" t="s">
        <v>4078</v>
      </c>
      <c r="F147" s="711">
        <v>6</v>
      </c>
      <c r="G147" s="711">
        <v>468</v>
      </c>
      <c r="H147" s="711">
        <v>1</v>
      </c>
      <c r="I147" s="711">
        <v>78</v>
      </c>
      <c r="J147" s="711"/>
      <c r="K147" s="711"/>
      <c r="L147" s="711"/>
      <c r="M147" s="711"/>
      <c r="N147" s="711"/>
      <c r="O147" s="711"/>
      <c r="P147" s="701"/>
      <c r="Q147" s="712"/>
    </row>
    <row r="148" spans="1:17" ht="14.4" customHeight="1" x14ac:dyDescent="0.3">
      <c r="A148" s="695" t="s">
        <v>4265</v>
      </c>
      <c r="B148" s="696" t="s">
        <v>4082</v>
      </c>
      <c r="C148" s="696" t="s">
        <v>4114</v>
      </c>
      <c r="D148" s="696" t="s">
        <v>4127</v>
      </c>
      <c r="E148" s="696" t="s">
        <v>4128</v>
      </c>
      <c r="F148" s="711">
        <v>393</v>
      </c>
      <c r="G148" s="711">
        <v>90783</v>
      </c>
      <c r="H148" s="711">
        <v>1</v>
      </c>
      <c r="I148" s="711">
        <v>231</v>
      </c>
      <c r="J148" s="711">
        <v>421</v>
      </c>
      <c r="K148" s="711">
        <v>97672</v>
      </c>
      <c r="L148" s="711">
        <v>1.0758842514567706</v>
      </c>
      <c r="M148" s="711">
        <v>232</v>
      </c>
      <c r="N148" s="711">
        <v>631</v>
      </c>
      <c r="O148" s="711">
        <v>146886</v>
      </c>
      <c r="P148" s="701">
        <v>1.6179901523412974</v>
      </c>
      <c r="Q148" s="712">
        <v>232.78288431061807</v>
      </c>
    </row>
    <row r="149" spans="1:17" ht="14.4" customHeight="1" x14ac:dyDescent="0.3">
      <c r="A149" s="695" t="s">
        <v>4265</v>
      </c>
      <c r="B149" s="696" t="s">
        <v>4082</v>
      </c>
      <c r="C149" s="696" t="s">
        <v>4114</v>
      </c>
      <c r="D149" s="696" t="s">
        <v>4129</v>
      </c>
      <c r="E149" s="696" t="s">
        <v>4130</v>
      </c>
      <c r="F149" s="711">
        <v>740</v>
      </c>
      <c r="G149" s="711">
        <v>85840</v>
      </c>
      <c r="H149" s="711">
        <v>1</v>
      </c>
      <c r="I149" s="711">
        <v>116</v>
      </c>
      <c r="J149" s="711">
        <v>783</v>
      </c>
      <c r="K149" s="711">
        <v>90828</v>
      </c>
      <c r="L149" s="711">
        <v>1.0581081081081081</v>
      </c>
      <c r="M149" s="711">
        <v>116</v>
      </c>
      <c r="N149" s="711">
        <v>880</v>
      </c>
      <c r="O149" s="711">
        <v>102698</v>
      </c>
      <c r="P149" s="701">
        <v>1.1963886300093196</v>
      </c>
      <c r="Q149" s="712">
        <v>116.70227272727273</v>
      </c>
    </row>
    <row r="150" spans="1:17" ht="14.4" customHeight="1" x14ac:dyDescent="0.3">
      <c r="A150" s="695" t="s">
        <v>4265</v>
      </c>
      <c r="B150" s="696" t="s">
        <v>4082</v>
      </c>
      <c r="C150" s="696" t="s">
        <v>4114</v>
      </c>
      <c r="D150" s="696" t="s">
        <v>4133</v>
      </c>
      <c r="E150" s="696" t="s">
        <v>4134</v>
      </c>
      <c r="F150" s="711">
        <v>42</v>
      </c>
      <c r="G150" s="711">
        <v>20286</v>
      </c>
      <c r="H150" s="711">
        <v>1</v>
      </c>
      <c r="I150" s="711">
        <v>483</v>
      </c>
      <c r="J150" s="711">
        <v>17</v>
      </c>
      <c r="K150" s="711">
        <v>8228</v>
      </c>
      <c r="L150" s="711">
        <v>0.40559992112787147</v>
      </c>
      <c r="M150" s="711">
        <v>484</v>
      </c>
      <c r="N150" s="711"/>
      <c r="O150" s="711"/>
      <c r="P150" s="701"/>
      <c r="Q150" s="712"/>
    </row>
    <row r="151" spans="1:17" ht="14.4" customHeight="1" x14ac:dyDescent="0.3">
      <c r="A151" s="695" t="s">
        <v>4265</v>
      </c>
      <c r="B151" s="696" t="s">
        <v>4082</v>
      </c>
      <c r="C151" s="696" t="s">
        <v>4114</v>
      </c>
      <c r="D151" s="696" t="s">
        <v>4135</v>
      </c>
      <c r="E151" s="696" t="s">
        <v>4136</v>
      </c>
      <c r="F151" s="711">
        <v>63</v>
      </c>
      <c r="G151" s="711">
        <v>42588</v>
      </c>
      <c r="H151" s="711">
        <v>1</v>
      </c>
      <c r="I151" s="711">
        <v>676</v>
      </c>
      <c r="J151" s="711">
        <v>28</v>
      </c>
      <c r="K151" s="711">
        <v>18956</v>
      </c>
      <c r="L151" s="711">
        <v>0.44510190664036819</v>
      </c>
      <c r="M151" s="711">
        <v>677</v>
      </c>
      <c r="N151" s="711">
        <v>18</v>
      </c>
      <c r="O151" s="711">
        <v>12212</v>
      </c>
      <c r="P151" s="701">
        <v>0.28674744059359442</v>
      </c>
      <c r="Q151" s="712">
        <v>678.44444444444446</v>
      </c>
    </row>
    <row r="152" spans="1:17" ht="14.4" customHeight="1" x14ac:dyDescent="0.3">
      <c r="A152" s="695" t="s">
        <v>4265</v>
      </c>
      <c r="B152" s="696" t="s">
        <v>4082</v>
      </c>
      <c r="C152" s="696" t="s">
        <v>4114</v>
      </c>
      <c r="D152" s="696" t="s">
        <v>4137</v>
      </c>
      <c r="E152" s="696" t="s">
        <v>4138</v>
      </c>
      <c r="F152" s="711">
        <v>1</v>
      </c>
      <c r="G152" s="711">
        <v>748</v>
      </c>
      <c r="H152" s="711">
        <v>1</v>
      </c>
      <c r="I152" s="711">
        <v>748</v>
      </c>
      <c r="J152" s="711"/>
      <c r="K152" s="711"/>
      <c r="L152" s="711"/>
      <c r="M152" s="711"/>
      <c r="N152" s="711"/>
      <c r="O152" s="711"/>
      <c r="P152" s="701"/>
      <c r="Q152" s="712"/>
    </row>
    <row r="153" spans="1:17" ht="14.4" customHeight="1" x14ac:dyDescent="0.3">
      <c r="A153" s="695" t="s">
        <v>4265</v>
      </c>
      <c r="B153" s="696" t="s">
        <v>4082</v>
      </c>
      <c r="C153" s="696" t="s">
        <v>4114</v>
      </c>
      <c r="D153" s="696" t="s">
        <v>4139</v>
      </c>
      <c r="E153" s="696" t="s">
        <v>4134</v>
      </c>
      <c r="F153" s="711">
        <v>7</v>
      </c>
      <c r="G153" s="711">
        <v>3850</v>
      </c>
      <c r="H153" s="711">
        <v>1</v>
      </c>
      <c r="I153" s="711">
        <v>550</v>
      </c>
      <c r="J153" s="711">
        <v>11</v>
      </c>
      <c r="K153" s="711">
        <v>6083</v>
      </c>
      <c r="L153" s="711">
        <v>1.58</v>
      </c>
      <c r="M153" s="711">
        <v>553</v>
      </c>
      <c r="N153" s="711">
        <v>4</v>
      </c>
      <c r="O153" s="711">
        <v>2228</v>
      </c>
      <c r="P153" s="701">
        <v>0.57870129870129872</v>
      </c>
      <c r="Q153" s="712">
        <v>557</v>
      </c>
    </row>
    <row r="154" spans="1:17" ht="14.4" customHeight="1" x14ac:dyDescent="0.3">
      <c r="A154" s="695" t="s">
        <v>4265</v>
      </c>
      <c r="B154" s="696" t="s">
        <v>4082</v>
      </c>
      <c r="C154" s="696" t="s">
        <v>4114</v>
      </c>
      <c r="D154" s="696" t="s">
        <v>4140</v>
      </c>
      <c r="E154" s="696" t="s">
        <v>4136</v>
      </c>
      <c r="F154" s="711">
        <v>99</v>
      </c>
      <c r="G154" s="711">
        <v>73557</v>
      </c>
      <c r="H154" s="711">
        <v>1</v>
      </c>
      <c r="I154" s="711">
        <v>743</v>
      </c>
      <c r="J154" s="711">
        <v>179</v>
      </c>
      <c r="K154" s="711">
        <v>133534</v>
      </c>
      <c r="L154" s="711">
        <v>1.8153812689478908</v>
      </c>
      <c r="M154" s="711">
        <v>746</v>
      </c>
      <c r="N154" s="711">
        <v>144</v>
      </c>
      <c r="O154" s="711">
        <v>107532</v>
      </c>
      <c r="P154" s="701">
        <v>1.4618867001101188</v>
      </c>
      <c r="Q154" s="712">
        <v>746.75</v>
      </c>
    </row>
    <row r="155" spans="1:17" ht="14.4" customHeight="1" x14ac:dyDescent="0.3">
      <c r="A155" s="695" t="s">
        <v>4265</v>
      </c>
      <c r="B155" s="696" t="s">
        <v>4082</v>
      </c>
      <c r="C155" s="696" t="s">
        <v>4114</v>
      </c>
      <c r="D155" s="696" t="s">
        <v>4232</v>
      </c>
      <c r="E155" s="696" t="s">
        <v>4233</v>
      </c>
      <c r="F155" s="711">
        <v>519</v>
      </c>
      <c r="G155" s="711">
        <v>415200</v>
      </c>
      <c r="H155" s="711">
        <v>1</v>
      </c>
      <c r="I155" s="711">
        <v>800</v>
      </c>
      <c r="J155" s="711">
        <v>774</v>
      </c>
      <c r="K155" s="711">
        <v>621522</v>
      </c>
      <c r="L155" s="711">
        <v>1.4969219653179191</v>
      </c>
      <c r="M155" s="711">
        <v>803</v>
      </c>
      <c r="N155" s="711">
        <v>871</v>
      </c>
      <c r="O155" s="711">
        <v>700825</v>
      </c>
      <c r="P155" s="701">
        <v>1.6879214836223506</v>
      </c>
      <c r="Q155" s="712">
        <v>804.62112514351315</v>
      </c>
    </row>
    <row r="156" spans="1:17" ht="14.4" customHeight="1" x14ac:dyDescent="0.3">
      <c r="A156" s="695" t="s">
        <v>4265</v>
      </c>
      <c r="B156" s="696" t="s">
        <v>4082</v>
      </c>
      <c r="C156" s="696" t="s">
        <v>4114</v>
      </c>
      <c r="D156" s="696" t="s">
        <v>4141</v>
      </c>
      <c r="E156" s="696" t="s">
        <v>4142</v>
      </c>
      <c r="F156" s="711">
        <v>19</v>
      </c>
      <c r="G156" s="711">
        <v>8265</v>
      </c>
      <c r="H156" s="711">
        <v>1</v>
      </c>
      <c r="I156" s="711">
        <v>435</v>
      </c>
      <c r="J156" s="711">
        <v>29</v>
      </c>
      <c r="K156" s="711">
        <v>12731</v>
      </c>
      <c r="L156" s="711">
        <v>1.5403508771929824</v>
      </c>
      <c r="M156" s="711">
        <v>439</v>
      </c>
      <c r="N156" s="711">
        <v>14</v>
      </c>
      <c r="O156" s="711">
        <v>6181</v>
      </c>
      <c r="P156" s="701">
        <v>0.74785238959467637</v>
      </c>
      <c r="Q156" s="712">
        <v>441.5</v>
      </c>
    </row>
    <row r="157" spans="1:17" ht="14.4" customHeight="1" x14ac:dyDescent="0.3">
      <c r="A157" s="695" t="s">
        <v>4265</v>
      </c>
      <c r="B157" s="696" t="s">
        <v>4082</v>
      </c>
      <c r="C157" s="696" t="s">
        <v>4114</v>
      </c>
      <c r="D157" s="696" t="s">
        <v>4143</v>
      </c>
      <c r="E157" s="696" t="s">
        <v>4144</v>
      </c>
      <c r="F157" s="711">
        <v>27</v>
      </c>
      <c r="G157" s="711">
        <v>11556</v>
      </c>
      <c r="H157" s="711">
        <v>1</v>
      </c>
      <c r="I157" s="711">
        <v>428</v>
      </c>
      <c r="J157" s="711">
        <v>42</v>
      </c>
      <c r="K157" s="711">
        <v>18102</v>
      </c>
      <c r="L157" s="711">
        <v>1.5664589823468329</v>
      </c>
      <c r="M157" s="711">
        <v>431</v>
      </c>
      <c r="N157" s="711">
        <v>28</v>
      </c>
      <c r="O157" s="711">
        <v>12128</v>
      </c>
      <c r="P157" s="701">
        <v>1.0494980962270681</v>
      </c>
      <c r="Q157" s="712">
        <v>433.14285714285717</v>
      </c>
    </row>
    <row r="158" spans="1:17" ht="14.4" customHeight="1" x14ac:dyDescent="0.3">
      <c r="A158" s="695" t="s">
        <v>4265</v>
      </c>
      <c r="B158" s="696" t="s">
        <v>4082</v>
      </c>
      <c r="C158" s="696" t="s">
        <v>4114</v>
      </c>
      <c r="D158" s="696" t="s">
        <v>4255</v>
      </c>
      <c r="E158" s="696" t="s">
        <v>4181</v>
      </c>
      <c r="F158" s="711">
        <v>30</v>
      </c>
      <c r="G158" s="711">
        <v>21030</v>
      </c>
      <c r="H158" s="711">
        <v>1</v>
      </c>
      <c r="I158" s="711">
        <v>701</v>
      </c>
      <c r="J158" s="711">
        <v>32</v>
      </c>
      <c r="K158" s="711">
        <v>22560</v>
      </c>
      <c r="L158" s="711">
        <v>1.072753209700428</v>
      </c>
      <c r="M158" s="711">
        <v>705</v>
      </c>
      <c r="N158" s="711">
        <v>37</v>
      </c>
      <c r="O158" s="711">
        <v>26190</v>
      </c>
      <c r="P158" s="701">
        <v>1.2453637660485022</v>
      </c>
      <c r="Q158" s="712">
        <v>707.83783783783781</v>
      </c>
    </row>
    <row r="159" spans="1:17" ht="14.4" customHeight="1" x14ac:dyDescent="0.3">
      <c r="A159" s="695" t="s">
        <v>4265</v>
      </c>
      <c r="B159" s="696" t="s">
        <v>4082</v>
      </c>
      <c r="C159" s="696" t="s">
        <v>4114</v>
      </c>
      <c r="D159" s="696" t="s">
        <v>4145</v>
      </c>
      <c r="E159" s="696" t="s">
        <v>4146</v>
      </c>
      <c r="F159" s="711">
        <v>182</v>
      </c>
      <c r="G159" s="711">
        <v>37492</v>
      </c>
      <c r="H159" s="711">
        <v>1</v>
      </c>
      <c r="I159" s="711">
        <v>206</v>
      </c>
      <c r="J159" s="711">
        <v>249</v>
      </c>
      <c r="K159" s="711">
        <v>51543</v>
      </c>
      <c r="L159" s="711">
        <v>1.3747732849674597</v>
      </c>
      <c r="M159" s="711">
        <v>207</v>
      </c>
      <c r="N159" s="711">
        <v>290</v>
      </c>
      <c r="O159" s="711">
        <v>60268</v>
      </c>
      <c r="P159" s="701">
        <v>1.6074895977808599</v>
      </c>
      <c r="Q159" s="712">
        <v>207.8206896551724</v>
      </c>
    </row>
    <row r="160" spans="1:17" ht="14.4" customHeight="1" x14ac:dyDescent="0.3">
      <c r="A160" s="695" t="s">
        <v>4265</v>
      </c>
      <c r="B160" s="696" t="s">
        <v>4082</v>
      </c>
      <c r="C160" s="696" t="s">
        <v>4114</v>
      </c>
      <c r="D160" s="696" t="s">
        <v>4149</v>
      </c>
      <c r="E160" s="696" t="s">
        <v>4150</v>
      </c>
      <c r="F160" s="711">
        <v>4</v>
      </c>
      <c r="G160" s="711">
        <v>1304</v>
      </c>
      <c r="H160" s="711">
        <v>1</v>
      </c>
      <c r="I160" s="711">
        <v>326</v>
      </c>
      <c r="J160" s="711">
        <v>5</v>
      </c>
      <c r="K160" s="711">
        <v>1635</v>
      </c>
      <c r="L160" s="711">
        <v>1.2538343558282208</v>
      </c>
      <c r="M160" s="711">
        <v>327</v>
      </c>
      <c r="N160" s="711">
        <v>3</v>
      </c>
      <c r="O160" s="711">
        <v>984</v>
      </c>
      <c r="P160" s="701">
        <v>0.754601226993865</v>
      </c>
      <c r="Q160" s="712">
        <v>328</v>
      </c>
    </row>
    <row r="161" spans="1:17" ht="14.4" customHeight="1" x14ac:dyDescent="0.3">
      <c r="A161" s="695" t="s">
        <v>4265</v>
      </c>
      <c r="B161" s="696" t="s">
        <v>4082</v>
      </c>
      <c r="C161" s="696" t="s">
        <v>4114</v>
      </c>
      <c r="D161" s="696" t="s">
        <v>4153</v>
      </c>
      <c r="E161" s="696" t="s">
        <v>4154</v>
      </c>
      <c r="F161" s="711">
        <v>1600</v>
      </c>
      <c r="G161" s="711">
        <v>129600</v>
      </c>
      <c r="H161" s="711">
        <v>1</v>
      </c>
      <c r="I161" s="711">
        <v>81</v>
      </c>
      <c r="J161" s="711">
        <v>1726</v>
      </c>
      <c r="K161" s="711">
        <v>141532</v>
      </c>
      <c r="L161" s="711">
        <v>1.092067901234568</v>
      </c>
      <c r="M161" s="711">
        <v>82</v>
      </c>
      <c r="N161" s="711">
        <v>1621</v>
      </c>
      <c r="O161" s="711">
        <v>134258</v>
      </c>
      <c r="P161" s="701">
        <v>1.0359413580246914</v>
      </c>
      <c r="Q161" s="712">
        <v>82.82418260333128</v>
      </c>
    </row>
    <row r="162" spans="1:17" ht="14.4" customHeight="1" x14ac:dyDescent="0.3">
      <c r="A162" s="695" t="s">
        <v>4265</v>
      </c>
      <c r="B162" s="696" t="s">
        <v>4082</v>
      </c>
      <c r="C162" s="696" t="s">
        <v>4114</v>
      </c>
      <c r="D162" s="696" t="s">
        <v>4157</v>
      </c>
      <c r="E162" s="696" t="s">
        <v>4158</v>
      </c>
      <c r="F162" s="711">
        <v>3</v>
      </c>
      <c r="G162" s="711">
        <v>2556</v>
      </c>
      <c r="H162" s="711">
        <v>1</v>
      </c>
      <c r="I162" s="711">
        <v>852</v>
      </c>
      <c r="J162" s="711">
        <v>4</v>
      </c>
      <c r="K162" s="711">
        <v>2812</v>
      </c>
      <c r="L162" s="711">
        <v>1.1001564945226916</v>
      </c>
      <c r="M162" s="711">
        <v>703</v>
      </c>
      <c r="N162" s="711">
        <v>3</v>
      </c>
      <c r="O162" s="711">
        <v>2112</v>
      </c>
      <c r="P162" s="701">
        <v>0.82629107981220662</v>
      </c>
      <c r="Q162" s="712">
        <v>704</v>
      </c>
    </row>
    <row r="163" spans="1:17" ht="14.4" customHeight="1" x14ac:dyDescent="0.3">
      <c r="A163" s="695" t="s">
        <v>4265</v>
      </c>
      <c r="B163" s="696" t="s">
        <v>4082</v>
      </c>
      <c r="C163" s="696" t="s">
        <v>4114</v>
      </c>
      <c r="D163" s="696" t="s">
        <v>4159</v>
      </c>
      <c r="E163" s="696" t="s">
        <v>4160</v>
      </c>
      <c r="F163" s="711">
        <v>1</v>
      </c>
      <c r="G163" s="711">
        <v>0</v>
      </c>
      <c r="H163" s="711"/>
      <c r="I163" s="711">
        <v>0</v>
      </c>
      <c r="J163" s="711">
        <v>5</v>
      </c>
      <c r="K163" s="711">
        <v>0</v>
      </c>
      <c r="L163" s="711"/>
      <c r="M163" s="711">
        <v>0</v>
      </c>
      <c r="N163" s="711"/>
      <c r="O163" s="711"/>
      <c r="P163" s="701"/>
      <c r="Q163" s="712"/>
    </row>
    <row r="164" spans="1:17" ht="14.4" customHeight="1" x14ac:dyDescent="0.3">
      <c r="A164" s="695" t="s">
        <v>4265</v>
      </c>
      <c r="B164" s="696" t="s">
        <v>4082</v>
      </c>
      <c r="C164" s="696" t="s">
        <v>4114</v>
      </c>
      <c r="D164" s="696" t="s">
        <v>4234</v>
      </c>
      <c r="E164" s="696" t="s">
        <v>4233</v>
      </c>
      <c r="F164" s="711">
        <v>505</v>
      </c>
      <c r="G164" s="711">
        <v>467630</v>
      </c>
      <c r="H164" s="711">
        <v>1</v>
      </c>
      <c r="I164" s="711">
        <v>926</v>
      </c>
      <c r="J164" s="711">
        <v>501</v>
      </c>
      <c r="K164" s="711">
        <v>465429</v>
      </c>
      <c r="L164" s="711">
        <v>0.99529328742809486</v>
      </c>
      <c r="M164" s="711">
        <v>929</v>
      </c>
      <c r="N164" s="711">
        <v>332</v>
      </c>
      <c r="O164" s="711">
        <v>309068</v>
      </c>
      <c r="P164" s="701">
        <v>0.66092423497209329</v>
      </c>
      <c r="Q164" s="712">
        <v>930.92771084337346</v>
      </c>
    </row>
    <row r="165" spans="1:17" ht="14.4" customHeight="1" x14ac:dyDescent="0.3">
      <c r="A165" s="695" t="s">
        <v>4265</v>
      </c>
      <c r="B165" s="696" t="s">
        <v>4082</v>
      </c>
      <c r="C165" s="696" t="s">
        <v>4114</v>
      </c>
      <c r="D165" s="696" t="s">
        <v>4161</v>
      </c>
      <c r="E165" s="696" t="s">
        <v>4162</v>
      </c>
      <c r="F165" s="711"/>
      <c r="G165" s="711"/>
      <c r="H165" s="711"/>
      <c r="I165" s="711"/>
      <c r="J165" s="711">
        <v>1</v>
      </c>
      <c r="K165" s="711">
        <v>0</v>
      </c>
      <c r="L165" s="711"/>
      <c r="M165" s="711">
        <v>0</v>
      </c>
      <c r="N165" s="711"/>
      <c r="O165" s="711"/>
      <c r="P165" s="701"/>
      <c r="Q165" s="712"/>
    </row>
    <row r="166" spans="1:17" ht="14.4" customHeight="1" x14ac:dyDescent="0.3">
      <c r="A166" s="695" t="s">
        <v>4265</v>
      </c>
      <c r="B166" s="696" t="s">
        <v>4082</v>
      </c>
      <c r="C166" s="696" t="s">
        <v>4114</v>
      </c>
      <c r="D166" s="696" t="s">
        <v>4163</v>
      </c>
      <c r="E166" s="696" t="s">
        <v>4164</v>
      </c>
      <c r="F166" s="711">
        <v>24</v>
      </c>
      <c r="G166" s="711">
        <v>2664</v>
      </c>
      <c r="H166" s="711">
        <v>1</v>
      </c>
      <c r="I166" s="711">
        <v>111</v>
      </c>
      <c r="J166" s="711">
        <v>20</v>
      </c>
      <c r="K166" s="711">
        <v>2240</v>
      </c>
      <c r="L166" s="711">
        <v>0.84084084084084088</v>
      </c>
      <c r="M166" s="711">
        <v>112</v>
      </c>
      <c r="N166" s="711">
        <v>8</v>
      </c>
      <c r="O166" s="711">
        <v>896</v>
      </c>
      <c r="P166" s="701">
        <v>0.33633633633633636</v>
      </c>
      <c r="Q166" s="712">
        <v>112</v>
      </c>
    </row>
    <row r="167" spans="1:17" ht="14.4" customHeight="1" x14ac:dyDescent="0.3">
      <c r="A167" s="695" t="s">
        <v>4265</v>
      </c>
      <c r="B167" s="696" t="s">
        <v>4082</v>
      </c>
      <c r="C167" s="696" t="s">
        <v>4114</v>
      </c>
      <c r="D167" s="696" t="s">
        <v>4235</v>
      </c>
      <c r="E167" s="696" t="s">
        <v>4233</v>
      </c>
      <c r="F167" s="711">
        <v>284</v>
      </c>
      <c r="G167" s="711">
        <v>208172</v>
      </c>
      <c r="H167" s="711">
        <v>1</v>
      </c>
      <c r="I167" s="711">
        <v>733</v>
      </c>
      <c r="J167" s="711">
        <v>103</v>
      </c>
      <c r="K167" s="711">
        <v>75602</v>
      </c>
      <c r="L167" s="711">
        <v>0.36317083949810736</v>
      </c>
      <c r="M167" s="711">
        <v>734</v>
      </c>
      <c r="N167" s="711">
        <v>99</v>
      </c>
      <c r="O167" s="711">
        <v>72724</v>
      </c>
      <c r="P167" s="701">
        <v>0.3493457333358953</v>
      </c>
      <c r="Q167" s="712">
        <v>734.58585858585855</v>
      </c>
    </row>
    <row r="168" spans="1:17" ht="14.4" customHeight="1" x14ac:dyDescent="0.3">
      <c r="A168" s="695" t="s">
        <v>4265</v>
      </c>
      <c r="B168" s="696" t="s">
        <v>4082</v>
      </c>
      <c r="C168" s="696" t="s">
        <v>4114</v>
      </c>
      <c r="D168" s="696" t="s">
        <v>4243</v>
      </c>
      <c r="E168" s="696" t="s">
        <v>4244</v>
      </c>
      <c r="F168" s="711">
        <v>2</v>
      </c>
      <c r="G168" s="711">
        <v>116</v>
      </c>
      <c r="H168" s="711">
        <v>1</v>
      </c>
      <c r="I168" s="711">
        <v>58</v>
      </c>
      <c r="J168" s="711">
        <v>1</v>
      </c>
      <c r="K168" s="711">
        <v>56</v>
      </c>
      <c r="L168" s="711">
        <v>0.48275862068965519</v>
      </c>
      <c r="M168" s="711">
        <v>56</v>
      </c>
      <c r="N168" s="711">
        <v>1</v>
      </c>
      <c r="O168" s="711">
        <v>56</v>
      </c>
      <c r="P168" s="701">
        <v>0.48275862068965519</v>
      </c>
      <c r="Q168" s="712">
        <v>56</v>
      </c>
    </row>
    <row r="169" spans="1:17" ht="14.4" customHeight="1" x14ac:dyDescent="0.3">
      <c r="A169" s="695" t="s">
        <v>4265</v>
      </c>
      <c r="B169" s="696" t="s">
        <v>4082</v>
      </c>
      <c r="C169" s="696" t="s">
        <v>4114</v>
      </c>
      <c r="D169" s="696" t="s">
        <v>4236</v>
      </c>
      <c r="E169" s="696" t="s">
        <v>4237</v>
      </c>
      <c r="F169" s="711">
        <v>172</v>
      </c>
      <c r="G169" s="711">
        <v>89956</v>
      </c>
      <c r="H169" s="711">
        <v>1</v>
      </c>
      <c r="I169" s="711">
        <v>523</v>
      </c>
      <c r="J169" s="711">
        <v>99</v>
      </c>
      <c r="K169" s="711">
        <v>51876</v>
      </c>
      <c r="L169" s="711">
        <v>0.57668193338965712</v>
      </c>
      <c r="M169" s="711">
        <v>524</v>
      </c>
      <c r="N169" s="711">
        <v>91</v>
      </c>
      <c r="O169" s="711">
        <v>47752</v>
      </c>
      <c r="P169" s="701">
        <v>0.5308372982346925</v>
      </c>
      <c r="Q169" s="712">
        <v>524.74725274725279</v>
      </c>
    </row>
    <row r="170" spans="1:17" ht="14.4" customHeight="1" x14ac:dyDescent="0.3">
      <c r="A170" s="695" t="s">
        <v>4265</v>
      </c>
      <c r="B170" s="696" t="s">
        <v>4082</v>
      </c>
      <c r="C170" s="696" t="s">
        <v>4114</v>
      </c>
      <c r="D170" s="696" t="s">
        <v>4171</v>
      </c>
      <c r="E170" s="696" t="s">
        <v>4172</v>
      </c>
      <c r="F170" s="711"/>
      <c r="G170" s="711"/>
      <c r="H170" s="711"/>
      <c r="I170" s="711"/>
      <c r="J170" s="711"/>
      <c r="K170" s="711"/>
      <c r="L170" s="711"/>
      <c r="M170" s="711"/>
      <c r="N170" s="711">
        <v>1</v>
      </c>
      <c r="O170" s="711">
        <v>296</v>
      </c>
      <c r="P170" s="701"/>
      <c r="Q170" s="712">
        <v>296</v>
      </c>
    </row>
    <row r="171" spans="1:17" ht="14.4" customHeight="1" x14ac:dyDescent="0.3">
      <c r="A171" s="695" t="s">
        <v>4265</v>
      </c>
      <c r="B171" s="696" t="s">
        <v>4082</v>
      </c>
      <c r="C171" s="696" t="s">
        <v>4114</v>
      </c>
      <c r="D171" s="696" t="s">
        <v>4238</v>
      </c>
      <c r="E171" s="696" t="s">
        <v>4146</v>
      </c>
      <c r="F171" s="711">
        <v>47</v>
      </c>
      <c r="G171" s="711">
        <v>8084</v>
      </c>
      <c r="H171" s="711">
        <v>1</v>
      </c>
      <c r="I171" s="711">
        <v>172</v>
      </c>
      <c r="J171" s="711">
        <v>23</v>
      </c>
      <c r="K171" s="711">
        <v>3956</v>
      </c>
      <c r="L171" s="711">
        <v>0.48936170212765956</v>
      </c>
      <c r="M171" s="711">
        <v>172</v>
      </c>
      <c r="N171" s="711">
        <v>27</v>
      </c>
      <c r="O171" s="711">
        <v>4658</v>
      </c>
      <c r="P171" s="701">
        <v>0.57619990103908958</v>
      </c>
      <c r="Q171" s="712">
        <v>172.5185185185185</v>
      </c>
    </row>
    <row r="172" spans="1:17" ht="14.4" customHeight="1" x14ac:dyDescent="0.3">
      <c r="A172" s="695" t="s">
        <v>4265</v>
      </c>
      <c r="B172" s="696" t="s">
        <v>4082</v>
      </c>
      <c r="C172" s="696" t="s">
        <v>4114</v>
      </c>
      <c r="D172" s="696" t="s">
        <v>4175</v>
      </c>
      <c r="E172" s="696" t="s">
        <v>4172</v>
      </c>
      <c r="F172" s="711">
        <v>33</v>
      </c>
      <c r="G172" s="711">
        <v>11946</v>
      </c>
      <c r="H172" s="711">
        <v>1</v>
      </c>
      <c r="I172" s="711">
        <v>362</v>
      </c>
      <c r="J172" s="711">
        <v>16</v>
      </c>
      <c r="K172" s="711">
        <v>5840</v>
      </c>
      <c r="L172" s="711">
        <v>0.48886656621463254</v>
      </c>
      <c r="M172" s="711">
        <v>365</v>
      </c>
      <c r="N172" s="711">
        <v>17</v>
      </c>
      <c r="O172" s="711">
        <v>6273</v>
      </c>
      <c r="P172" s="701">
        <v>0.52511300853842291</v>
      </c>
      <c r="Q172" s="712">
        <v>369</v>
      </c>
    </row>
    <row r="173" spans="1:17" ht="14.4" customHeight="1" x14ac:dyDescent="0.3">
      <c r="A173" s="695" t="s">
        <v>4265</v>
      </c>
      <c r="B173" s="696" t="s">
        <v>4082</v>
      </c>
      <c r="C173" s="696" t="s">
        <v>4114</v>
      </c>
      <c r="D173" s="696" t="s">
        <v>4178</v>
      </c>
      <c r="E173" s="696" t="s">
        <v>4179</v>
      </c>
      <c r="F173" s="711">
        <v>1</v>
      </c>
      <c r="G173" s="711">
        <v>632</v>
      </c>
      <c r="H173" s="711">
        <v>1</v>
      </c>
      <c r="I173" s="711">
        <v>632</v>
      </c>
      <c r="J173" s="711"/>
      <c r="K173" s="711"/>
      <c r="L173" s="711"/>
      <c r="M173" s="711"/>
      <c r="N173" s="711"/>
      <c r="O173" s="711"/>
      <c r="P173" s="701"/>
      <c r="Q173" s="712"/>
    </row>
    <row r="174" spans="1:17" ht="14.4" customHeight="1" x14ac:dyDescent="0.3">
      <c r="A174" s="695" t="s">
        <v>4265</v>
      </c>
      <c r="B174" s="696" t="s">
        <v>4082</v>
      </c>
      <c r="C174" s="696" t="s">
        <v>4114</v>
      </c>
      <c r="D174" s="696" t="s">
        <v>4180</v>
      </c>
      <c r="E174" s="696" t="s">
        <v>4181</v>
      </c>
      <c r="F174" s="711">
        <v>8</v>
      </c>
      <c r="G174" s="711">
        <v>4792</v>
      </c>
      <c r="H174" s="711">
        <v>1</v>
      </c>
      <c r="I174" s="711">
        <v>599</v>
      </c>
      <c r="J174" s="711"/>
      <c r="K174" s="711"/>
      <c r="L174" s="711"/>
      <c r="M174" s="711"/>
      <c r="N174" s="711"/>
      <c r="O174" s="711"/>
      <c r="P174" s="701"/>
      <c r="Q174" s="712"/>
    </row>
    <row r="175" spans="1:17" ht="14.4" customHeight="1" x14ac:dyDescent="0.3">
      <c r="A175" s="695" t="s">
        <v>4265</v>
      </c>
      <c r="B175" s="696" t="s">
        <v>4082</v>
      </c>
      <c r="C175" s="696" t="s">
        <v>4114</v>
      </c>
      <c r="D175" s="696" t="s">
        <v>4257</v>
      </c>
      <c r="E175" s="696" t="s">
        <v>4258</v>
      </c>
      <c r="F175" s="711">
        <v>8</v>
      </c>
      <c r="G175" s="711">
        <v>800</v>
      </c>
      <c r="H175" s="711">
        <v>1</v>
      </c>
      <c r="I175" s="711">
        <v>100</v>
      </c>
      <c r="J175" s="711">
        <v>7</v>
      </c>
      <c r="K175" s="711">
        <v>700</v>
      </c>
      <c r="L175" s="711">
        <v>0.875</v>
      </c>
      <c r="M175" s="711">
        <v>100</v>
      </c>
      <c r="N175" s="711">
        <v>6</v>
      </c>
      <c r="O175" s="711">
        <v>600</v>
      </c>
      <c r="P175" s="701">
        <v>0.75</v>
      </c>
      <c r="Q175" s="712">
        <v>100</v>
      </c>
    </row>
    <row r="176" spans="1:17" ht="14.4" customHeight="1" x14ac:dyDescent="0.3">
      <c r="A176" s="695" t="s">
        <v>4265</v>
      </c>
      <c r="B176" s="696" t="s">
        <v>4082</v>
      </c>
      <c r="C176" s="696" t="s">
        <v>4114</v>
      </c>
      <c r="D176" s="696" t="s">
        <v>4239</v>
      </c>
      <c r="E176" s="696" t="s">
        <v>4233</v>
      </c>
      <c r="F176" s="711">
        <v>75</v>
      </c>
      <c r="G176" s="711">
        <v>75675</v>
      </c>
      <c r="H176" s="711">
        <v>1</v>
      </c>
      <c r="I176" s="711">
        <v>1009</v>
      </c>
      <c r="J176" s="711">
        <v>134</v>
      </c>
      <c r="K176" s="711">
        <v>135608</v>
      </c>
      <c r="L176" s="711">
        <v>1.79197885695408</v>
      </c>
      <c r="M176" s="711">
        <v>1012</v>
      </c>
      <c r="N176" s="711">
        <v>169</v>
      </c>
      <c r="O176" s="711">
        <v>171372</v>
      </c>
      <c r="P176" s="701">
        <v>2.2645787908820614</v>
      </c>
      <c r="Q176" s="712">
        <v>1014.0355029585799</v>
      </c>
    </row>
    <row r="177" spans="1:17" ht="14.4" customHeight="1" x14ac:dyDescent="0.3">
      <c r="A177" s="695" t="s">
        <v>4265</v>
      </c>
      <c r="B177" s="696" t="s">
        <v>4082</v>
      </c>
      <c r="C177" s="696" t="s">
        <v>4114</v>
      </c>
      <c r="D177" s="696" t="s">
        <v>4186</v>
      </c>
      <c r="E177" s="696" t="s">
        <v>4142</v>
      </c>
      <c r="F177" s="711">
        <v>1</v>
      </c>
      <c r="G177" s="711">
        <v>333</v>
      </c>
      <c r="H177" s="711">
        <v>1</v>
      </c>
      <c r="I177" s="711">
        <v>333</v>
      </c>
      <c r="J177" s="711"/>
      <c r="K177" s="711"/>
      <c r="L177" s="711"/>
      <c r="M177" s="711"/>
      <c r="N177" s="711"/>
      <c r="O177" s="711"/>
      <c r="P177" s="701"/>
      <c r="Q177" s="712"/>
    </row>
    <row r="178" spans="1:17" ht="14.4" customHeight="1" x14ac:dyDescent="0.3">
      <c r="A178" s="695" t="s">
        <v>4265</v>
      </c>
      <c r="B178" s="696" t="s">
        <v>4082</v>
      </c>
      <c r="C178" s="696" t="s">
        <v>4114</v>
      </c>
      <c r="D178" s="696" t="s">
        <v>4187</v>
      </c>
      <c r="E178" s="696" t="s">
        <v>4144</v>
      </c>
      <c r="F178" s="711">
        <v>1</v>
      </c>
      <c r="G178" s="711">
        <v>361</v>
      </c>
      <c r="H178" s="711">
        <v>1</v>
      </c>
      <c r="I178" s="711">
        <v>361</v>
      </c>
      <c r="J178" s="711"/>
      <c r="K178" s="711"/>
      <c r="L178" s="711"/>
      <c r="M178" s="711"/>
      <c r="N178" s="711"/>
      <c r="O178" s="711"/>
      <c r="P178" s="701"/>
      <c r="Q178" s="712"/>
    </row>
    <row r="179" spans="1:17" ht="14.4" customHeight="1" x14ac:dyDescent="0.3">
      <c r="A179" s="695" t="s">
        <v>4265</v>
      </c>
      <c r="B179" s="696" t="s">
        <v>4082</v>
      </c>
      <c r="C179" s="696" t="s">
        <v>4114</v>
      </c>
      <c r="D179" s="696" t="s">
        <v>4249</v>
      </c>
      <c r="E179" s="696" t="s">
        <v>4233</v>
      </c>
      <c r="F179" s="711">
        <v>49</v>
      </c>
      <c r="G179" s="711">
        <v>42091</v>
      </c>
      <c r="H179" s="711">
        <v>1</v>
      </c>
      <c r="I179" s="711">
        <v>859</v>
      </c>
      <c r="J179" s="711">
        <v>3</v>
      </c>
      <c r="K179" s="711">
        <v>2580</v>
      </c>
      <c r="L179" s="711">
        <v>6.1295763940034685E-2</v>
      </c>
      <c r="M179" s="711">
        <v>860</v>
      </c>
      <c r="N179" s="711"/>
      <c r="O179" s="711"/>
      <c r="P179" s="701"/>
      <c r="Q179" s="712"/>
    </row>
    <row r="180" spans="1:17" ht="14.4" customHeight="1" x14ac:dyDescent="0.3">
      <c r="A180" s="695" t="s">
        <v>4265</v>
      </c>
      <c r="B180" s="696" t="s">
        <v>4082</v>
      </c>
      <c r="C180" s="696" t="s">
        <v>4114</v>
      </c>
      <c r="D180" s="696" t="s">
        <v>4188</v>
      </c>
      <c r="E180" s="696" t="s">
        <v>4189</v>
      </c>
      <c r="F180" s="711">
        <v>23</v>
      </c>
      <c r="G180" s="711">
        <v>11937</v>
      </c>
      <c r="H180" s="711">
        <v>1</v>
      </c>
      <c r="I180" s="711">
        <v>519</v>
      </c>
      <c r="J180" s="711"/>
      <c r="K180" s="711"/>
      <c r="L180" s="711"/>
      <c r="M180" s="711"/>
      <c r="N180" s="711"/>
      <c r="O180" s="711"/>
      <c r="P180" s="701"/>
      <c r="Q180" s="712"/>
    </row>
    <row r="181" spans="1:17" ht="14.4" customHeight="1" x14ac:dyDescent="0.3">
      <c r="A181" s="695" t="s">
        <v>4265</v>
      </c>
      <c r="B181" s="696" t="s">
        <v>4082</v>
      </c>
      <c r="C181" s="696" t="s">
        <v>4114</v>
      </c>
      <c r="D181" s="696" t="s">
        <v>4259</v>
      </c>
      <c r="E181" s="696" t="s">
        <v>4189</v>
      </c>
      <c r="F181" s="711">
        <v>152</v>
      </c>
      <c r="G181" s="711">
        <v>121296</v>
      </c>
      <c r="H181" s="711">
        <v>1</v>
      </c>
      <c r="I181" s="711">
        <v>798</v>
      </c>
      <c r="J181" s="711">
        <v>122</v>
      </c>
      <c r="K181" s="711">
        <v>97722</v>
      </c>
      <c r="L181" s="711">
        <v>0.80564899089829833</v>
      </c>
      <c r="M181" s="711">
        <v>801</v>
      </c>
      <c r="N181" s="711">
        <v>134</v>
      </c>
      <c r="O181" s="711">
        <v>107554</v>
      </c>
      <c r="P181" s="701">
        <v>0.88670689882601239</v>
      </c>
      <c r="Q181" s="712">
        <v>802.64179104477614</v>
      </c>
    </row>
    <row r="182" spans="1:17" ht="14.4" customHeight="1" x14ac:dyDescent="0.3">
      <c r="A182" s="695" t="s">
        <v>4265</v>
      </c>
      <c r="B182" s="696" t="s">
        <v>4082</v>
      </c>
      <c r="C182" s="696" t="s">
        <v>4114</v>
      </c>
      <c r="D182" s="696" t="s">
        <v>4260</v>
      </c>
      <c r="E182" s="696" t="s">
        <v>4189</v>
      </c>
      <c r="F182" s="711">
        <v>57</v>
      </c>
      <c r="G182" s="711">
        <v>33402</v>
      </c>
      <c r="H182" s="711">
        <v>1</v>
      </c>
      <c r="I182" s="711">
        <v>586</v>
      </c>
      <c r="J182" s="711">
        <v>120</v>
      </c>
      <c r="K182" s="711">
        <v>70680</v>
      </c>
      <c r="L182" s="711">
        <v>2.1160409556313993</v>
      </c>
      <c r="M182" s="711">
        <v>589</v>
      </c>
      <c r="N182" s="711">
        <v>135</v>
      </c>
      <c r="O182" s="711">
        <v>79667</v>
      </c>
      <c r="P182" s="701">
        <v>2.3850967007963595</v>
      </c>
      <c r="Q182" s="712">
        <v>590.12592592592591</v>
      </c>
    </row>
    <row r="183" spans="1:17" ht="14.4" customHeight="1" x14ac:dyDescent="0.3">
      <c r="A183" s="695" t="s">
        <v>4265</v>
      </c>
      <c r="B183" s="696" t="s">
        <v>4082</v>
      </c>
      <c r="C183" s="696" t="s">
        <v>4114</v>
      </c>
      <c r="D183" s="696" t="s">
        <v>4268</v>
      </c>
      <c r="E183" s="696" t="s">
        <v>4269</v>
      </c>
      <c r="F183" s="711">
        <v>1</v>
      </c>
      <c r="G183" s="711">
        <v>1364</v>
      </c>
      <c r="H183" s="711">
        <v>1</v>
      </c>
      <c r="I183" s="711">
        <v>1364</v>
      </c>
      <c r="J183" s="711"/>
      <c r="K183" s="711"/>
      <c r="L183" s="711"/>
      <c r="M183" s="711"/>
      <c r="N183" s="711"/>
      <c r="O183" s="711"/>
      <c r="P183" s="701"/>
      <c r="Q183" s="712"/>
    </row>
    <row r="184" spans="1:17" ht="14.4" customHeight="1" x14ac:dyDescent="0.3">
      <c r="A184" s="695" t="s">
        <v>4265</v>
      </c>
      <c r="B184" s="696" t="s">
        <v>4082</v>
      </c>
      <c r="C184" s="696" t="s">
        <v>4114</v>
      </c>
      <c r="D184" s="696" t="s">
        <v>4262</v>
      </c>
      <c r="E184" s="696" t="s">
        <v>4189</v>
      </c>
      <c r="F184" s="711">
        <v>10</v>
      </c>
      <c r="G184" s="711">
        <v>8480</v>
      </c>
      <c r="H184" s="711">
        <v>1</v>
      </c>
      <c r="I184" s="711">
        <v>848</v>
      </c>
      <c r="J184" s="711">
        <v>6</v>
      </c>
      <c r="K184" s="711">
        <v>5106</v>
      </c>
      <c r="L184" s="711">
        <v>0.60212264150943395</v>
      </c>
      <c r="M184" s="711">
        <v>851</v>
      </c>
      <c r="N184" s="711"/>
      <c r="O184" s="711"/>
      <c r="P184" s="701"/>
      <c r="Q184" s="712"/>
    </row>
    <row r="185" spans="1:17" ht="14.4" customHeight="1" x14ac:dyDescent="0.3">
      <c r="A185" s="695" t="s">
        <v>4265</v>
      </c>
      <c r="B185" s="696" t="s">
        <v>4082</v>
      </c>
      <c r="C185" s="696" t="s">
        <v>4114</v>
      </c>
      <c r="D185" s="696" t="s">
        <v>4193</v>
      </c>
      <c r="E185" s="696" t="s">
        <v>4194</v>
      </c>
      <c r="F185" s="711">
        <v>1</v>
      </c>
      <c r="G185" s="711">
        <v>1039</v>
      </c>
      <c r="H185" s="711">
        <v>1</v>
      </c>
      <c r="I185" s="711">
        <v>1039</v>
      </c>
      <c r="J185" s="711">
        <v>1</v>
      </c>
      <c r="K185" s="711">
        <v>1043</v>
      </c>
      <c r="L185" s="711">
        <v>1.0038498556304138</v>
      </c>
      <c r="M185" s="711">
        <v>1043</v>
      </c>
      <c r="N185" s="711">
        <v>2</v>
      </c>
      <c r="O185" s="711">
        <v>2086</v>
      </c>
      <c r="P185" s="701">
        <v>2.0076997112608277</v>
      </c>
      <c r="Q185" s="712">
        <v>1043</v>
      </c>
    </row>
    <row r="186" spans="1:17" ht="14.4" customHeight="1" x14ac:dyDescent="0.3">
      <c r="A186" s="695" t="s">
        <v>4270</v>
      </c>
      <c r="B186" s="696" t="s">
        <v>4082</v>
      </c>
      <c r="C186" s="696" t="s">
        <v>4103</v>
      </c>
      <c r="D186" s="696" t="s">
        <v>4251</v>
      </c>
      <c r="E186" s="696" t="s">
        <v>4252</v>
      </c>
      <c r="F186" s="711">
        <v>3</v>
      </c>
      <c r="G186" s="711">
        <v>6930</v>
      </c>
      <c r="H186" s="711">
        <v>1</v>
      </c>
      <c r="I186" s="711">
        <v>2310</v>
      </c>
      <c r="J186" s="711">
        <v>3</v>
      </c>
      <c r="K186" s="711">
        <v>6930</v>
      </c>
      <c r="L186" s="711">
        <v>1</v>
      </c>
      <c r="M186" s="711">
        <v>2310</v>
      </c>
      <c r="N186" s="711">
        <v>1</v>
      </c>
      <c r="O186" s="711">
        <v>2310</v>
      </c>
      <c r="P186" s="701">
        <v>0.33333333333333331</v>
      </c>
      <c r="Q186" s="712">
        <v>2310</v>
      </c>
    </row>
    <row r="187" spans="1:17" ht="14.4" customHeight="1" x14ac:dyDescent="0.3">
      <c r="A187" s="695" t="s">
        <v>4270</v>
      </c>
      <c r="B187" s="696" t="s">
        <v>4082</v>
      </c>
      <c r="C187" s="696" t="s">
        <v>4103</v>
      </c>
      <c r="D187" s="696" t="s">
        <v>4253</v>
      </c>
      <c r="E187" s="696" t="s">
        <v>4254</v>
      </c>
      <c r="F187" s="711">
        <v>1</v>
      </c>
      <c r="G187" s="711">
        <v>2310</v>
      </c>
      <c r="H187" s="711">
        <v>1</v>
      </c>
      <c r="I187" s="711">
        <v>2310</v>
      </c>
      <c r="J187" s="711">
        <v>1</v>
      </c>
      <c r="K187" s="711">
        <v>2310</v>
      </c>
      <c r="L187" s="711">
        <v>1</v>
      </c>
      <c r="M187" s="711">
        <v>2310</v>
      </c>
      <c r="N187" s="711"/>
      <c r="O187" s="711"/>
      <c r="P187" s="701"/>
      <c r="Q187" s="712"/>
    </row>
    <row r="188" spans="1:17" ht="14.4" customHeight="1" x14ac:dyDescent="0.3">
      <c r="A188" s="695" t="s">
        <v>4270</v>
      </c>
      <c r="B188" s="696" t="s">
        <v>4082</v>
      </c>
      <c r="C188" s="696" t="s">
        <v>4103</v>
      </c>
      <c r="D188" s="696" t="s">
        <v>4228</v>
      </c>
      <c r="E188" s="696" t="s">
        <v>4229</v>
      </c>
      <c r="F188" s="711"/>
      <c r="G188" s="711"/>
      <c r="H188" s="711"/>
      <c r="I188" s="711"/>
      <c r="J188" s="711">
        <v>89</v>
      </c>
      <c r="K188" s="711">
        <v>80522.75</v>
      </c>
      <c r="L188" s="711"/>
      <c r="M188" s="711">
        <v>904.75</v>
      </c>
      <c r="N188" s="711">
        <v>385</v>
      </c>
      <c r="O188" s="711">
        <v>348328.75</v>
      </c>
      <c r="P188" s="701"/>
      <c r="Q188" s="712">
        <v>904.75</v>
      </c>
    </row>
    <row r="189" spans="1:17" ht="14.4" customHeight="1" x14ac:dyDescent="0.3">
      <c r="A189" s="695" t="s">
        <v>4270</v>
      </c>
      <c r="B189" s="696" t="s">
        <v>4082</v>
      </c>
      <c r="C189" s="696" t="s">
        <v>4103</v>
      </c>
      <c r="D189" s="696" t="s">
        <v>4106</v>
      </c>
      <c r="E189" s="696" t="s">
        <v>4107</v>
      </c>
      <c r="F189" s="711">
        <v>5</v>
      </c>
      <c r="G189" s="711">
        <v>1213.1999999999998</v>
      </c>
      <c r="H189" s="711">
        <v>1</v>
      </c>
      <c r="I189" s="711">
        <v>242.63999999999996</v>
      </c>
      <c r="J189" s="711">
        <v>5</v>
      </c>
      <c r="K189" s="711">
        <v>1213.1999999999998</v>
      </c>
      <c r="L189" s="711">
        <v>1</v>
      </c>
      <c r="M189" s="711">
        <v>242.63999999999996</v>
      </c>
      <c r="N189" s="711">
        <v>3</v>
      </c>
      <c r="O189" s="711">
        <v>727.92</v>
      </c>
      <c r="P189" s="701">
        <v>0.60000000000000009</v>
      </c>
      <c r="Q189" s="712">
        <v>242.64</v>
      </c>
    </row>
    <row r="190" spans="1:17" ht="14.4" customHeight="1" x14ac:dyDescent="0.3">
      <c r="A190" s="695" t="s">
        <v>4270</v>
      </c>
      <c r="B190" s="696" t="s">
        <v>4082</v>
      </c>
      <c r="C190" s="696" t="s">
        <v>4114</v>
      </c>
      <c r="D190" s="696" t="s">
        <v>4230</v>
      </c>
      <c r="E190" s="696" t="s">
        <v>4231</v>
      </c>
      <c r="F190" s="711">
        <v>13</v>
      </c>
      <c r="G190" s="711">
        <v>2405</v>
      </c>
      <c r="H190" s="711">
        <v>1</v>
      </c>
      <c r="I190" s="711">
        <v>185</v>
      </c>
      <c r="J190" s="711">
        <v>28</v>
      </c>
      <c r="K190" s="711">
        <v>5180</v>
      </c>
      <c r="L190" s="711">
        <v>2.1538461538461537</v>
      </c>
      <c r="M190" s="711">
        <v>185</v>
      </c>
      <c r="N190" s="711">
        <v>17</v>
      </c>
      <c r="O190" s="711">
        <v>3163</v>
      </c>
      <c r="P190" s="701">
        <v>1.3151767151767151</v>
      </c>
      <c r="Q190" s="712">
        <v>186.05882352941177</v>
      </c>
    </row>
    <row r="191" spans="1:17" ht="14.4" customHeight="1" x14ac:dyDescent="0.3">
      <c r="A191" s="695" t="s">
        <v>4270</v>
      </c>
      <c r="B191" s="696" t="s">
        <v>4082</v>
      </c>
      <c r="C191" s="696" t="s">
        <v>4114</v>
      </c>
      <c r="D191" s="696" t="s">
        <v>4266</v>
      </c>
      <c r="E191" s="696" t="s">
        <v>4267</v>
      </c>
      <c r="F191" s="711">
        <v>3</v>
      </c>
      <c r="G191" s="711">
        <v>3279</v>
      </c>
      <c r="H191" s="711">
        <v>1</v>
      </c>
      <c r="I191" s="711">
        <v>1093</v>
      </c>
      <c r="J191" s="711">
        <v>4</v>
      </c>
      <c r="K191" s="711">
        <v>4536</v>
      </c>
      <c r="L191" s="711">
        <v>1.3833485818847209</v>
      </c>
      <c r="M191" s="711">
        <v>1134</v>
      </c>
      <c r="N191" s="711">
        <v>5</v>
      </c>
      <c r="O191" s="711">
        <v>5670</v>
      </c>
      <c r="P191" s="701">
        <v>1.7291857273559013</v>
      </c>
      <c r="Q191" s="712">
        <v>1134</v>
      </c>
    </row>
    <row r="192" spans="1:17" ht="14.4" customHeight="1" x14ac:dyDescent="0.3">
      <c r="A192" s="695" t="s">
        <v>4270</v>
      </c>
      <c r="B192" s="696" t="s">
        <v>4082</v>
      </c>
      <c r="C192" s="696" t="s">
        <v>4114</v>
      </c>
      <c r="D192" s="696" t="s">
        <v>4119</v>
      </c>
      <c r="E192" s="696" t="s">
        <v>4120</v>
      </c>
      <c r="F192" s="711"/>
      <c r="G192" s="711"/>
      <c r="H192" s="711"/>
      <c r="I192" s="711"/>
      <c r="J192" s="711"/>
      <c r="K192" s="711"/>
      <c r="L192" s="711"/>
      <c r="M192" s="711"/>
      <c r="N192" s="711">
        <v>1</v>
      </c>
      <c r="O192" s="711">
        <v>35</v>
      </c>
      <c r="P192" s="701"/>
      <c r="Q192" s="712">
        <v>35</v>
      </c>
    </row>
    <row r="193" spans="1:17" ht="14.4" customHeight="1" x14ac:dyDescent="0.3">
      <c r="A193" s="695" t="s">
        <v>4270</v>
      </c>
      <c r="B193" s="696" t="s">
        <v>4082</v>
      </c>
      <c r="C193" s="696" t="s">
        <v>4114</v>
      </c>
      <c r="D193" s="696" t="s">
        <v>4125</v>
      </c>
      <c r="E193" s="696" t="s">
        <v>4078</v>
      </c>
      <c r="F193" s="711">
        <v>9</v>
      </c>
      <c r="G193" s="711">
        <v>1404</v>
      </c>
      <c r="H193" s="711">
        <v>1</v>
      </c>
      <c r="I193" s="711">
        <v>156</v>
      </c>
      <c r="J193" s="711"/>
      <c r="K193" s="711"/>
      <c r="L193" s="711"/>
      <c r="M193" s="711"/>
      <c r="N193" s="711"/>
      <c r="O193" s="711"/>
      <c r="P193" s="701"/>
      <c r="Q193" s="712"/>
    </row>
    <row r="194" spans="1:17" ht="14.4" customHeight="1" x14ac:dyDescent="0.3">
      <c r="A194" s="695" t="s">
        <v>4270</v>
      </c>
      <c r="B194" s="696" t="s">
        <v>4082</v>
      </c>
      <c r="C194" s="696" t="s">
        <v>4114</v>
      </c>
      <c r="D194" s="696" t="s">
        <v>4126</v>
      </c>
      <c r="E194" s="696" t="s">
        <v>4078</v>
      </c>
      <c r="F194" s="711">
        <v>88</v>
      </c>
      <c r="G194" s="711">
        <v>6864</v>
      </c>
      <c r="H194" s="711">
        <v>1</v>
      </c>
      <c r="I194" s="711">
        <v>78</v>
      </c>
      <c r="J194" s="711"/>
      <c r="K194" s="711"/>
      <c r="L194" s="711"/>
      <c r="M194" s="711"/>
      <c r="N194" s="711"/>
      <c r="O194" s="711"/>
      <c r="P194" s="701"/>
      <c r="Q194" s="712"/>
    </row>
    <row r="195" spans="1:17" ht="14.4" customHeight="1" x14ac:dyDescent="0.3">
      <c r="A195" s="695" t="s">
        <v>4270</v>
      </c>
      <c r="B195" s="696" t="s">
        <v>4082</v>
      </c>
      <c r="C195" s="696" t="s">
        <v>4114</v>
      </c>
      <c r="D195" s="696" t="s">
        <v>4127</v>
      </c>
      <c r="E195" s="696" t="s">
        <v>4128</v>
      </c>
      <c r="F195" s="711">
        <v>510</v>
      </c>
      <c r="G195" s="711">
        <v>117810</v>
      </c>
      <c r="H195" s="711">
        <v>1</v>
      </c>
      <c r="I195" s="711">
        <v>231</v>
      </c>
      <c r="J195" s="711">
        <v>513</v>
      </c>
      <c r="K195" s="711">
        <v>119016</v>
      </c>
      <c r="L195" s="711">
        <v>1.0102368220015279</v>
      </c>
      <c r="M195" s="711">
        <v>232</v>
      </c>
      <c r="N195" s="711">
        <v>923</v>
      </c>
      <c r="O195" s="711">
        <v>214932</v>
      </c>
      <c r="P195" s="701">
        <v>1.8243952126305067</v>
      </c>
      <c r="Q195" s="712">
        <v>232.86240520043336</v>
      </c>
    </row>
    <row r="196" spans="1:17" ht="14.4" customHeight="1" x14ac:dyDescent="0.3">
      <c r="A196" s="695" t="s">
        <v>4270</v>
      </c>
      <c r="B196" s="696" t="s">
        <v>4082</v>
      </c>
      <c r="C196" s="696" t="s">
        <v>4114</v>
      </c>
      <c r="D196" s="696" t="s">
        <v>4129</v>
      </c>
      <c r="E196" s="696" t="s">
        <v>4130</v>
      </c>
      <c r="F196" s="711">
        <v>204</v>
      </c>
      <c r="G196" s="711">
        <v>23664</v>
      </c>
      <c r="H196" s="711">
        <v>1</v>
      </c>
      <c r="I196" s="711">
        <v>116</v>
      </c>
      <c r="J196" s="711">
        <v>229</v>
      </c>
      <c r="K196" s="711">
        <v>26564</v>
      </c>
      <c r="L196" s="711">
        <v>1.1225490196078431</v>
      </c>
      <c r="M196" s="711">
        <v>116</v>
      </c>
      <c r="N196" s="711">
        <v>374</v>
      </c>
      <c r="O196" s="711">
        <v>43670</v>
      </c>
      <c r="P196" s="701">
        <v>1.845419202163624</v>
      </c>
      <c r="Q196" s="712">
        <v>116.76470588235294</v>
      </c>
    </row>
    <row r="197" spans="1:17" ht="14.4" customHeight="1" x14ac:dyDescent="0.3">
      <c r="A197" s="695" t="s">
        <v>4270</v>
      </c>
      <c r="B197" s="696" t="s">
        <v>4082</v>
      </c>
      <c r="C197" s="696" t="s">
        <v>4114</v>
      </c>
      <c r="D197" s="696" t="s">
        <v>4133</v>
      </c>
      <c r="E197" s="696" t="s">
        <v>4134</v>
      </c>
      <c r="F197" s="711">
        <v>2</v>
      </c>
      <c r="G197" s="711">
        <v>966</v>
      </c>
      <c r="H197" s="711">
        <v>1</v>
      </c>
      <c r="I197" s="711">
        <v>483</v>
      </c>
      <c r="J197" s="711"/>
      <c r="K197" s="711"/>
      <c r="L197" s="711"/>
      <c r="M197" s="711"/>
      <c r="N197" s="711">
        <v>5</v>
      </c>
      <c r="O197" s="711">
        <v>2426</v>
      </c>
      <c r="P197" s="701">
        <v>2.5113871635610767</v>
      </c>
      <c r="Q197" s="712">
        <v>485.2</v>
      </c>
    </row>
    <row r="198" spans="1:17" ht="14.4" customHeight="1" x14ac:dyDescent="0.3">
      <c r="A198" s="695" t="s">
        <v>4270</v>
      </c>
      <c r="B198" s="696" t="s">
        <v>4082</v>
      </c>
      <c r="C198" s="696" t="s">
        <v>4114</v>
      </c>
      <c r="D198" s="696" t="s">
        <v>4135</v>
      </c>
      <c r="E198" s="696" t="s">
        <v>4136</v>
      </c>
      <c r="F198" s="711">
        <v>3</v>
      </c>
      <c r="G198" s="711">
        <v>2028</v>
      </c>
      <c r="H198" s="711">
        <v>1</v>
      </c>
      <c r="I198" s="711">
        <v>676</v>
      </c>
      <c r="J198" s="711">
        <v>3</v>
      </c>
      <c r="K198" s="711">
        <v>2031</v>
      </c>
      <c r="L198" s="711">
        <v>1.0014792899408285</v>
      </c>
      <c r="M198" s="711">
        <v>677</v>
      </c>
      <c r="N198" s="711">
        <v>6</v>
      </c>
      <c r="O198" s="711">
        <v>4074</v>
      </c>
      <c r="P198" s="701">
        <v>2.0088757396449703</v>
      </c>
      <c r="Q198" s="712">
        <v>679</v>
      </c>
    </row>
    <row r="199" spans="1:17" ht="14.4" customHeight="1" x14ac:dyDescent="0.3">
      <c r="A199" s="695" t="s">
        <v>4270</v>
      </c>
      <c r="B199" s="696" t="s">
        <v>4082</v>
      </c>
      <c r="C199" s="696" t="s">
        <v>4114</v>
      </c>
      <c r="D199" s="696" t="s">
        <v>4139</v>
      </c>
      <c r="E199" s="696" t="s">
        <v>4134</v>
      </c>
      <c r="F199" s="711">
        <v>2</v>
      </c>
      <c r="G199" s="711">
        <v>1100</v>
      </c>
      <c r="H199" s="711">
        <v>1</v>
      </c>
      <c r="I199" s="711">
        <v>550</v>
      </c>
      <c r="J199" s="711">
        <v>2</v>
      </c>
      <c r="K199" s="711">
        <v>1106</v>
      </c>
      <c r="L199" s="711">
        <v>1.0054545454545454</v>
      </c>
      <c r="M199" s="711">
        <v>553</v>
      </c>
      <c r="N199" s="711">
        <v>11</v>
      </c>
      <c r="O199" s="711">
        <v>6083</v>
      </c>
      <c r="P199" s="701">
        <v>5.53</v>
      </c>
      <c r="Q199" s="712">
        <v>553</v>
      </c>
    </row>
    <row r="200" spans="1:17" ht="14.4" customHeight="1" x14ac:dyDescent="0.3">
      <c r="A200" s="695" t="s">
        <v>4270</v>
      </c>
      <c r="B200" s="696" t="s">
        <v>4082</v>
      </c>
      <c r="C200" s="696" t="s">
        <v>4114</v>
      </c>
      <c r="D200" s="696" t="s">
        <v>4140</v>
      </c>
      <c r="E200" s="696" t="s">
        <v>4136</v>
      </c>
      <c r="F200" s="711">
        <v>17</v>
      </c>
      <c r="G200" s="711">
        <v>12631</v>
      </c>
      <c r="H200" s="711">
        <v>1</v>
      </c>
      <c r="I200" s="711">
        <v>743</v>
      </c>
      <c r="J200" s="711">
        <v>22</v>
      </c>
      <c r="K200" s="711">
        <v>16412</v>
      </c>
      <c r="L200" s="711">
        <v>1.2993428865489669</v>
      </c>
      <c r="M200" s="711">
        <v>746</v>
      </c>
      <c r="N200" s="711">
        <v>19</v>
      </c>
      <c r="O200" s="711">
        <v>14214</v>
      </c>
      <c r="P200" s="701">
        <v>1.125326577468134</v>
      </c>
      <c r="Q200" s="712">
        <v>748.10526315789468</v>
      </c>
    </row>
    <row r="201" spans="1:17" ht="14.4" customHeight="1" x14ac:dyDescent="0.3">
      <c r="A201" s="695" t="s">
        <v>4270</v>
      </c>
      <c r="B201" s="696" t="s">
        <v>4082</v>
      </c>
      <c r="C201" s="696" t="s">
        <v>4114</v>
      </c>
      <c r="D201" s="696" t="s">
        <v>4232</v>
      </c>
      <c r="E201" s="696" t="s">
        <v>4233</v>
      </c>
      <c r="F201" s="711">
        <v>540</v>
      </c>
      <c r="G201" s="711">
        <v>432000</v>
      </c>
      <c r="H201" s="711">
        <v>1</v>
      </c>
      <c r="I201" s="711">
        <v>800</v>
      </c>
      <c r="J201" s="711">
        <v>901</v>
      </c>
      <c r="K201" s="711">
        <v>723503</v>
      </c>
      <c r="L201" s="711">
        <v>1.674775462962963</v>
      </c>
      <c r="M201" s="711">
        <v>803</v>
      </c>
      <c r="N201" s="711">
        <v>780</v>
      </c>
      <c r="O201" s="711">
        <v>627856</v>
      </c>
      <c r="P201" s="701">
        <v>1.4533703703703704</v>
      </c>
      <c r="Q201" s="712">
        <v>804.94358974358977</v>
      </c>
    </row>
    <row r="202" spans="1:17" ht="14.4" customHeight="1" x14ac:dyDescent="0.3">
      <c r="A202" s="695" t="s">
        <v>4270</v>
      </c>
      <c r="B202" s="696" t="s">
        <v>4082</v>
      </c>
      <c r="C202" s="696" t="s">
        <v>4114</v>
      </c>
      <c r="D202" s="696" t="s">
        <v>4141</v>
      </c>
      <c r="E202" s="696" t="s">
        <v>4142</v>
      </c>
      <c r="F202" s="711">
        <v>1</v>
      </c>
      <c r="G202" s="711">
        <v>435</v>
      </c>
      <c r="H202" s="711">
        <v>1</v>
      </c>
      <c r="I202" s="711">
        <v>435</v>
      </c>
      <c r="J202" s="711">
        <v>4</v>
      </c>
      <c r="K202" s="711">
        <v>1756</v>
      </c>
      <c r="L202" s="711">
        <v>4.0367816091954021</v>
      </c>
      <c r="M202" s="711">
        <v>439</v>
      </c>
      <c r="N202" s="711">
        <v>6</v>
      </c>
      <c r="O202" s="711">
        <v>2634</v>
      </c>
      <c r="P202" s="701">
        <v>6.0551724137931036</v>
      </c>
      <c r="Q202" s="712">
        <v>439</v>
      </c>
    </row>
    <row r="203" spans="1:17" ht="14.4" customHeight="1" x14ac:dyDescent="0.3">
      <c r="A203" s="695" t="s">
        <v>4270</v>
      </c>
      <c r="B203" s="696" t="s">
        <v>4082</v>
      </c>
      <c r="C203" s="696" t="s">
        <v>4114</v>
      </c>
      <c r="D203" s="696" t="s">
        <v>4143</v>
      </c>
      <c r="E203" s="696" t="s">
        <v>4144</v>
      </c>
      <c r="F203" s="711">
        <v>7</v>
      </c>
      <c r="G203" s="711">
        <v>2996</v>
      </c>
      <c r="H203" s="711">
        <v>1</v>
      </c>
      <c r="I203" s="711">
        <v>428</v>
      </c>
      <c r="J203" s="711">
        <v>5</v>
      </c>
      <c r="K203" s="711">
        <v>2155</v>
      </c>
      <c r="L203" s="711">
        <v>0.71929238985313748</v>
      </c>
      <c r="M203" s="711">
        <v>431</v>
      </c>
      <c r="N203" s="711">
        <v>2</v>
      </c>
      <c r="O203" s="711">
        <v>862</v>
      </c>
      <c r="P203" s="701">
        <v>0.28771695594125501</v>
      </c>
      <c r="Q203" s="712">
        <v>431</v>
      </c>
    </row>
    <row r="204" spans="1:17" ht="14.4" customHeight="1" x14ac:dyDescent="0.3">
      <c r="A204" s="695" t="s">
        <v>4270</v>
      </c>
      <c r="B204" s="696" t="s">
        <v>4082</v>
      </c>
      <c r="C204" s="696" t="s">
        <v>4114</v>
      </c>
      <c r="D204" s="696" t="s">
        <v>4255</v>
      </c>
      <c r="E204" s="696" t="s">
        <v>4181</v>
      </c>
      <c r="F204" s="711"/>
      <c r="G204" s="711"/>
      <c r="H204" s="711"/>
      <c r="I204" s="711"/>
      <c r="J204" s="711"/>
      <c r="K204" s="711"/>
      <c r="L204" s="711"/>
      <c r="M204" s="711"/>
      <c r="N204" s="711">
        <v>1</v>
      </c>
      <c r="O204" s="711">
        <v>705</v>
      </c>
      <c r="P204" s="701"/>
      <c r="Q204" s="712">
        <v>705</v>
      </c>
    </row>
    <row r="205" spans="1:17" ht="14.4" customHeight="1" x14ac:dyDescent="0.3">
      <c r="A205" s="695" t="s">
        <v>4270</v>
      </c>
      <c r="B205" s="696" t="s">
        <v>4082</v>
      </c>
      <c r="C205" s="696" t="s">
        <v>4114</v>
      </c>
      <c r="D205" s="696" t="s">
        <v>4145</v>
      </c>
      <c r="E205" s="696" t="s">
        <v>4146</v>
      </c>
      <c r="F205" s="711">
        <v>427</v>
      </c>
      <c r="G205" s="711">
        <v>87962</v>
      </c>
      <c r="H205" s="711">
        <v>1</v>
      </c>
      <c r="I205" s="711">
        <v>206</v>
      </c>
      <c r="J205" s="711">
        <v>435</v>
      </c>
      <c r="K205" s="711">
        <v>90045</v>
      </c>
      <c r="L205" s="711">
        <v>1.0236806802937632</v>
      </c>
      <c r="M205" s="711">
        <v>207</v>
      </c>
      <c r="N205" s="711">
        <v>506</v>
      </c>
      <c r="O205" s="711">
        <v>105168</v>
      </c>
      <c r="P205" s="701">
        <v>1.1956071940155977</v>
      </c>
      <c r="Q205" s="712">
        <v>207.84189723320159</v>
      </c>
    </row>
    <row r="206" spans="1:17" ht="14.4" customHeight="1" x14ac:dyDescent="0.3">
      <c r="A206" s="695" t="s">
        <v>4270</v>
      </c>
      <c r="B206" s="696" t="s">
        <v>4082</v>
      </c>
      <c r="C206" s="696" t="s">
        <v>4114</v>
      </c>
      <c r="D206" s="696" t="s">
        <v>4149</v>
      </c>
      <c r="E206" s="696" t="s">
        <v>4150</v>
      </c>
      <c r="F206" s="711">
        <v>1</v>
      </c>
      <c r="G206" s="711">
        <v>326</v>
      </c>
      <c r="H206" s="711">
        <v>1</v>
      </c>
      <c r="I206" s="711">
        <v>326</v>
      </c>
      <c r="J206" s="711"/>
      <c r="K206" s="711"/>
      <c r="L206" s="711"/>
      <c r="M206" s="711"/>
      <c r="N206" s="711"/>
      <c r="O206" s="711"/>
      <c r="P206" s="701"/>
      <c r="Q206" s="712"/>
    </row>
    <row r="207" spans="1:17" ht="14.4" customHeight="1" x14ac:dyDescent="0.3">
      <c r="A207" s="695" t="s">
        <v>4270</v>
      </c>
      <c r="B207" s="696" t="s">
        <v>4082</v>
      </c>
      <c r="C207" s="696" t="s">
        <v>4114</v>
      </c>
      <c r="D207" s="696" t="s">
        <v>4153</v>
      </c>
      <c r="E207" s="696" t="s">
        <v>4154</v>
      </c>
      <c r="F207" s="711">
        <v>3607</v>
      </c>
      <c r="G207" s="711">
        <v>292167</v>
      </c>
      <c r="H207" s="711">
        <v>1</v>
      </c>
      <c r="I207" s="711">
        <v>81</v>
      </c>
      <c r="J207" s="711">
        <v>3531</v>
      </c>
      <c r="K207" s="711">
        <v>289542</v>
      </c>
      <c r="L207" s="711">
        <v>0.9910154124182402</v>
      </c>
      <c r="M207" s="711">
        <v>82</v>
      </c>
      <c r="N207" s="711">
        <v>3822</v>
      </c>
      <c r="O207" s="711">
        <v>316564</v>
      </c>
      <c r="P207" s="701">
        <v>1.0835036126598829</v>
      </c>
      <c r="Q207" s="712">
        <v>82.826792255363685</v>
      </c>
    </row>
    <row r="208" spans="1:17" ht="14.4" customHeight="1" x14ac:dyDescent="0.3">
      <c r="A208" s="695" t="s">
        <v>4270</v>
      </c>
      <c r="B208" s="696" t="s">
        <v>4082</v>
      </c>
      <c r="C208" s="696" t="s">
        <v>4114</v>
      </c>
      <c r="D208" s="696" t="s">
        <v>4157</v>
      </c>
      <c r="E208" s="696" t="s">
        <v>4158</v>
      </c>
      <c r="F208" s="711">
        <v>1</v>
      </c>
      <c r="G208" s="711">
        <v>852</v>
      </c>
      <c r="H208" s="711">
        <v>1</v>
      </c>
      <c r="I208" s="711">
        <v>852</v>
      </c>
      <c r="J208" s="711"/>
      <c r="K208" s="711"/>
      <c r="L208" s="711"/>
      <c r="M208" s="711"/>
      <c r="N208" s="711"/>
      <c r="O208" s="711"/>
      <c r="P208" s="701"/>
      <c r="Q208" s="712"/>
    </row>
    <row r="209" spans="1:17" ht="14.4" customHeight="1" x14ac:dyDescent="0.3">
      <c r="A209" s="695" t="s">
        <v>4270</v>
      </c>
      <c r="B209" s="696" t="s">
        <v>4082</v>
      </c>
      <c r="C209" s="696" t="s">
        <v>4114</v>
      </c>
      <c r="D209" s="696" t="s">
        <v>4159</v>
      </c>
      <c r="E209" s="696" t="s">
        <v>4160</v>
      </c>
      <c r="F209" s="711">
        <v>1</v>
      </c>
      <c r="G209" s="711">
        <v>0</v>
      </c>
      <c r="H209" s="711"/>
      <c r="I209" s="711">
        <v>0</v>
      </c>
      <c r="J209" s="711">
        <v>4</v>
      </c>
      <c r="K209" s="711">
        <v>0</v>
      </c>
      <c r="L209" s="711"/>
      <c r="M209" s="711">
        <v>0</v>
      </c>
      <c r="N209" s="711"/>
      <c r="O209" s="711"/>
      <c r="P209" s="701"/>
      <c r="Q209" s="712"/>
    </row>
    <row r="210" spans="1:17" ht="14.4" customHeight="1" x14ac:dyDescent="0.3">
      <c r="A210" s="695" t="s">
        <v>4270</v>
      </c>
      <c r="B210" s="696" t="s">
        <v>4082</v>
      </c>
      <c r="C210" s="696" t="s">
        <v>4114</v>
      </c>
      <c r="D210" s="696" t="s">
        <v>4234</v>
      </c>
      <c r="E210" s="696" t="s">
        <v>4233</v>
      </c>
      <c r="F210" s="711">
        <v>2721</v>
      </c>
      <c r="G210" s="711">
        <v>2519646</v>
      </c>
      <c r="H210" s="711">
        <v>1</v>
      </c>
      <c r="I210" s="711">
        <v>926</v>
      </c>
      <c r="J210" s="711">
        <v>2315</v>
      </c>
      <c r="K210" s="711">
        <v>2150635</v>
      </c>
      <c r="L210" s="711">
        <v>0.85354649026093343</v>
      </c>
      <c r="M210" s="711">
        <v>929</v>
      </c>
      <c r="N210" s="711">
        <v>2672</v>
      </c>
      <c r="O210" s="711">
        <v>2486404</v>
      </c>
      <c r="P210" s="701">
        <v>0.986806876839048</v>
      </c>
      <c r="Q210" s="712">
        <v>930.5404191616766</v>
      </c>
    </row>
    <row r="211" spans="1:17" ht="14.4" customHeight="1" x14ac:dyDescent="0.3">
      <c r="A211" s="695" t="s">
        <v>4270</v>
      </c>
      <c r="B211" s="696" t="s">
        <v>4082</v>
      </c>
      <c r="C211" s="696" t="s">
        <v>4114</v>
      </c>
      <c r="D211" s="696" t="s">
        <v>4163</v>
      </c>
      <c r="E211" s="696" t="s">
        <v>4164</v>
      </c>
      <c r="F211" s="711">
        <v>24</v>
      </c>
      <c r="G211" s="711">
        <v>2664</v>
      </c>
      <c r="H211" s="711">
        <v>1</v>
      </c>
      <c r="I211" s="711">
        <v>111</v>
      </c>
      <c r="J211" s="711">
        <v>16</v>
      </c>
      <c r="K211" s="711">
        <v>1792</v>
      </c>
      <c r="L211" s="711">
        <v>0.67267267267267272</v>
      </c>
      <c r="M211" s="711">
        <v>112</v>
      </c>
      <c r="N211" s="711"/>
      <c r="O211" s="711"/>
      <c r="P211" s="701"/>
      <c r="Q211" s="712"/>
    </row>
    <row r="212" spans="1:17" ht="14.4" customHeight="1" x14ac:dyDescent="0.3">
      <c r="A212" s="695" t="s">
        <v>4270</v>
      </c>
      <c r="B212" s="696" t="s">
        <v>4082</v>
      </c>
      <c r="C212" s="696" t="s">
        <v>4114</v>
      </c>
      <c r="D212" s="696" t="s">
        <v>4235</v>
      </c>
      <c r="E212" s="696" t="s">
        <v>4233</v>
      </c>
      <c r="F212" s="711">
        <v>145</v>
      </c>
      <c r="G212" s="711">
        <v>106285</v>
      </c>
      <c r="H212" s="711">
        <v>1</v>
      </c>
      <c r="I212" s="711">
        <v>733</v>
      </c>
      <c r="J212" s="711">
        <v>110</v>
      </c>
      <c r="K212" s="711">
        <v>80740</v>
      </c>
      <c r="L212" s="711">
        <v>0.75965564284706211</v>
      </c>
      <c r="M212" s="711">
        <v>734</v>
      </c>
      <c r="N212" s="711">
        <v>139</v>
      </c>
      <c r="O212" s="711">
        <v>102222</v>
      </c>
      <c r="P212" s="701">
        <v>0.96177259255774572</v>
      </c>
      <c r="Q212" s="712">
        <v>735.41007194244605</v>
      </c>
    </row>
    <row r="213" spans="1:17" ht="14.4" customHeight="1" x14ac:dyDescent="0.3">
      <c r="A213" s="695" t="s">
        <v>4270</v>
      </c>
      <c r="B213" s="696" t="s">
        <v>4082</v>
      </c>
      <c r="C213" s="696" t="s">
        <v>4114</v>
      </c>
      <c r="D213" s="696" t="s">
        <v>4243</v>
      </c>
      <c r="E213" s="696" t="s">
        <v>4244</v>
      </c>
      <c r="F213" s="711">
        <v>1</v>
      </c>
      <c r="G213" s="711">
        <v>58</v>
      </c>
      <c r="H213" s="711">
        <v>1</v>
      </c>
      <c r="I213" s="711">
        <v>58</v>
      </c>
      <c r="J213" s="711"/>
      <c r="K213" s="711"/>
      <c r="L213" s="711"/>
      <c r="M213" s="711"/>
      <c r="N213" s="711"/>
      <c r="O213" s="711"/>
      <c r="P213" s="701"/>
      <c r="Q213" s="712"/>
    </row>
    <row r="214" spans="1:17" ht="14.4" customHeight="1" x14ac:dyDescent="0.3">
      <c r="A214" s="695" t="s">
        <v>4270</v>
      </c>
      <c r="B214" s="696" t="s">
        <v>4082</v>
      </c>
      <c r="C214" s="696" t="s">
        <v>4114</v>
      </c>
      <c r="D214" s="696" t="s">
        <v>4236</v>
      </c>
      <c r="E214" s="696" t="s">
        <v>4237</v>
      </c>
      <c r="F214" s="711">
        <v>271</v>
      </c>
      <c r="G214" s="711">
        <v>141733</v>
      </c>
      <c r="H214" s="711">
        <v>1</v>
      </c>
      <c r="I214" s="711">
        <v>523</v>
      </c>
      <c r="J214" s="711">
        <v>242</v>
      </c>
      <c r="K214" s="711">
        <v>126808</v>
      </c>
      <c r="L214" s="711">
        <v>0.89469636570170674</v>
      </c>
      <c r="M214" s="711">
        <v>524</v>
      </c>
      <c r="N214" s="711">
        <v>198</v>
      </c>
      <c r="O214" s="711">
        <v>103846</v>
      </c>
      <c r="P214" s="701">
        <v>0.73268751807976973</v>
      </c>
      <c r="Q214" s="712">
        <v>524.47474747474746</v>
      </c>
    </row>
    <row r="215" spans="1:17" ht="14.4" customHeight="1" x14ac:dyDescent="0.3">
      <c r="A215" s="695" t="s">
        <v>4270</v>
      </c>
      <c r="B215" s="696" t="s">
        <v>4082</v>
      </c>
      <c r="C215" s="696" t="s">
        <v>4114</v>
      </c>
      <c r="D215" s="696" t="s">
        <v>4171</v>
      </c>
      <c r="E215" s="696" t="s">
        <v>4172</v>
      </c>
      <c r="F215" s="711">
        <v>1</v>
      </c>
      <c r="G215" s="711">
        <v>295</v>
      </c>
      <c r="H215" s="711">
        <v>1</v>
      </c>
      <c r="I215" s="711">
        <v>295</v>
      </c>
      <c r="J215" s="711">
        <v>7</v>
      </c>
      <c r="K215" s="711">
        <v>2072</v>
      </c>
      <c r="L215" s="711">
        <v>7.0237288135593223</v>
      </c>
      <c r="M215" s="711">
        <v>296</v>
      </c>
      <c r="N215" s="711">
        <v>1</v>
      </c>
      <c r="O215" s="711">
        <v>296</v>
      </c>
      <c r="P215" s="701">
        <v>1.0033898305084745</v>
      </c>
      <c r="Q215" s="712">
        <v>296</v>
      </c>
    </row>
    <row r="216" spans="1:17" ht="14.4" customHeight="1" x14ac:dyDescent="0.3">
      <c r="A216" s="695" t="s">
        <v>4270</v>
      </c>
      <c r="B216" s="696" t="s">
        <v>4082</v>
      </c>
      <c r="C216" s="696" t="s">
        <v>4114</v>
      </c>
      <c r="D216" s="696" t="s">
        <v>4238</v>
      </c>
      <c r="E216" s="696" t="s">
        <v>4146</v>
      </c>
      <c r="F216" s="711">
        <v>35</v>
      </c>
      <c r="G216" s="711">
        <v>6020</v>
      </c>
      <c r="H216" s="711">
        <v>1</v>
      </c>
      <c r="I216" s="711">
        <v>172</v>
      </c>
      <c r="J216" s="711">
        <v>25</v>
      </c>
      <c r="K216" s="711">
        <v>4300</v>
      </c>
      <c r="L216" s="711">
        <v>0.7142857142857143</v>
      </c>
      <c r="M216" s="711">
        <v>172</v>
      </c>
      <c r="N216" s="711">
        <v>26</v>
      </c>
      <c r="O216" s="711">
        <v>4512</v>
      </c>
      <c r="P216" s="701">
        <v>0.74950166112956806</v>
      </c>
      <c r="Q216" s="712">
        <v>173.53846153846155</v>
      </c>
    </row>
    <row r="217" spans="1:17" ht="14.4" customHeight="1" x14ac:dyDescent="0.3">
      <c r="A217" s="695" t="s">
        <v>4270</v>
      </c>
      <c r="B217" s="696" t="s">
        <v>4082</v>
      </c>
      <c r="C217" s="696" t="s">
        <v>4114</v>
      </c>
      <c r="D217" s="696" t="s">
        <v>4175</v>
      </c>
      <c r="E217" s="696" t="s">
        <v>4172</v>
      </c>
      <c r="F217" s="711">
        <v>8</v>
      </c>
      <c r="G217" s="711">
        <v>2896</v>
      </c>
      <c r="H217" s="711">
        <v>1</v>
      </c>
      <c r="I217" s="711">
        <v>362</v>
      </c>
      <c r="J217" s="711">
        <v>3</v>
      </c>
      <c r="K217" s="711">
        <v>1095</v>
      </c>
      <c r="L217" s="711">
        <v>0.37810773480662985</v>
      </c>
      <c r="M217" s="711">
        <v>365</v>
      </c>
      <c r="N217" s="711">
        <v>6</v>
      </c>
      <c r="O217" s="711">
        <v>2202</v>
      </c>
      <c r="P217" s="701">
        <v>0.76035911602209949</v>
      </c>
      <c r="Q217" s="712">
        <v>367</v>
      </c>
    </row>
    <row r="218" spans="1:17" ht="14.4" customHeight="1" x14ac:dyDescent="0.3">
      <c r="A218" s="695" t="s">
        <v>4270</v>
      </c>
      <c r="B218" s="696" t="s">
        <v>4082</v>
      </c>
      <c r="C218" s="696" t="s">
        <v>4114</v>
      </c>
      <c r="D218" s="696" t="s">
        <v>4178</v>
      </c>
      <c r="E218" s="696" t="s">
        <v>4179</v>
      </c>
      <c r="F218" s="711">
        <v>4</v>
      </c>
      <c r="G218" s="711">
        <v>2528</v>
      </c>
      <c r="H218" s="711">
        <v>1</v>
      </c>
      <c r="I218" s="711">
        <v>632</v>
      </c>
      <c r="J218" s="711">
        <v>1</v>
      </c>
      <c r="K218" s="711">
        <v>635</v>
      </c>
      <c r="L218" s="711">
        <v>0.2511867088607595</v>
      </c>
      <c r="M218" s="711">
        <v>635</v>
      </c>
      <c r="N218" s="711"/>
      <c r="O218" s="711"/>
      <c r="P218" s="701"/>
      <c r="Q218" s="712"/>
    </row>
    <row r="219" spans="1:17" ht="14.4" customHeight="1" x14ac:dyDescent="0.3">
      <c r="A219" s="695" t="s">
        <v>4270</v>
      </c>
      <c r="B219" s="696" t="s">
        <v>4082</v>
      </c>
      <c r="C219" s="696" t="s">
        <v>4114</v>
      </c>
      <c r="D219" s="696" t="s">
        <v>4182</v>
      </c>
      <c r="E219" s="696" t="s">
        <v>4183</v>
      </c>
      <c r="F219" s="711"/>
      <c r="G219" s="711"/>
      <c r="H219" s="711"/>
      <c r="I219" s="711"/>
      <c r="J219" s="711">
        <v>1</v>
      </c>
      <c r="K219" s="711">
        <v>269</v>
      </c>
      <c r="L219" s="711"/>
      <c r="M219" s="711">
        <v>269</v>
      </c>
      <c r="N219" s="711"/>
      <c r="O219" s="711"/>
      <c r="P219" s="701"/>
      <c r="Q219" s="712"/>
    </row>
    <row r="220" spans="1:17" ht="14.4" customHeight="1" x14ac:dyDescent="0.3">
      <c r="A220" s="695" t="s">
        <v>4270</v>
      </c>
      <c r="B220" s="696" t="s">
        <v>4082</v>
      </c>
      <c r="C220" s="696" t="s">
        <v>4114</v>
      </c>
      <c r="D220" s="696" t="s">
        <v>4257</v>
      </c>
      <c r="E220" s="696" t="s">
        <v>4258</v>
      </c>
      <c r="F220" s="711">
        <v>36</v>
      </c>
      <c r="G220" s="711">
        <v>3600</v>
      </c>
      <c r="H220" s="711">
        <v>1</v>
      </c>
      <c r="I220" s="711">
        <v>100</v>
      </c>
      <c r="J220" s="711">
        <v>35</v>
      </c>
      <c r="K220" s="711">
        <v>3500</v>
      </c>
      <c r="L220" s="711">
        <v>0.97222222222222221</v>
      </c>
      <c r="M220" s="711">
        <v>100</v>
      </c>
      <c r="N220" s="711">
        <v>41</v>
      </c>
      <c r="O220" s="711">
        <v>4100</v>
      </c>
      <c r="P220" s="701">
        <v>1.1388888888888888</v>
      </c>
      <c r="Q220" s="712">
        <v>100</v>
      </c>
    </row>
    <row r="221" spans="1:17" ht="14.4" customHeight="1" x14ac:dyDescent="0.3">
      <c r="A221" s="695" t="s">
        <v>4270</v>
      </c>
      <c r="B221" s="696" t="s">
        <v>4082</v>
      </c>
      <c r="C221" s="696" t="s">
        <v>4114</v>
      </c>
      <c r="D221" s="696" t="s">
        <v>4239</v>
      </c>
      <c r="E221" s="696" t="s">
        <v>4233</v>
      </c>
      <c r="F221" s="711">
        <v>144</v>
      </c>
      <c r="G221" s="711">
        <v>145296</v>
      </c>
      <c r="H221" s="711">
        <v>1</v>
      </c>
      <c r="I221" s="711">
        <v>1009</v>
      </c>
      <c r="J221" s="711">
        <v>184</v>
      </c>
      <c r="K221" s="711">
        <v>186208</v>
      </c>
      <c r="L221" s="711">
        <v>1.2815769188415373</v>
      </c>
      <c r="M221" s="711">
        <v>1012</v>
      </c>
      <c r="N221" s="711">
        <v>196</v>
      </c>
      <c r="O221" s="711">
        <v>198556</v>
      </c>
      <c r="P221" s="701">
        <v>1.3665620526373747</v>
      </c>
      <c r="Q221" s="712">
        <v>1013.0408163265306</v>
      </c>
    </row>
    <row r="222" spans="1:17" ht="14.4" customHeight="1" x14ac:dyDescent="0.3">
      <c r="A222" s="695" t="s">
        <v>4270</v>
      </c>
      <c r="B222" s="696" t="s">
        <v>4082</v>
      </c>
      <c r="C222" s="696" t="s">
        <v>4114</v>
      </c>
      <c r="D222" s="696" t="s">
        <v>4186</v>
      </c>
      <c r="E222" s="696" t="s">
        <v>4142</v>
      </c>
      <c r="F222" s="711"/>
      <c r="G222" s="711"/>
      <c r="H222" s="711"/>
      <c r="I222" s="711"/>
      <c r="J222" s="711"/>
      <c r="K222" s="711"/>
      <c r="L222" s="711"/>
      <c r="M222" s="711"/>
      <c r="N222" s="711">
        <v>1</v>
      </c>
      <c r="O222" s="711">
        <v>335</v>
      </c>
      <c r="P222" s="701"/>
      <c r="Q222" s="712">
        <v>335</v>
      </c>
    </row>
    <row r="223" spans="1:17" ht="14.4" customHeight="1" x14ac:dyDescent="0.3">
      <c r="A223" s="695" t="s">
        <v>4270</v>
      </c>
      <c r="B223" s="696" t="s">
        <v>4082</v>
      </c>
      <c r="C223" s="696" t="s">
        <v>4114</v>
      </c>
      <c r="D223" s="696" t="s">
        <v>4187</v>
      </c>
      <c r="E223" s="696" t="s">
        <v>4144</v>
      </c>
      <c r="F223" s="711"/>
      <c r="G223" s="711"/>
      <c r="H223" s="711"/>
      <c r="I223" s="711"/>
      <c r="J223" s="711">
        <v>1</v>
      </c>
      <c r="K223" s="711">
        <v>362</v>
      </c>
      <c r="L223" s="711"/>
      <c r="M223" s="711">
        <v>362</v>
      </c>
      <c r="N223" s="711"/>
      <c r="O223" s="711"/>
      <c r="P223" s="701"/>
      <c r="Q223" s="712"/>
    </row>
    <row r="224" spans="1:17" ht="14.4" customHeight="1" x14ac:dyDescent="0.3">
      <c r="A224" s="695" t="s">
        <v>4270</v>
      </c>
      <c r="B224" s="696" t="s">
        <v>4082</v>
      </c>
      <c r="C224" s="696" t="s">
        <v>4114</v>
      </c>
      <c r="D224" s="696" t="s">
        <v>4249</v>
      </c>
      <c r="E224" s="696" t="s">
        <v>4233</v>
      </c>
      <c r="F224" s="711">
        <v>60</v>
      </c>
      <c r="G224" s="711">
        <v>51540</v>
      </c>
      <c r="H224" s="711">
        <v>1</v>
      </c>
      <c r="I224" s="711">
        <v>859</v>
      </c>
      <c r="J224" s="711">
        <v>22</v>
      </c>
      <c r="K224" s="711">
        <v>18920</v>
      </c>
      <c r="L224" s="711">
        <v>0.36709351959642994</v>
      </c>
      <c r="M224" s="711">
        <v>860</v>
      </c>
      <c r="N224" s="711">
        <v>51</v>
      </c>
      <c r="O224" s="711">
        <v>43906</v>
      </c>
      <c r="P224" s="701">
        <v>0.85188203337213819</v>
      </c>
      <c r="Q224" s="712">
        <v>860.9019607843137</v>
      </c>
    </row>
    <row r="225" spans="1:17" ht="14.4" customHeight="1" x14ac:dyDescent="0.3">
      <c r="A225" s="695" t="s">
        <v>4270</v>
      </c>
      <c r="B225" s="696" t="s">
        <v>4082</v>
      </c>
      <c r="C225" s="696" t="s">
        <v>4114</v>
      </c>
      <c r="D225" s="696" t="s">
        <v>4259</v>
      </c>
      <c r="E225" s="696" t="s">
        <v>4189</v>
      </c>
      <c r="F225" s="711">
        <v>7</v>
      </c>
      <c r="G225" s="711">
        <v>5586</v>
      </c>
      <c r="H225" s="711">
        <v>1</v>
      </c>
      <c r="I225" s="711">
        <v>798</v>
      </c>
      <c r="J225" s="711"/>
      <c r="K225" s="711"/>
      <c r="L225" s="711"/>
      <c r="M225" s="711"/>
      <c r="N225" s="711"/>
      <c r="O225" s="711"/>
      <c r="P225" s="701"/>
      <c r="Q225" s="712"/>
    </row>
    <row r="226" spans="1:17" ht="14.4" customHeight="1" x14ac:dyDescent="0.3">
      <c r="A226" s="695" t="s">
        <v>4270</v>
      </c>
      <c r="B226" s="696" t="s">
        <v>4082</v>
      </c>
      <c r="C226" s="696" t="s">
        <v>4114</v>
      </c>
      <c r="D226" s="696" t="s">
        <v>4260</v>
      </c>
      <c r="E226" s="696" t="s">
        <v>4189</v>
      </c>
      <c r="F226" s="711"/>
      <c r="G226" s="711"/>
      <c r="H226" s="711"/>
      <c r="I226" s="711"/>
      <c r="J226" s="711"/>
      <c r="K226" s="711"/>
      <c r="L226" s="711"/>
      <c r="M226" s="711"/>
      <c r="N226" s="711">
        <v>3</v>
      </c>
      <c r="O226" s="711">
        <v>1767</v>
      </c>
      <c r="P226" s="701"/>
      <c r="Q226" s="712">
        <v>589</v>
      </c>
    </row>
    <row r="227" spans="1:17" ht="14.4" customHeight="1" x14ac:dyDescent="0.3">
      <c r="A227" s="695" t="s">
        <v>4270</v>
      </c>
      <c r="B227" s="696" t="s">
        <v>4082</v>
      </c>
      <c r="C227" s="696" t="s">
        <v>4114</v>
      </c>
      <c r="D227" s="696" t="s">
        <v>4261</v>
      </c>
      <c r="E227" s="696" t="s">
        <v>4233</v>
      </c>
      <c r="F227" s="711">
        <v>6</v>
      </c>
      <c r="G227" s="711">
        <v>5652</v>
      </c>
      <c r="H227" s="711">
        <v>1</v>
      </c>
      <c r="I227" s="711">
        <v>942</v>
      </c>
      <c r="J227" s="711"/>
      <c r="K227" s="711"/>
      <c r="L227" s="711"/>
      <c r="M227" s="711"/>
      <c r="N227" s="711"/>
      <c r="O227" s="711"/>
      <c r="P227" s="701"/>
      <c r="Q227" s="712"/>
    </row>
    <row r="228" spans="1:17" ht="14.4" customHeight="1" x14ac:dyDescent="0.3">
      <c r="A228" s="695" t="s">
        <v>4270</v>
      </c>
      <c r="B228" s="696" t="s">
        <v>4082</v>
      </c>
      <c r="C228" s="696" t="s">
        <v>4114</v>
      </c>
      <c r="D228" s="696" t="s">
        <v>4245</v>
      </c>
      <c r="E228" s="696" t="s">
        <v>4241</v>
      </c>
      <c r="F228" s="711">
        <v>2</v>
      </c>
      <c r="G228" s="711">
        <v>1208</v>
      </c>
      <c r="H228" s="711">
        <v>1</v>
      </c>
      <c r="I228" s="711">
        <v>604</v>
      </c>
      <c r="J228" s="711"/>
      <c r="K228" s="711"/>
      <c r="L228" s="711"/>
      <c r="M228" s="711"/>
      <c r="N228" s="711"/>
      <c r="O228" s="711"/>
      <c r="P228" s="701"/>
      <c r="Q228" s="712"/>
    </row>
    <row r="229" spans="1:17" ht="14.4" customHeight="1" x14ac:dyDescent="0.3">
      <c r="A229" s="695" t="s">
        <v>4270</v>
      </c>
      <c r="B229" s="696" t="s">
        <v>4082</v>
      </c>
      <c r="C229" s="696" t="s">
        <v>4114</v>
      </c>
      <c r="D229" s="696" t="s">
        <v>4240</v>
      </c>
      <c r="E229" s="696" t="s">
        <v>4241</v>
      </c>
      <c r="F229" s="711">
        <v>2</v>
      </c>
      <c r="G229" s="711">
        <v>1036</v>
      </c>
      <c r="H229" s="711">
        <v>1</v>
      </c>
      <c r="I229" s="711">
        <v>518</v>
      </c>
      <c r="J229" s="711"/>
      <c r="K229" s="711"/>
      <c r="L229" s="711"/>
      <c r="M229" s="711"/>
      <c r="N229" s="711"/>
      <c r="O229" s="711"/>
      <c r="P229" s="701"/>
      <c r="Q229" s="712"/>
    </row>
    <row r="230" spans="1:17" ht="14.4" customHeight="1" x14ac:dyDescent="0.3">
      <c r="A230" s="695" t="s">
        <v>4270</v>
      </c>
      <c r="B230" s="696" t="s">
        <v>4082</v>
      </c>
      <c r="C230" s="696" t="s">
        <v>4114</v>
      </c>
      <c r="D230" s="696" t="s">
        <v>4268</v>
      </c>
      <c r="E230" s="696" t="s">
        <v>4269</v>
      </c>
      <c r="F230" s="711">
        <v>1</v>
      </c>
      <c r="G230" s="711">
        <v>1364</v>
      </c>
      <c r="H230" s="711">
        <v>1</v>
      </c>
      <c r="I230" s="711">
        <v>1364</v>
      </c>
      <c r="J230" s="711"/>
      <c r="K230" s="711"/>
      <c r="L230" s="711"/>
      <c r="M230" s="711"/>
      <c r="N230" s="711"/>
      <c r="O230" s="711"/>
      <c r="P230" s="701"/>
      <c r="Q230" s="712"/>
    </row>
    <row r="231" spans="1:17" ht="14.4" customHeight="1" x14ac:dyDescent="0.3">
      <c r="A231" s="695" t="s">
        <v>545</v>
      </c>
      <c r="B231" s="696" t="s">
        <v>4271</v>
      </c>
      <c r="C231" s="696" t="s">
        <v>4114</v>
      </c>
      <c r="D231" s="696" t="s">
        <v>4272</v>
      </c>
      <c r="E231" s="696" t="s">
        <v>4273</v>
      </c>
      <c r="F231" s="711"/>
      <c r="G231" s="711"/>
      <c r="H231" s="711"/>
      <c r="I231" s="711"/>
      <c r="J231" s="711"/>
      <c r="K231" s="711"/>
      <c r="L231" s="711"/>
      <c r="M231" s="711"/>
      <c r="N231" s="711">
        <v>1</v>
      </c>
      <c r="O231" s="711">
        <v>1592</v>
      </c>
      <c r="P231" s="701"/>
      <c r="Q231" s="712">
        <v>1592</v>
      </c>
    </row>
    <row r="232" spans="1:17" ht="14.4" customHeight="1" x14ac:dyDescent="0.3">
      <c r="A232" s="695" t="s">
        <v>545</v>
      </c>
      <c r="B232" s="696" t="s">
        <v>4271</v>
      </c>
      <c r="C232" s="696" t="s">
        <v>4114</v>
      </c>
      <c r="D232" s="696" t="s">
        <v>4274</v>
      </c>
      <c r="E232" s="696" t="s">
        <v>4275</v>
      </c>
      <c r="F232" s="711">
        <v>3</v>
      </c>
      <c r="G232" s="711">
        <v>8013</v>
      </c>
      <c r="H232" s="711">
        <v>1</v>
      </c>
      <c r="I232" s="711">
        <v>2671</v>
      </c>
      <c r="J232" s="711">
        <v>1</v>
      </c>
      <c r="K232" s="711">
        <v>2678</v>
      </c>
      <c r="L232" s="711">
        <v>0.33420691376513167</v>
      </c>
      <c r="M232" s="711">
        <v>2678</v>
      </c>
      <c r="N232" s="711">
        <v>4</v>
      </c>
      <c r="O232" s="711">
        <v>10754</v>
      </c>
      <c r="P232" s="701">
        <v>1.3420691376513165</v>
      </c>
      <c r="Q232" s="712">
        <v>2688.5</v>
      </c>
    </row>
    <row r="233" spans="1:17" ht="14.4" customHeight="1" x14ac:dyDescent="0.3">
      <c r="A233" s="695" t="s">
        <v>545</v>
      </c>
      <c r="B233" s="696" t="s">
        <v>4271</v>
      </c>
      <c r="C233" s="696" t="s">
        <v>4114</v>
      </c>
      <c r="D233" s="696" t="s">
        <v>4276</v>
      </c>
      <c r="E233" s="696" t="s">
        <v>4277</v>
      </c>
      <c r="F233" s="711">
        <v>1</v>
      </c>
      <c r="G233" s="711">
        <v>5920</v>
      </c>
      <c r="H233" s="711">
        <v>1</v>
      </c>
      <c r="I233" s="711">
        <v>5920</v>
      </c>
      <c r="J233" s="711">
        <v>1</v>
      </c>
      <c r="K233" s="711">
        <v>5940</v>
      </c>
      <c r="L233" s="711">
        <v>1.0033783783783783</v>
      </c>
      <c r="M233" s="711">
        <v>5940</v>
      </c>
      <c r="N233" s="711">
        <v>1</v>
      </c>
      <c r="O233" s="711">
        <v>5940</v>
      </c>
      <c r="P233" s="701">
        <v>1.0033783783783783</v>
      </c>
      <c r="Q233" s="712">
        <v>5940</v>
      </c>
    </row>
    <row r="234" spans="1:17" ht="14.4" customHeight="1" x14ac:dyDescent="0.3">
      <c r="A234" s="695" t="s">
        <v>545</v>
      </c>
      <c r="B234" s="696" t="s">
        <v>4271</v>
      </c>
      <c r="C234" s="696" t="s">
        <v>4114</v>
      </c>
      <c r="D234" s="696" t="s">
        <v>4278</v>
      </c>
      <c r="E234" s="696" t="s">
        <v>4279</v>
      </c>
      <c r="F234" s="711">
        <v>2</v>
      </c>
      <c r="G234" s="711">
        <v>4092</v>
      </c>
      <c r="H234" s="711">
        <v>1</v>
      </c>
      <c r="I234" s="711">
        <v>2046</v>
      </c>
      <c r="J234" s="711">
        <v>3</v>
      </c>
      <c r="K234" s="711">
        <v>6159</v>
      </c>
      <c r="L234" s="711">
        <v>1.5051319648093842</v>
      </c>
      <c r="M234" s="711">
        <v>2053</v>
      </c>
      <c r="N234" s="711"/>
      <c r="O234" s="711"/>
      <c r="P234" s="701"/>
      <c r="Q234" s="712"/>
    </row>
    <row r="235" spans="1:17" ht="14.4" customHeight="1" x14ac:dyDescent="0.3">
      <c r="A235" s="695" t="s">
        <v>545</v>
      </c>
      <c r="B235" s="696" t="s">
        <v>4271</v>
      </c>
      <c r="C235" s="696" t="s">
        <v>4114</v>
      </c>
      <c r="D235" s="696" t="s">
        <v>4280</v>
      </c>
      <c r="E235" s="696" t="s">
        <v>4281</v>
      </c>
      <c r="F235" s="711">
        <v>1</v>
      </c>
      <c r="G235" s="711">
        <v>2215</v>
      </c>
      <c r="H235" s="711">
        <v>1</v>
      </c>
      <c r="I235" s="711">
        <v>2215</v>
      </c>
      <c r="J235" s="711"/>
      <c r="K235" s="711"/>
      <c r="L235" s="711"/>
      <c r="M235" s="711"/>
      <c r="N235" s="711">
        <v>3</v>
      </c>
      <c r="O235" s="711">
        <v>6708</v>
      </c>
      <c r="P235" s="701">
        <v>3.0284424379232506</v>
      </c>
      <c r="Q235" s="712">
        <v>2236</v>
      </c>
    </row>
    <row r="236" spans="1:17" ht="14.4" customHeight="1" x14ac:dyDescent="0.3">
      <c r="A236" s="695" t="s">
        <v>545</v>
      </c>
      <c r="B236" s="696" t="s">
        <v>4271</v>
      </c>
      <c r="C236" s="696" t="s">
        <v>4114</v>
      </c>
      <c r="D236" s="696" t="s">
        <v>4282</v>
      </c>
      <c r="E236" s="696" t="s">
        <v>4283</v>
      </c>
      <c r="F236" s="711"/>
      <c r="G236" s="711"/>
      <c r="H236" s="711"/>
      <c r="I236" s="711"/>
      <c r="J236" s="711">
        <v>1</v>
      </c>
      <c r="K236" s="711">
        <v>90</v>
      </c>
      <c r="L236" s="711"/>
      <c r="M236" s="711">
        <v>90</v>
      </c>
      <c r="N236" s="711"/>
      <c r="O236" s="711"/>
      <c r="P236" s="701"/>
      <c r="Q236" s="712"/>
    </row>
    <row r="237" spans="1:17" ht="14.4" customHeight="1" x14ac:dyDescent="0.3">
      <c r="A237" s="695" t="s">
        <v>545</v>
      </c>
      <c r="B237" s="696" t="s">
        <v>4271</v>
      </c>
      <c r="C237" s="696" t="s">
        <v>4114</v>
      </c>
      <c r="D237" s="696" t="s">
        <v>4284</v>
      </c>
      <c r="E237" s="696" t="s">
        <v>4285</v>
      </c>
      <c r="F237" s="711"/>
      <c r="G237" s="711"/>
      <c r="H237" s="711"/>
      <c r="I237" s="711"/>
      <c r="J237" s="711"/>
      <c r="K237" s="711"/>
      <c r="L237" s="711"/>
      <c r="M237" s="711"/>
      <c r="N237" s="711">
        <v>1</v>
      </c>
      <c r="O237" s="711">
        <v>4891</v>
      </c>
      <c r="P237" s="701"/>
      <c r="Q237" s="712">
        <v>4891</v>
      </c>
    </row>
    <row r="238" spans="1:17" ht="14.4" customHeight="1" x14ac:dyDescent="0.3">
      <c r="A238" s="695" t="s">
        <v>545</v>
      </c>
      <c r="B238" s="696" t="s">
        <v>4271</v>
      </c>
      <c r="C238" s="696" t="s">
        <v>4114</v>
      </c>
      <c r="D238" s="696" t="s">
        <v>4286</v>
      </c>
      <c r="E238" s="696" t="s">
        <v>4287</v>
      </c>
      <c r="F238" s="711"/>
      <c r="G238" s="711"/>
      <c r="H238" s="711"/>
      <c r="I238" s="711"/>
      <c r="J238" s="711"/>
      <c r="K238" s="711"/>
      <c r="L238" s="711"/>
      <c r="M238" s="711"/>
      <c r="N238" s="711">
        <v>1</v>
      </c>
      <c r="O238" s="711">
        <v>9477</v>
      </c>
      <c r="P238" s="701"/>
      <c r="Q238" s="712">
        <v>9477</v>
      </c>
    </row>
    <row r="239" spans="1:17" ht="14.4" customHeight="1" x14ac:dyDescent="0.3">
      <c r="A239" s="695" t="s">
        <v>545</v>
      </c>
      <c r="B239" s="696" t="s">
        <v>4271</v>
      </c>
      <c r="C239" s="696" t="s">
        <v>4114</v>
      </c>
      <c r="D239" s="696" t="s">
        <v>4288</v>
      </c>
      <c r="E239" s="696" t="s">
        <v>4289</v>
      </c>
      <c r="F239" s="711">
        <v>3</v>
      </c>
      <c r="G239" s="711">
        <v>2400</v>
      </c>
      <c r="H239" s="711">
        <v>1</v>
      </c>
      <c r="I239" s="711">
        <v>800</v>
      </c>
      <c r="J239" s="711">
        <v>3</v>
      </c>
      <c r="K239" s="711">
        <v>2418</v>
      </c>
      <c r="L239" s="711">
        <v>1.0075000000000001</v>
      </c>
      <c r="M239" s="711">
        <v>806</v>
      </c>
      <c r="N239" s="711">
        <v>2</v>
      </c>
      <c r="O239" s="711">
        <v>1630</v>
      </c>
      <c r="P239" s="701">
        <v>0.6791666666666667</v>
      </c>
      <c r="Q239" s="712">
        <v>815</v>
      </c>
    </row>
    <row r="240" spans="1:17" ht="14.4" customHeight="1" x14ac:dyDescent="0.3">
      <c r="A240" s="695" t="s">
        <v>545</v>
      </c>
      <c r="B240" s="696" t="s">
        <v>4271</v>
      </c>
      <c r="C240" s="696" t="s">
        <v>4114</v>
      </c>
      <c r="D240" s="696" t="s">
        <v>4290</v>
      </c>
      <c r="E240" s="696" t="s">
        <v>4291</v>
      </c>
      <c r="F240" s="711"/>
      <c r="G240" s="711"/>
      <c r="H240" s="711"/>
      <c r="I240" s="711"/>
      <c r="J240" s="711">
        <v>1</v>
      </c>
      <c r="K240" s="711">
        <v>0</v>
      </c>
      <c r="L240" s="711"/>
      <c r="M240" s="711">
        <v>0</v>
      </c>
      <c r="N240" s="711"/>
      <c r="O240" s="711"/>
      <c r="P240" s="701"/>
      <c r="Q240" s="712"/>
    </row>
    <row r="241" spans="1:17" ht="14.4" customHeight="1" x14ac:dyDescent="0.3">
      <c r="A241" s="695" t="s">
        <v>545</v>
      </c>
      <c r="B241" s="696" t="s">
        <v>4271</v>
      </c>
      <c r="C241" s="696" t="s">
        <v>4114</v>
      </c>
      <c r="D241" s="696" t="s">
        <v>4292</v>
      </c>
      <c r="E241" s="696" t="s">
        <v>4293</v>
      </c>
      <c r="F241" s="711"/>
      <c r="G241" s="711"/>
      <c r="H241" s="711"/>
      <c r="I241" s="711"/>
      <c r="J241" s="711">
        <v>3</v>
      </c>
      <c r="K241" s="711">
        <v>0</v>
      </c>
      <c r="L241" s="711"/>
      <c r="M241" s="711">
        <v>0</v>
      </c>
      <c r="N241" s="711">
        <v>7</v>
      </c>
      <c r="O241" s="711">
        <v>0</v>
      </c>
      <c r="P241" s="701"/>
      <c r="Q241" s="712">
        <v>0</v>
      </c>
    </row>
    <row r="242" spans="1:17" ht="14.4" customHeight="1" x14ac:dyDescent="0.3">
      <c r="A242" s="695" t="s">
        <v>545</v>
      </c>
      <c r="B242" s="696" t="s">
        <v>4271</v>
      </c>
      <c r="C242" s="696" t="s">
        <v>4114</v>
      </c>
      <c r="D242" s="696" t="s">
        <v>4294</v>
      </c>
      <c r="E242" s="696" t="s">
        <v>4295</v>
      </c>
      <c r="F242" s="711"/>
      <c r="G242" s="711"/>
      <c r="H242" s="711"/>
      <c r="I242" s="711"/>
      <c r="J242" s="711">
        <v>1</v>
      </c>
      <c r="K242" s="711">
        <v>0</v>
      </c>
      <c r="L242" s="711"/>
      <c r="M242" s="711">
        <v>0</v>
      </c>
      <c r="N242" s="711">
        <v>1</v>
      </c>
      <c r="O242" s="711">
        <v>0</v>
      </c>
      <c r="P242" s="701"/>
      <c r="Q242" s="712">
        <v>0</v>
      </c>
    </row>
    <row r="243" spans="1:17" ht="14.4" customHeight="1" x14ac:dyDescent="0.3">
      <c r="A243" s="695" t="s">
        <v>545</v>
      </c>
      <c r="B243" s="696" t="s">
        <v>4271</v>
      </c>
      <c r="C243" s="696" t="s">
        <v>4114</v>
      </c>
      <c r="D243" s="696" t="s">
        <v>4296</v>
      </c>
      <c r="E243" s="696" t="s">
        <v>4297</v>
      </c>
      <c r="F243" s="711"/>
      <c r="G243" s="711"/>
      <c r="H243" s="711"/>
      <c r="I243" s="711"/>
      <c r="J243" s="711"/>
      <c r="K243" s="711"/>
      <c r="L243" s="711"/>
      <c r="M243" s="711"/>
      <c r="N243" s="711">
        <v>1</v>
      </c>
      <c r="O243" s="711">
        <v>0</v>
      </c>
      <c r="P243" s="701"/>
      <c r="Q243" s="712">
        <v>0</v>
      </c>
    </row>
    <row r="244" spans="1:17" ht="14.4" customHeight="1" x14ac:dyDescent="0.3">
      <c r="A244" s="695" t="s">
        <v>545</v>
      </c>
      <c r="B244" s="696" t="s">
        <v>4271</v>
      </c>
      <c r="C244" s="696" t="s">
        <v>4114</v>
      </c>
      <c r="D244" s="696" t="s">
        <v>4298</v>
      </c>
      <c r="E244" s="696" t="s">
        <v>4299</v>
      </c>
      <c r="F244" s="711"/>
      <c r="G244" s="711"/>
      <c r="H244" s="711"/>
      <c r="I244" s="711"/>
      <c r="J244" s="711"/>
      <c r="K244" s="711"/>
      <c r="L244" s="711"/>
      <c r="M244" s="711"/>
      <c r="N244" s="711">
        <v>1</v>
      </c>
      <c r="O244" s="711">
        <v>0</v>
      </c>
      <c r="P244" s="701"/>
      <c r="Q244" s="712">
        <v>0</v>
      </c>
    </row>
    <row r="245" spans="1:17" ht="14.4" customHeight="1" x14ac:dyDescent="0.3">
      <c r="A245" s="695" t="s">
        <v>545</v>
      </c>
      <c r="B245" s="696" t="s">
        <v>4271</v>
      </c>
      <c r="C245" s="696" t="s">
        <v>4114</v>
      </c>
      <c r="D245" s="696" t="s">
        <v>4300</v>
      </c>
      <c r="E245" s="696" t="s">
        <v>4301</v>
      </c>
      <c r="F245" s="711"/>
      <c r="G245" s="711"/>
      <c r="H245" s="711"/>
      <c r="I245" s="711"/>
      <c r="J245" s="711">
        <v>1</v>
      </c>
      <c r="K245" s="711">
        <v>0</v>
      </c>
      <c r="L245" s="711"/>
      <c r="M245" s="711">
        <v>0</v>
      </c>
      <c r="N245" s="711">
        <v>1</v>
      </c>
      <c r="O245" s="711">
        <v>0</v>
      </c>
      <c r="P245" s="701"/>
      <c r="Q245" s="712">
        <v>0</v>
      </c>
    </row>
    <row r="246" spans="1:17" ht="14.4" customHeight="1" x14ac:dyDescent="0.3">
      <c r="A246" s="695" t="s">
        <v>545</v>
      </c>
      <c r="B246" s="696" t="s">
        <v>4271</v>
      </c>
      <c r="C246" s="696" t="s">
        <v>4114</v>
      </c>
      <c r="D246" s="696" t="s">
        <v>4302</v>
      </c>
      <c r="E246" s="696" t="s">
        <v>4303</v>
      </c>
      <c r="F246" s="711"/>
      <c r="G246" s="711"/>
      <c r="H246" s="711"/>
      <c r="I246" s="711"/>
      <c r="J246" s="711"/>
      <c r="K246" s="711"/>
      <c r="L246" s="711"/>
      <c r="M246" s="711"/>
      <c r="N246" s="711">
        <v>1</v>
      </c>
      <c r="O246" s="711">
        <v>0</v>
      </c>
      <c r="P246" s="701"/>
      <c r="Q246" s="712">
        <v>0</v>
      </c>
    </row>
    <row r="247" spans="1:17" ht="14.4" customHeight="1" x14ac:dyDescent="0.3">
      <c r="A247" s="695" t="s">
        <v>545</v>
      </c>
      <c r="B247" s="696" t="s">
        <v>4271</v>
      </c>
      <c r="C247" s="696" t="s">
        <v>4114</v>
      </c>
      <c r="D247" s="696" t="s">
        <v>4304</v>
      </c>
      <c r="E247" s="696" t="s">
        <v>4305</v>
      </c>
      <c r="F247" s="711"/>
      <c r="G247" s="711"/>
      <c r="H247" s="711"/>
      <c r="I247" s="711"/>
      <c r="J247" s="711">
        <v>1</v>
      </c>
      <c r="K247" s="711">
        <v>0</v>
      </c>
      <c r="L247" s="711"/>
      <c r="M247" s="711">
        <v>0</v>
      </c>
      <c r="N247" s="711"/>
      <c r="O247" s="711"/>
      <c r="P247" s="701"/>
      <c r="Q247" s="712"/>
    </row>
    <row r="248" spans="1:17" ht="14.4" customHeight="1" x14ac:dyDescent="0.3">
      <c r="A248" s="695" t="s">
        <v>545</v>
      </c>
      <c r="B248" s="696" t="s">
        <v>4271</v>
      </c>
      <c r="C248" s="696" t="s">
        <v>4114</v>
      </c>
      <c r="D248" s="696" t="s">
        <v>4306</v>
      </c>
      <c r="E248" s="696" t="s">
        <v>4307</v>
      </c>
      <c r="F248" s="711"/>
      <c r="G248" s="711"/>
      <c r="H248" s="711"/>
      <c r="I248" s="711"/>
      <c r="J248" s="711"/>
      <c r="K248" s="711"/>
      <c r="L248" s="711"/>
      <c r="M248" s="711"/>
      <c r="N248" s="711">
        <v>1</v>
      </c>
      <c r="O248" s="711">
        <v>0</v>
      </c>
      <c r="P248" s="701"/>
      <c r="Q248" s="712">
        <v>0</v>
      </c>
    </row>
    <row r="249" spans="1:17" ht="14.4" customHeight="1" x14ac:dyDescent="0.3">
      <c r="A249" s="695" t="s">
        <v>545</v>
      </c>
      <c r="B249" s="696" t="s">
        <v>4271</v>
      </c>
      <c r="C249" s="696" t="s">
        <v>4114</v>
      </c>
      <c r="D249" s="696" t="s">
        <v>4308</v>
      </c>
      <c r="E249" s="696" t="s">
        <v>4309</v>
      </c>
      <c r="F249" s="711"/>
      <c r="G249" s="711"/>
      <c r="H249" s="711"/>
      <c r="I249" s="711"/>
      <c r="J249" s="711"/>
      <c r="K249" s="711"/>
      <c r="L249" s="711"/>
      <c r="M249" s="711"/>
      <c r="N249" s="711">
        <v>1</v>
      </c>
      <c r="O249" s="711">
        <v>0</v>
      </c>
      <c r="P249" s="701"/>
      <c r="Q249" s="712">
        <v>0</v>
      </c>
    </row>
    <row r="250" spans="1:17" ht="14.4" customHeight="1" x14ac:dyDescent="0.3">
      <c r="A250" s="695" t="s">
        <v>545</v>
      </c>
      <c r="B250" s="696" t="s">
        <v>4271</v>
      </c>
      <c r="C250" s="696" t="s">
        <v>4114</v>
      </c>
      <c r="D250" s="696" t="s">
        <v>4310</v>
      </c>
      <c r="E250" s="696" t="s">
        <v>4311</v>
      </c>
      <c r="F250" s="711"/>
      <c r="G250" s="711"/>
      <c r="H250" s="711"/>
      <c r="I250" s="711"/>
      <c r="J250" s="711">
        <v>1</v>
      </c>
      <c r="K250" s="711">
        <v>0</v>
      </c>
      <c r="L250" s="711"/>
      <c r="M250" s="711">
        <v>0</v>
      </c>
      <c r="N250" s="711"/>
      <c r="O250" s="711"/>
      <c r="P250" s="701"/>
      <c r="Q250" s="712"/>
    </row>
    <row r="251" spans="1:17" ht="14.4" customHeight="1" x14ac:dyDescent="0.3">
      <c r="A251" s="695" t="s">
        <v>545</v>
      </c>
      <c r="B251" s="696" t="s">
        <v>4271</v>
      </c>
      <c r="C251" s="696" t="s">
        <v>4114</v>
      </c>
      <c r="D251" s="696" t="s">
        <v>4312</v>
      </c>
      <c r="E251" s="696" t="s">
        <v>4313</v>
      </c>
      <c r="F251" s="711"/>
      <c r="G251" s="711"/>
      <c r="H251" s="711"/>
      <c r="I251" s="711"/>
      <c r="J251" s="711"/>
      <c r="K251" s="711"/>
      <c r="L251" s="711"/>
      <c r="M251" s="711"/>
      <c r="N251" s="711">
        <v>1</v>
      </c>
      <c r="O251" s="711">
        <v>0</v>
      </c>
      <c r="P251" s="701"/>
      <c r="Q251" s="712">
        <v>0</v>
      </c>
    </row>
    <row r="252" spans="1:17" ht="14.4" customHeight="1" x14ac:dyDescent="0.3">
      <c r="A252" s="695" t="s">
        <v>545</v>
      </c>
      <c r="B252" s="696" t="s">
        <v>4271</v>
      </c>
      <c r="C252" s="696" t="s">
        <v>4114</v>
      </c>
      <c r="D252" s="696" t="s">
        <v>4314</v>
      </c>
      <c r="E252" s="696" t="s">
        <v>4315</v>
      </c>
      <c r="F252" s="711"/>
      <c r="G252" s="711"/>
      <c r="H252" s="711"/>
      <c r="I252" s="711"/>
      <c r="J252" s="711"/>
      <c r="K252" s="711"/>
      <c r="L252" s="711"/>
      <c r="M252" s="711"/>
      <c r="N252" s="711">
        <v>1</v>
      </c>
      <c r="O252" s="711">
        <v>0</v>
      </c>
      <c r="P252" s="701"/>
      <c r="Q252" s="712">
        <v>0</v>
      </c>
    </row>
    <row r="253" spans="1:17" ht="14.4" customHeight="1" x14ac:dyDescent="0.3">
      <c r="A253" s="695" t="s">
        <v>545</v>
      </c>
      <c r="B253" s="696" t="s">
        <v>4271</v>
      </c>
      <c r="C253" s="696" t="s">
        <v>4114</v>
      </c>
      <c r="D253" s="696" t="s">
        <v>4316</v>
      </c>
      <c r="E253" s="696" t="s">
        <v>4317</v>
      </c>
      <c r="F253" s="711"/>
      <c r="G253" s="711"/>
      <c r="H253" s="711"/>
      <c r="I253" s="711"/>
      <c r="J253" s="711">
        <v>1</v>
      </c>
      <c r="K253" s="711">
        <v>0</v>
      </c>
      <c r="L253" s="711"/>
      <c r="M253" s="711">
        <v>0</v>
      </c>
      <c r="N253" s="711"/>
      <c r="O253" s="711"/>
      <c r="P253" s="701"/>
      <c r="Q253" s="712"/>
    </row>
    <row r="254" spans="1:17" ht="14.4" customHeight="1" x14ac:dyDescent="0.3">
      <c r="A254" s="695" t="s">
        <v>545</v>
      </c>
      <c r="B254" s="696" t="s">
        <v>4271</v>
      </c>
      <c r="C254" s="696" t="s">
        <v>4114</v>
      </c>
      <c r="D254" s="696" t="s">
        <v>4318</v>
      </c>
      <c r="E254" s="696" t="s">
        <v>4319</v>
      </c>
      <c r="F254" s="711"/>
      <c r="G254" s="711"/>
      <c r="H254" s="711"/>
      <c r="I254" s="711"/>
      <c r="J254" s="711">
        <v>1</v>
      </c>
      <c r="K254" s="711">
        <v>0</v>
      </c>
      <c r="L254" s="711"/>
      <c r="M254" s="711">
        <v>0</v>
      </c>
      <c r="N254" s="711"/>
      <c r="O254" s="711"/>
      <c r="P254" s="701"/>
      <c r="Q254" s="712"/>
    </row>
    <row r="255" spans="1:17" ht="14.4" customHeight="1" x14ac:dyDescent="0.3">
      <c r="A255" s="695" t="s">
        <v>545</v>
      </c>
      <c r="B255" s="696" t="s">
        <v>4271</v>
      </c>
      <c r="C255" s="696" t="s">
        <v>4114</v>
      </c>
      <c r="D255" s="696" t="s">
        <v>4320</v>
      </c>
      <c r="E255" s="696" t="s">
        <v>4321</v>
      </c>
      <c r="F255" s="711"/>
      <c r="G255" s="711"/>
      <c r="H255" s="711"/>
      <c r="I255" s="711"/>
      <c r="J255" s="711"/>
      <c r="K255" s="711"/>
      <c r="L255" s="711"/>
      <c r="M255" s="711"/>
      <c r="N255" s="711">
        <v>1</v>
      </c>
      <c r="O255" s="711">
        <v>0</v>
      </c>
      <c r="P255" s="701"/>
      <c r="Q255" s="712">
        <v>0</v>
      </c>
    </row>
    <row r="256" spans="1:17" ht="14.4" customHeight="1" x14ac:dyDescent="0.3">
      <c r="A256" s="695" t="s">
        <v>545</v>
      </c>
      <c r="B256" s="696" t="s">
        <v>4271</v>
      </c>
      <c r="C256" s="696" t="s">
        <v>4114</v>
      </c>
      <c r="D256" s="696" t="s">
        <v>4322</v>
      </c>
      <c r="E256" s="696" t="s">
        <v>4323</v>
      </c>
      <c r="F256" s="711"/>
      <c r="G256" s="711"/>
      <c r="H256" s="711"/>
      <c r="I256" s="711"/>
      <c r="J256" s="711">
        <v>3</v>
      </c>
      <c r="K256" s="711">
        <v>0</v>
      </c>
      <c r="L256" s="711"/>
      <c r="M256" s="711">
        <v>0</v>
      </c>
      <c r="N256" s="711">
        <v>7</v>
      </c>
      <c r="O256" s="711">
        <v>0</v>
      </c>
      <c r="P256" s="701"/>
      <c r="Q256" s="712">
        <v>0</v>
      </c>
    </row>
    <row r="257" spans="1:17" ht="14.4" customHeight="1" x14ac:dyDescent="0.3">
      <c r="A257" s="695" t="s">
        <v>545</v>
      </c>
      <c r="B257" s="696" t="s">
        <v>4271</v>
      </c>
      <c r="C257" s="696" t="s">
        <v>4114</v>
      </c>
      <c r="D257" s="696" t="s">
        <v>4324</v>
      </c>
      <c r="E257" s="696" t="s">
        <v>4325</v>
      </c>
      <c r="F257" s="711">
        <v>1</v>
      </c>
      <c r="G257" s="711">
        <v>505</v>
      </c>
      <c r="H257" s="711">
        <v>1</v>
      </c>
      <c r="I257" s="711">
        <v>505</v>
      </c>
      <c r="J257" s="711"/>
      <c r="K257" s="711"/>
      <c r="L257" s="711"/>
      <c r="M257" s="711"/>
      <c r="N257" s="711"/>
      <c r="O257" s="711"/>
      <c r="P257" s="701"/>
      <c r="Q257" s="712"/>
    </row>
    <row r="258" spans="1:17" ht="14.4" customHeight="1" x14ac:dyDescent="0.3">
      <c r="A258" s="695" t="s">
        <v>545</v>
      </c>
      <c r="B258" s="696" t="s">
        <v>4271</v>
      </c>
      <c r="C258" s="696" t="s">
        <v>4114</v>
      </c>
      <c r="D258" s="696" t="s">
        <v>4326</v>
      </c>
      <c r="E258" s="696" t="s">
        <v>4327</v>
      </c>
      <c r="F258" s="711">
        <v>1</v>
      </c>
      <c r="G258" s="711">
        <v>2693</v>
      </c>
      <c r="H258" s="711">
        <v>1</v>
      </c>
      <c r="I258" s="711">
        <v>2693</v>
      </c>
      <c r="J258" s="711"/>
      <c r="K258" s="711"/>
      <c r="L258" s="711"/>
      <c r="M258" s="711"/>
      <c r="N258" s="711"/>
      <c r="O258" s="711"/>
      <c r="P258" s="701"/>
      <c r="Q258" s="712"/>
    </row>
    <row r="259" spans="1:17" ht="14.4" customHeight="1" x14ac:dyDescent="0.3">
      <c r="A259" s="695" t="s">
        <v>545</v>
      </c>
      <c r="B259" s="696" t="s">
        <v>4271</v>
      </c>
      <c r="C259" s="696" t="s">
        <v>4114</v>
      </c>
      <c r="D259" s="696" t="s">
        <v>4328</v>
      </c>
      <c r="E259" s="696" t="s">
        <v>4329</v>
      </c>
      <c r="F259" s="711"/>
      <c r="G259" s="711"/>
      <c r="H259" s="711"/>
      <c r="I259" s="711"/>
      <c r="J259" s="711">
        <v>2</v>
      </c>
      <c r="K259" s="711">
        <v>1600</v>
      </c>
      <c r="L259" s="711"/>
      <c r="M259" s="711">
        <v>800</v>
      </c>
      <c r="N259" s="711">
        <v>1</v>
      </c>
      <c r="O259" s="711">
        <v>800</v>
      </c>
      <c r="P259" s="701"/>
      <c r="Q259" s="712">
        <v>800</v>
      </c>
    </row>
    <row r="260" spans="1:17" ht="14.4" customHeight="1" x14ac:dyDescent="0.3">
      <c r="A260" s="695" t="s">
        <v>545</v>
      </c>
      <c r="B260" s="696" t="s">
        <v>4271</v>
      </c>
      <c r="C260" s="696" t="s">
        <v>4114</v>
      </c>
      <c r="D260" s="696" t="s">
        <v>4330</v>
      </c>
      <c r="E260" s="696" t="s">
        <v>4331</v>
      </c>
      <c r="F260" s="711"/>
      <c r="G260" s="711"/>
      <c r="H260" s="711"/>
      <c r="I260" s="711"/>
      <c r="J260" s="711">
        <v>1</v>
      </c>
      <c r="K260" s="711">
        <v>6077</v>
      </c>
      <c r="L260" s="711"/>
      <c r="M260" s="711">
        <v>6077</v>
      </c>
      <c r="N260" s="711"/>
      <c r="O260" s="711"/>
      <c r="P260" s="701"/>
      <c r="Q260" s="712"/>
    </row>
    <row r="261" spans="1:17" ht="14.4" customHeight="1" x14ac:dyDescent="0.3">
      <c r="A261" s="695" t="s">
        <v>545</v>
      </c>
      <c r="B261" s="696" t="s">
        <v>4271</v>
      </c>
      <c r="C261" s="696" t="s">
        <v>4114</v>
      </c>
      <c r="D261" s="696" t="s">
        <v>4332</v>
      </c>
      <c r="E261" s="696" t="s">
        <v>4333</v>
      </c>
      <c r="F261" s="711">
        <v>3</v>
      </c>
      <c r="G261" s="711">
        <v>27000</v>
      </c>
      <c r="H261" s="711">
        <v>1</v>
      </c>
      <c r="I261" s="711">
        <v>9000</v>
      </c>
      <c r="J261" s="711"/>
      <c r="K261" s="711"/>
      <c r="L261" s="711"/>
      <c r="M261" s="711"/>
      <c r="N261" s="711">
        <v>1</v>
      </c>
      <c r="O261" s="711">
        <v>9096</v>
      </c>
      <c r="P261" s="701">
        <v>0.3368888888888889</v>
      </c>
      <c r="Q261" s="712">
        <v>9096</v>
      </c>
    </row>
    <row r="262" spans="1:17" ht="14.4" customHeight="1" x14ac:dyDescent="0.3">
      <c r="A262" s="695" t="s">
        <v>545</v>
      </c>
      <c r="B262" s="696" t="s">
        <v>4271</v>
      </c>
      <c r="C262" s="696" t="s">
        <v>4114</v>
      </c>
      <c r="D262" s="696" t="s">
        <v>4334</v>
      </c>
      <c r="E262" s="696" t="s">
        <v>4335</v>
      </c>
      <c r="F262" s="711"/>
      <c r="G262" s="711"/>
      <c r="H262" s="711"/>
      <c r="I262" s="711"/>
      <c r="J262" s="711"/>
      <c r="K262" s="711"/>
      <c r="L262" s="711"/>
      <c r="M262" s="711"/>
      <c r="N262" s="711">
        <v>2</v>
      </c>
      <c r="O262" s="711">
        <v>1700</v>
      </c>
      <c r="P262" s="701"/>
      <c r="Q262" s="712">
        <v>850</v>
      </c>
    </row>
    <row r="263" spans="1:17" ht="14.4" customHeight="1" x14ac:dyDescent="0.3">
      <c r="A263" s="695" t="s">
        <v>545</v>
      </c>
      <c r="B263" s="696" t="s">
        <v>4271</v>
      </c>
      <c r="C263" s="696" t="s">
        <v>4114</v>
      </c>
      <c r="D263" s="696" t="s">
        <v>4336</v>
      </c>
      <c r="E263" s="696" t="s">
        <v>4337</v>
      </c>
      <c r="F263" s="711"/>
      <c r="G263" s="711"/>
      <c r="H263" s="711"/>
      <c r="I263" s="711"/>
      <c r="J263" s="711"/>
      <c r="K263" s="711"/>
      <c r="L263" s="711"/>
      <c r="M263" s="711"/>
      <c r="N263" s="711">
        <v>1</v>
      </c>
      <c r="O263" s="711">
        <v>0</v>
      </c>
      <c r="P263" s="701"/>
      <c r="Q263" s="712">
        <v>0</v>
      </c>
    </row>
    <row r="264" spans="1:17" ht="14.4" customHeight="1" x14ac:dyDescent="0.3">
      <c r="A264" s="695" t="s">
        <v>545</v>
      </c>
      <c r="B264" s="696" t="s">
        <v>4271</v>
      </c>
      <c r="C264" s="696" t="s">
        <v>4114</v>
      </c>
      <c r="D264" s="696" t="s">
        <v>4338</v>
      </c>
      <c r="E264" s="696" t="s">
        <v>4339</v>
      </c>
      <c r="F264" s="711">
        <v>1</v>
      </c>
      <c r="G264" s="711">
        <v>3446</v>
      </c>
      <c r="H264" s="711">
        <v>1</v>
      </c>
      <c r="I264" s="711">
        <v>3446</v>
      </c>
      <c r="J264" s="711">
        <v>1</v>
      </c>
      <c r="K264" s="711">
        <v>3459</v>
      </c>
      <c r="L264" s="711">
        <v>1.0037724898432965</v>
      </c>
      <c r="M264" s="711">
        <v>3459</v>
      </c>
      <c r="N264" s="711"/>
      <c r="O264" s="711"/>
      <c r="P264" s="701"/>
      <c r="Q264" s="712"/>
    </row>
    <row r="265" spans="1:17" ht="14.4" customHeight="1" x14ac:dyDescent="0.3">
      <c r="A265" s="695" t="s">
        <v>545</v>
      </c>
      <c r="B265" s="696" t="s">
        <v>4271</v>
      </c>
      <c r="C265" s="696" t="s">
        <v>4114</v>
      </c>
      <c r="D265" s="696" t="s">
        <v>4340</v>
      </c>
      <c r="E265" s="696" t="s">
        <v>4341</v>
      </c>
      <c r="F265" s="711"/>
      <c r="G265" s="711"/>
      <c r="H265" s="711"/>
      <c r="I265" s="711"/>
      <c r="J265" s="711">
        <v>2</v>
      </c>
      <c r="K265" s="711">
        <v>2038</v>
      </c>
      <c r="L265" s="711"/>
      <c r="M265" s="711">
        <v>1019</v>
      </c>
      <c r="N265" s="711"/>
      <c r="O265" s="711"/>
      <c r="P265" s="701"/>
      <c r="Q265" s="712"/>
    </row>
    <row r="266" spans="1:17" ht="14.4" customHeight="1" x14ac:dyDescent="0.3">
      <c r="A266" s="695" t="s">
        <v>545</v>
      </c>
      <c r="B266" s="696" t="s">
        <v>4271</v>
      </c>
      <c r="C266" s="696" t="s">
        <v>4114</v>
      </c>
      <c r="D266" s="696" t="s">
        <v>4342</v>
      </c>
      <c r="E266" s="696" t="s">
        <v>4343</v>
      </c>
      <c r="F266" s="711"/>
      <c r="G266" s="711"/>
      <c r="H266" s="711"/>
      <c r="I266" s="711"/>
      <c r="J266" s="711"/>
      <c r="K266" s="711"/>
      <c r="L266" s="711"/>
      <c r="M266" s="711"/>
      <c r="N266" s="711">
        <v>2</v>
      </c>
      <c r="O266" s="711">
        <v>7142</v>
      </c>
      <c r="P266" s="701"/>
      <c r="Q266" s="712">
        <v>3571</v>
      </c>
    </row>
    <row r="267" spans="1:17" ht="14.4" customHeight="1" x14ac:dyDescent="0.3">
      <c r="A267" s="695" t="s">
        <v>545</v>
      </c>
      <c r="B267" s="696" t="s">
        <v>4271</v>
      </c>
      <c r="C267" s="696" t="s">
        <v>4114</v>
      </c>
      <c r="D267" s="696" t="s">
        <v>4344</v>
      </c>
      <c r="E267" s="696" t="s">
        <v>4345</v>
      </c>
      <c r="F267" s="711">
        <v>10</v>
      </c>
      <c r="G267" s="711">
        <v>148600</v>
      </c>
      <c r="H267" s="711">
        <v>1</v>
      </c>
      <c r="I267" s="711">
        <v>14860</v>
      </c>
      <c r="J267" s="711">
        <v>5</v>
      </c>
      <c r="K267" s="711">
        <v>74525</v>
      </c>
      <c r="L267" s="711">
        <v>0.50151413189771199</v>
      </c>
      <c r="M267" s="711">
        <v>14905</v>
      </c>
      <c r="N267" s="711"/>
      <c r="O267" s="711"/>
      <c r="P267" s="701"/>
      <c r="Q267" s="712"/>
    </row>
    <row r="268" spans="1:17" ht="14.4" customHeight="1" x14ac:dyDescent="0.3">
      <c r="A268" s="695" t="s">
        <v>545</v>
      </c>
      <c r="B268" s="696" t="s">
        <v>4271</v>
      </c>
      <c r="C268" s="696" t="s">
        <v>4114</v>
      </c>
      <c r="D268" s="696" t="s">
        <v>4346</v>
      </c>
      <c r="E268" s="696" t="s">
        <v>4347</v>
      </c>
      <c r="F268" s="711">
        <v>2</v>
      </c>
      <c r="G268" s="711">
        <v>30622</v>
      </c>
      <c r="H268" s="711">
        <v>1</v>
      </c>
      <c r="I268" s="711">
        <v>15311</v>
      </c>
      <c r="J268" s="711">
        <v>3</v>
      </c>
      <c r="K268" s="711">
        <v>46104</v>
      </c>
      <c r="L268" s="711">
        <v>1.5055842204950689</v>
      </c>
      <c r="M268" s="711">
        <v>15368</v>
      </c>
      <c r="N268" s="711">
        <v>6</v>
      </c>
      <c r="O268" s="711">
        <v>92412</v>
      </c>
      <c r="P268" s="701">
        <v>3.0178303180719745</v>
      </c>
      <c r="Q268" s="712">
        <v>15402</v>
      </c>
    </row>
    <row r="269" spans="1:17" ht="14.4" customHeight="1" x14ac:dyDescent="0.3">
      <c r="A269" s="695" t="s">
        <v>545</v>
      </c>
      <c r="B269" s="696" t="s">
        <v>4271</v>
      </c>
      <c r="C269" s="696" t="s">
        <v>4114</v>
      </c>
      <c r="D269" s="696" t="s">
        <v>4348</v>
      </c>
      <c r="E269" s="696" t="s">
        <v>4349</v>
      </c>
      <c r="F269" s="711"/>
      <c r="G269" s="711"/>
      <c r="H269" s="711"/>
      <c r="I269" s="711"/>
      <c r="J269" s="711">
        <v>5</v>
      </c>
      <c r="K269" s="711">
        <v>0</v>
      </c>
      <c r="L269" s="711"/>
      <c r="M269" s="711">
        <v>0</v>
      </c>
      <c r="N269" s="711">
        <v>4</v>
      </c>
      <c r="O269" s="711">
        <v>0</v>
      </c>
      <c r="P269" s="701"/>
      <c r="Q269" s="712">
        <v>0</v>
      </c>
    </row>
    <row r="270" spans="1:17" ht="14.4" customHeight="1" x14ac:dyDescent="0.3">
      <c r="A270" s="695" t="s">
        <v>545</v>
      </c>
      <c r="B270" s="696" t="s">
        <v>4271</v>
      </c>
      <c r="C270" s="696" t="s">
        <v>4114</v>
      </c>
      <c r="D270" s="696" t="s">
        <v>4350</v>
      </c>
      <c r="E270" s="696" t="s">
        <v>4351</v>
      </c>
      <c r="F270" s="711"/>
      <c r="G270" s="711"/>
      <c r="H270" s="711"/>
      <c r="I270" s="711"/>
      <c r="J270" s="711"/>
      <c r="K270" s="711"/>
      <c r="L270" s="711"/>
      <c r="M270" s="711"/>
      <c r="N270" s="711">
        <v>1</v>
      </c>
      <c r="O270" s="711">
        <v>355</v>
      </c>
      <c r="P270" s="701"/>
      <c r="Q270" s="712">
        <v>355</v>
      </c>
    </row>
    <row r="271" spans="1:17" ht="14.4" customHeight="1" x14ac:dyDescent="0.3">
      <c r="A271" s="695" t="s">
        <v>545</v>
      </c>
      <c r="B271" s="696" t="s">
        <v>4271</v>
      </c>
      <c r="C271" s="696" t="s">
        <v>4114</v>
      </c>
      <c r="D271" s="696" t="s">
        <v>4352</v>
      </c>
      <c r="E271" s="696" t="s">
        <v>4353</v>
      </c>
      <c r="F271" s="711"/>
      <c r="G271" s="711"/>
      <c r="H271" s="711"/>
      <c r="I271" s="711"/>
      <c r="J271" s="711"/>
      <c r="K271" s="711"/>
      <c r="L271" s="711"/>
      <c r="M271" s="711"/>
      <c r="N271" s="711">
        <v>1</v>
      </c>
      <c r="O271" s="711">
        <v>0</v>
      </c>
      <c r="P271" s="701"/>
      <c r="Q271" s="712">
        <v>0</v>
      </c>
    </row>
    <row r="272" spans="1:17" ht="14.4" customHeight="1" x14ac:dyDescent="0.3">
      <c r="A272" s="695" t="s">
        <v>545</v>
      </c>
      <c r="B272" s="696" t="s">
        <v>4271</v>
      </c>
      <c r="C272" s="696" t="s">
        <v>4114</v>
      </c>
      <c r="D272" s="696" t="s">
        <v>4354</v>
      </c>
      <c r="E272" s="696" t="s">
        <v>4355</v>
      </c>
      <c r="F272" s="711"/>
      <c r="G272" s="711"/>
      <c r="H272" s="711"/>
      <c r="I272" s="711"/>
      <c r="J272" s="711">
        <v>1</v>
      </c>
      <c r="K272" s="711">
        <v>6794</v>
      </c>
      <c r="L272" s="711"/>
      <c r="M272" s="711">
        <v>6794</v>
      </c>
      <c r="N272" s="711">
        <v>1</v>
      </c>
      <c r="O272" s="711">
        <v>6834</v>
      </c>
      <c r="P272" s="701"/>
      <c r="Q272" s="712">
        <v>6834</v>
      </c>
    </row>
    <row r="273" spans="1:17" ht="14.4" customHeight="1" x14ac:dyDescent="0.3">
      <c r="A273" s="695" t="s">
        <v>545</v>
      </c>
      <c r="B273" s="696" t="s">
        <v>4271</v>
      </c>
      <c r="C273" s="696" t="s">
        <v>4114</v>
      </c>
      <c r="D273" s="696" t="s">
        <v>4356</v>
      </c>
      <c r="E273" s="696" t="s">
        <v>4357</v>
      </c>
      <c r="F273" s="711">
        <v>1</v>
      </c>
      <c r="G273" s="711">
        <v>3580</v>
      </c>
      <c r="H273" s="711">
        <v>1</v>
      </c>
      <c r="I273" s="711">
        <v>3580</v>
      </c>
      <c r="J273" s="711"/>
      <c r="K273" s="711"/>
      <c r="L273" s="711"/>
      <c r="M273" s="711"/>
      <c r="N273" s="711"/>
      <c r="O273" s="711"/>
      <c r="P273" s="701"/>
      <c r="Q273" s="712"/>
    </row>
    <row r="274" spans="1:17" ht="14.4" customHeight="1" x14ac:dyDescent="0.3">
      <c r="A274" s="695" t="s">
        <v>545</v>
      </c>
      <c r="B274" s="696" t="s">
        <v>4271</v>
      </c>
      <c r="C274" s="696" t="s">
        <v>4114</v>
      </c>
      <c r="D274" s="696" t="s">
        <v>4358</v>
      </c>
      <c r="E274" s="696" t="s">
        <v>4359</v>
      </c>
      <c r="F274" s="711"/>
      <c r="G274" s="711"/>
      <c r="H274" s="711"/>
      <c r="I274" s="711"/>
      <c r="J274" s="711">
        <v>5</v>
      </c>
      <c r="K274" s="711">
        <v>0</v>
      </c>
      <c r="L274" s="711"/>
      <c r="M274" s="711">
        <v>0</v>
      </c>
      <c r="N274" s="711">
        <v>8</v>
      </c>
      <c r="O274" s="711">
        <v>0</v>
      </c>
      <c r="P274" s="701"/>
      <c r="Q274" s="712">
        <v>0</v>
      </c>
    </row>
    <row r="275" spans="1:17" ht="14.4" customHeight="1" x14ac:dyDescent="0.3">
      <c r="A275" s="695" t="s">
        <v>545</v>
      </c>
      <c r="B275" s="696" t="s">
        <v>4271</v>
      </c>
      <c r="C275" s="696" t="s">
        <v>4114</v>
      </c>
      <c r="D275" s="696" t="s">
        <v>4360</v>
      </c>
      <c r="E275" s="696" t="s">
        <v>4361</v>
      </c>
      <c r="F275" s="711"/>
      <c r="G275" s="711"/>
      <c r="H275" s="711"/>
      <c r="I275" s="711"/>
      <c r="J275" s="711"/>
      <c r="K275" s="711"/>
      <c r="L275" s="711"/>
      <c r="M275" s="711"/>
      <c r="N275" s="711">
        <v>1</v>
      </c>
      <c r="O275" s="711">
        <v>0</v>
      </c>
      <c r="P275" s="701"/>
      <c r="Q275" s="712">
        <v>0</v>
      </c>
    </row>
    <row r="276" spans="1:17" ht="14.4" customHeight="1" x14ac:dyDescent="0.3">
      <c r="A276" s="695" t="s">
        <v>545</v>
      </c>
      <c r="B276" s="696" t="s">
        <v>4271</v>
      </c>
      <c r="C276" s="696" t="s">
        <v>4114</v>
      </c>
      <c r="D276" s="696" t="s">
        <v>4362</v>
      </c>
      <c r="E276" s="696" t="s">
        <v>4363</v>
      </c>
      <c r="F276" s="711"/>
      <c r="G276" s="711"/>
      <c r="H276" s="711"/>
      <c r="I276" s="711"/>
      <c r="J276" s="711">
        <v>1</v>
      </c>
      <c r="K276" s="711">
        <v>6045</v>
      </c>
      <c r="L276" s="711"/>
      <c r="M276" s="711">
        <v>6045</v>
      </c>
      <c r="N276" s="711">
        <v>2</v>
      </c>
      <c r="O276" s="711">
        <v>12141</v>
      </c>
      <c r="P276" s="701"/>
      <c r="Q276" s="712">
        <v>6070.5</v>
      </c>
    </row>
    <row r="277" spans="1:17" ht="14.4" customHeight="1" x14ac:dyDescent="0.3">
      <c r="A277" s="695" t="s">
        <v>545</v>
      </c>
      <c r="B277" s="696" t="s">
        <v>4271</v>
      </c>
      <c r="C277" s="696" t="s">
        <v>4114</v>
      </c>
      <c r="D277" s="696" t="s">
        <v>4364</v>
      </c>
      <c r="E277" s="696" t="s">
        <v>4365</v>
      </c>
      <c r="F277" s="711">
        <v>2</v>
      </c>
      <c r="G277" s="711">
        <v>6396</v>
      </c>
      <c r="H277" s="711">
        <v>1</v>
      </c>
      <c r="I277" s="711">
        <v>3198</v>
      </c>
      <c r="J277" s="711">
        <v>1</v>
      </c>
      <c r="K277" s="711">
        <v>3205</v>
      </c>
      <c r="L277" s="711">
        <v>0.5010944340212633</v>
      </c>
      <c r="M277" s="711">
        <v>3205</v>
      </c>
      <c r="N277" s="711">
        <v>1</v>
      </c>
      <c r="O277" s="711">
        <v>3219</v>
      </c>
      <c r="P277" s="701">
        <v>0.50328330206378991</v>
      </c>
      <c r="Q277" s="712">
        <v>3219</v>
      </c>
    </row>
    <row r="278" spans="1:17" ht="14.4" customHeight="1" x14ac:dyDescent="0.3">
      <c r="A278" s="695" t="s">
        <v>545</v>
      </c>
      <c r="B278" s="696" t="s">
        <v>4271</v>
      </c>
      <c r="C278" s="696" t="s">
        <v>4114</v>
      </c>
      <c r="D278" s="696" t="s">
        <v>4366</v>
      </c>
      <c r="E278" s="696" t="s">
        <v>4367</v>
      </c>
      <c r="F278" s="711"/>
      <c r="G278" s="711"/>
      <c r="H278" s="711"/>
      <c r="I278" s="711"/>
      <c r="J278" s="711"/>
      <c r="K278" s="711"/>
      <c r="L278" s="711"/>
      <c r="M278" s="711"/>
      <c r="N278" s="711">
        <v>2</v>
      </c>
      <c r="O278" s="711">
        <v>0</v>
      </c>
      <c r="P278" s="701"/>
      <c r="Q278" s="712">
        <v>0</v>
      </c>
    </row>
    <row r="279" spans="1:17" ht="14.4" customHeight="1" x14ac:dyDescent="0.3">
      <c r="A279" s="695" t="s">
        <v>545</v>
      </c>
      <c r="B279" s="696" t="s">
        <v>4271</v>
      </c>
      <c r="C279" s="696" t="s">
        <v>4114</v>
      </c>
      <c r="D279" s="696" t="s">
        <v>4368</v>
      </c>
      <c r="E279" s="696" t="s">
        <v>4369</v>
      </c>
      <c r="F279" s="711"/>
      <c r="G279" s="711"/>
      <c r="H279" s="711"/>
      <c r="I279" s="711"/>
      <c r="J279" s="711">
        <v>1</v>
      </c>
      <c r="K279" s="711">
        <v>0</v>
      </c>
      <c r="L279" s="711"/>
      <c r="M279" s="711">
        <v>0</v>
      </c>
      <c r="N279" s="711">
        <v>1</v>
      </c>
      <c r="O279" s="711">
        <v>0</v>
      </c>
      <c r="P279" s="701"/>
      <c r="Q279" s="712">
        <v>0</v>
      </c>
    </row>
    <row r="280" spans="1:17" ht="14.4" customHeight="1" x14ac:dyDescent="0.3">
      <c r="A280" s="695" t="s">
        <v>545</v>
      </c>
      <c r="B280" s="696" t="s">
        <v>4271</v>
      </c>
      <c r="C280" s="696" t="s">
        <v>4114</v>
      </c>
      <c r="D280" s="696" t="s">
        <v>4370</v>
      </c>
      <c r="E280" s="696" t="s">
        <v>4371</v>
      </c>
      <c r="F280" s="711"/>
      <c r="G280" s="711"/>
      <c r="H280" s="711"/>
      <c r="I280" s="711"/>
      <c r="J280" s="711">
        <v>1</v>
      </c>
      <c r="K280" s="711">
        <v>2788</v>
      </c>
      <c r="L280" s="711"/>
      <c r="M280" s="711">
        <v>2788</v>
      </c>
      <c r="N280" s="711"/>
      <c r="O280" s="711"/>
      <c r="P280" s="701"/>
      <c r="Q280" s="712"/>
    </row>
    <row r="281" spans="1:17" ht="14.4" customHeight="1" x14ac:dyDescent="0.3">
      <c r="A281" s="695" t="s">
        <v>545</v>
      </c>
      <c r="B281" s="696" t="s">
        <v>4271</v>
      </c>
      <c r="C281" s="696" t="s">
        <v>4114</v>
      </c>
      <c r="D281" s="696" t="s">
        <v>4372</v>
      </c>
      <c r="E281" s="696" t="s">
        <v>4373</v>
      </c>
      <c r="F281" s="711"/>
      <c r="G281" s="711"/>
      <c r="H281" s="711"/>
      <c r="I281" s="711"/>
      <c r="J281" s="711"/>
      <c r="K281" s="711"/>
      <c r="L281" s="711"/>
      <c r="M281" s="711"/>
      <c r="N281" s="711">
        <v>1</v>
      </c>
      <c r="O281" s="711">
        <v>8132</v>
      </c>
      <c r="P281" s="701"/>
      <c r="Q281" s="712">
        <v>8132</v>
      </c>
    </row>
    <row r="282" spans="1:17" ht="14.4" customHeight="1" x14ac:dyDescent="0.3">
      <c r="A282" s="695" t="s">
        <v>545</v>
      </c>
      <c r="B282" s="696" t="s">
        <v>4271</v>
      </c>
      <c r="C282" s="696" t="s">
        <v>4114</v>
      </c>
      <c r="D282" s="696" t="s">
        <v>4374</v>
      </c>
      <c r="E282" s="696" t="s">
        <v>4375</v>
      </c>
      <c r="F282" s="711"/>
      <c r="G282" s="711"/>
      <c r="H282" s="711"/>
      <c r="I282" s="711"/>
      <c r="J282" s="711"/>
      <c r="K282" s="711"/>
      <c r="L282" s="711"/>
      <c r="M282" s="711"/>
      <c r="N282" s="711">
        <v>2</v>
      </c>
      <c r="O282" s="711">
        <v>18050</v>
      </c>
      <c r="P282" s="701"/>
      <c r="Q282" s="712">
        <v>9025</v>
      </c>
    </row>
    <row r="283" spans="1:17" ht="14.4" customHeight="1" x14ac:dyDescent="0.3">
      <c r="A283" s="695" t="s">
        <v>545</v>
      </c>
      <c r="B283" s="696" t="s">
        <v>4271</v>
      </c>
      <c r="C283" s="696" t="s">
        <v>4114</v>
      </c>
      <c r="D283" s="696" t="s">
        <v>4376</v>
      </c>
      <c r="E283" s="696" t="s">
        <v>4377</v>
      </c>
      <c r="F283" s="711"/>
      <c r="G283" s="711"/>
      <c r="H283" s="711"/>
      <c r="I283" s="711"/>
      <c r="J283" s="711">
        <v>1</v>
      </c>
      <c r="K283" s="711">
        <v>0</v>
      </c>
      <c r="L283" s="711"/>
      <c r="M283" s="711">
        <v>0</v>
      </c>
      <c r="N283" s="711"/>
      <c r="O283" s="711"/>
      <c r="P283" s="701"/>
      <c r="Q283" s="712"/>
    </row>
    <row r="284" spans="1:17" ht="14.4" customHeight="1" x14ac:dyDescent="0.3">
      <c r="A284" s="695" t="s">
        <v>545</v>
      </c>
      <c r="B284" s="696" t="s">
        <v>4271</v>
      </c>
      <c r="C284" s="696" t="s">
        <v>4114</v>
      </c>
      <c r="D284" s="696" t="s">
        <v>4378</v>
      </c>
      <c r="E284" s="696" t="s">
        <v>4379</v>
      </c>
      <c r="F284" s="711"/>
      <c r="G284" s="711"/>
      <c r="H284" s="711"/>
      <c r="I284" s="711"/>
      <c r="J284" s="711">
        <v>1</v>
      </c>
      <c r="K284" s="711">
        <v>3525</v>
      </c>
      <c r="L284" s="711"/>
      <c r="M284" s="711">
        <v>3525</v>
      </c>
      <c r="N284" s="711"/>
      <c r="O284" s="711"/>
      <c r="P284" s="701"/>
      <c r="Q284" s="712"/>
    </row>
    <row r="285" spans="1:17" ht="14.4" customHeight="1" x14ac:dyDescent="0.3">
      <c r="A285" s="695" t="s">
        <v>545</v>
      </c>
      <c r="B285" s="696" t="s">
        <v>4271</v>
      </c>
      <c r="C285" s="696" t="s">
        <v>4114</v>
      </c>
      <c r="D285" s="696" t="s">
        <v>4380</v>
      </c>
      <c r="E285" s="696" t="s">
        <v>4381</v>
      </c>
      <c r="F285" s="711"/>
      <c r="G285" s="711"/>
      <c r="H285" s="711"/>
      <c r="I285" s="711"/>
      <c r="J285" s="711">
        <v>1</v>
      </c>
      <c r="K285" s="711">
        <v>4617</v>
      </c>
      <c r="L285" s="711"/>
      <c r="M285" s="711">
        <v>4617</v>
      </c>
      <c r="N285" s="711">
        <v>2</v>
      </c>
      <c r="O285" s="711">
        <v>9234</v>
      </c>
      <c r="P285" s="701"/>
      <c r="Q285" s="712">
        <v>4617</v>
      </c>
    </row>
    <row r="286" spans="1:17" ht="14.4" customHeight="1" x14ac:dyDescent="0.3">
      <c r="A286" s="695" t="s">
        <v>545</v>
      </c>
      <c r="B286" s="696" t="s">
        <v>4271</v>
      </c>
      <c r="C286" s="696" t="s">
        <v>4114</v>
      </c>
      <c r="D286" s="696" t="s">
        <v>4382</v>
      </c>
      <c r="E286" s="696" t="s">
        <v>4383</v>
      </c>
      <c r="F286" s="711">
        <v>1</v>
      </c>
      <c r="G286" s="711">
        <v>4515</v>
      </c>
      <c r="H286" s="711">
        <v>1</v>
      </c>
      <c r="I286" s="711">
        <v>4515</v>
      </c>
      <c r="J286" s="711">
        <v>1</v>
      </c>
      <c r="K286" s="711">
        <v>4527</v>
      </c>
      <c r="L286" s="711">
        <v>1.00265780730897</v>
      </c>
      <c r="M286" s="711">
        <v>4527</v>
      </c>
      <c r="N286" s="711">
        <v>5</v>
      </c>
      <c r="O286" s="711">
        <v>22719</v>
      </c>
      <c r="P286" s="701">
        <v>5.0318936877076412</v>
      </c>
      <c r="Q286" s="712">
        <v>4543.8</v>
      </c>
    </row>
    <row r="287" spans="1:17" ht="14.4" customHeight="1" x14ac:dyDescent="0.3">
      <c r="A287" s="695" t="s">
        <v>545</v>
      </c>
      <c r="B287" s="696" t="s">
        <v>4271</v>
      </c>
      <c r="C287" s="696" t="s">
        <v>4114</v>
      </c>
      <c r="D287" s="696" t="s">
        <v>4384</v>
      </c>
      <c r="E287" s="696" t="s">
        <v>4385</v>
      </c>
      <c r="F287" s="711"/>
      <c r="G287" s="711"/>
      <c r="H287" s="711"/>
      <c r="I287" s="711"/>
      <c r="J287" s="711">
        <v>1</v>
      </c>
      <c r="K287" s="711">
        <v>0</v>
      </c>
      <c r="L287" s="711"/>
      <c r="M287" s="711">
        <v>0</v>
      </c>
      <c r="N287" s="711"/>
      <c r="O287" s="711"/>
      <c r="P287" s="701"/>
      <c r="Q287" s="712"/>
    </row>
    <row r="288" spans="1:17" ht="14.4" customHeight="1" x14ac:dyDescent="0.3">
      <c r="A288" s="695" t="s">
        <v>545</v>
      </c>
      <c r="B288" s="696" t="s">
        <v>4271</v>
      </c>
      <c r="C288" s="696" t="s">
        <v>4114</v>
      </c>
      <c r="D288" s="696" t="s">
        <v>4386</v>
      </c>
      <c r="E288" s="696" t="s">
        <v>4387</v>
      </c>
      <c r="F288" s="711"/>
      <c r="G288" s="711"/>
      <c r="H288" s="711"/>
      <c r="I288" s="711"/>
      <c r="J288" s="711"/>
      <c r="K288" s="711"/>
      <c r="L288" s="711"/>
      <c r="M288" s="711"/>
      <c r="N288" s="711">
        <v>2</v>
      </c>
      <c r="O288" s="711">
        <v>10250</v>
      </c>
      <c r="P288" s="701"/>
      <c r="Q288" s="712">
        <v>5125</v>
      </c>
    </row>
    <row r="289" spans="1:17" ht="14.4" customHeight="1" x14ac:dyDescent="0.3">
      <c r="A289" s="695" t="s">
        <v>545</v>
      </c>
      <c r="B289" s="696" t="s">
        <v>4271</v>
      </c>
      <c r="C289" s="696" t="s">
        <v>4114</v>
      </c>
      <c r="D289" s="696" t="s">
        <v>4388</v>
      </c>
      <c r="E289" s="696" t="s">
        <v>4389</v>
      </c>
      <c r="F289" s="711"/>
      <c r="G289" s="711"/>
      <c r="H289" s="711"/>
      <c r="I289" s="711"/>
      <c r="J289" s="711"/>
      <c r="K289" s="711"/>
      <c r="L289" s="711"/>
      <c r="M289" s="711"/>
      <c r="N289" s="711">
        <v>1</v>
      </c>
      <c r="O289" s="711">
        <v>0</v>
      </c>
      <c r="P289" s="701"/>
      <c r="Q289" s="712">
        <v>0</v>
      </c>
    </row>
    <row r="290" spans="1:17" ht="14.4" customHeight="1" x14ac:dyDescent="0.3">
      <c r="A290" s="695" t="s">
        <v>545</v>
      </c>
      <c r="B290" s="696" t="s">
        <v>4271</v>
      </c>
      <c r="C290" s="696" t="s">
        <v>4114</v>
      </c>
      <c r="D290" s="696" t="s">
        <v>4390</v>
      </c>
      <c r="E290" s="696" t="s">
        <v>4391</v>
      </c>
      <c r="F290" s="711"/>
      <c r="G290" s="711"/>
      <c r="H290" s="711"/>
      <c r="I290" s="711"/>
      <c r="J290" s="711"/>
      <c r="K290" s="711"/>
      <c r="L290" s="711"/>
      <c r="M290" s="711"/>
      <c r="N290" s="711">
        <v>1</v>
      </c>
      <c r="O290" s="711">
        <v>10597</v>
      </c>
      <c r="P290" s="701"/>
      <c r="Q290" s="712">
        <v>10597</v>
      </c>
    </row>
    <row r="291" spans="1:17" ht="14.4" customHeight="1" x14ac:dyDescent="0.3">
      <c r="A291" s="695" t="s">
        <v>545</v>
      </c>
      <c r="B291" s="696" t="s">
        <v>4271</v>
      </c>
      <c r="C291" s="696" t="s">
        <v>4114</v>
      </c>
      <c r="D291" s="696" t="s">
        <v>4392</v>
      </c>
      <c r="E291" s="696" t="s">
        <v>4393</v>
      </c>
      <c r="F291" s="711"/>
      <c r="G291" s="711"/>
      <c r="H291" s="711"/>
      <c r="I291" s="711"/>
      <c r="J291" s="711"/>
      <c r="K291" s="711"/>
      <c r="L291" s="711"/>
      <c r="M291" s="711"/>
      <c r="N291" s="711">
        <v>1</v>
      </c>
      <c r="O291" s="711">
        <v>0</v>
      </c>
      <c r="P291" s="701"/>
      <c r="Q291" s="712">
        <v>0</v>
      </c>
    </row>
    <row r="292" spans="1:17" ht="14.4" customHeight="1" x14ac:dyDescent="0.3">
      <c r="A292" s="695" t="s">
        <v>545</v>
      </c>
      <c r="B292" s="696" t="s">
        <v>4271</v>
      </c>
      <c r="C292" s="696" t="s">
        <v>4114</v>
      </c>
      <c r="D292" s="696" t="s">
        <v>4394</v>
      </c>
      <c r="E292" s="696" t="s">
        <v>4395</v>
      </c>
      <c r="F292" s="711">
        <v>1</v>
      </c>
      <c r="G292" s="711">
        <v>3963</v>
      </c>
      <c r="H292" s="711">
        <v>1</v>
      </c>
      <c r="I292" s="711">
        <v>3963</v>
      </c>
      <c r="J292" s="711"/>
      <c r="K292" s="711"/>
      <c r="L292" s="711"/>
      <c r="M292" s="711"/>
      <c r="N292" s="711"/>
      <c r="O292" s="711"/>
      <c r="P292" s="701"/>
      <c r="Q292" s="712"/>
    </row>
    <row r="293" spans="1:17" ht="14.4" customHeight="1" x14ac:dyDescent="0.3">
      <c r="A293" s="695" t="s">
        <v>545</v>
      </c>
      <c r="B293" s="696" t="s">
        <v>4271</v>
      </c>
      <c r="C293" s="696" t="s">
        <v>4114</v>
      </c>
      <c r="D293" s="696" t="s">
        <v>4396</v>
      </c>
      <c r="E293" s="696" t="s">
        <v>4397</v>
      </c>
      <c r="F293" s="711">
        <v>1</v>
      </c>
      <c r="G293" s="711">
        <v>5975</v>
      </c>
      <c r="H293" s="711">
        <v>1</v>
      </c>
      <c r="I293" s="711">
        <v>5975</v>
      </c>
      <c r="J293" s="711">
        <v>1</v>
      </c>
      <c r="K293" s="711">
        <v>5998</v>
      </c>
      <c r="L293" s="711">
        <v>1.0038493723849373</v>
      </c>
      <c r="M293" s="711">
        <v>5998</v>
      </c>
      <c r="N293" s="711"/>
      <c r="O293" s="711"/>
      <c r="P293" s="701"/>
      <c r="Q293" s="712"/>
    </row>
    <row r="294" spans="1:17" ht="14.4" customHeight="1" x14ac:dyDescent="0.3">
      <c r="A294" s="695" t="s">
        <v>545</v>
      </c>
      <c r="B294" s="696" t="s">
        <v>4271</v>
      </c>
      <c r="C294" s="696" t="s">
        <v>4114</v>
      </c>
      <c r="D294" s="696" t="s">
        <v>4398</v>
      </c>
      <c r="E294" s="696" t="s">
        <v>4399</v>
      </c>
      <c r="F294" s="711">
        <v>1</v>
      </c>
      <c r="G294" s="711">
        <v>9012</v>
      </c>
      <c r="H294" s="711">
        <v>1</v>
      </c>
      <c r="I294" s="711">
        <v>9012</v>
      </c>
      <c r="J294" s="711"/>
      <c r="K294" s="711"/>
      <c r="L294" s="711"/>
      <c r="M294" s="711"/>
      <c r="N294" s="711"/>
      <c r="O294" s="711"/>
      <c r="P294" s="701"/>
      <c r="Q294" s="712"/>
    </row>
    <row r="295" spans="1:17" ht="14.4" customHeight="1" x14ac:dyDescent="0.3">
      <c r="A295" s="695" t="s">
        <v>545</v>
      </c>
      <c r="B295" s="696" t="s">
        <v>4271</v>
      </c>
      <c r="C295" s="696" t="s">
        <v>4114</v>
      </c>
      <c r="D295" s="696" t="s">
        <v>4400</v>
      </c>
      <c r="E295" s="696" t="s">
        <v>4401</v>
      </c>
      <c r="F295" s="711"/>
      <c r="G295" s="711"/>
      <c r="H295" s="711"/>
      <c r="I295" s="711"/>
      <c r="J295" s="711">
        <v>2</v>
      </c>
      <c r="K295" s="711">
        <v>3840</v>
      </c>
      <c r="L295" s="711"/>
      <c r="M295" s="711">
        <v>1920</v>
      </c>
      <c r="N295" s="711"/>
      <c r="O295" s="711"/>
      <c r="P295" s="701"/>
      <c r="Q295" s="712"/>
    </row>
    <row r="296" spans="1:17" ht="14.4" customHeight="1" x14ac:dyDescent="0.3">
      <c r="A296" s="695" t="s">
        <v>545</v>
      </c>
      <c r="B296" s="696" t="s">
        <v>4271</v>
      </c>
      <c r="C296" s="696" t="s">
        <v>4114</v>
      </c>
      <c r="D296" s="696" t="s">
        <v>4402</v>
      </c>
      <c r="E296" s="696" t="s">
        <v>4403</v>
      </c>
      <c r="F296" s="711"/>
      <c r="G296" s="711"/>
      <c r="H296" s="711"/>
      <c r="I296" s="711"/>
      <c r="J296" s="711"/>
      <c r="K296" s="711"/>
      <c r="L296" s="711"/>
      <c r="M296" s="711"/>
      <c r="N296" s="711">
        <v>1</v>
      </c>
      <c r="O296" s="711">
        <v>8406</v>
      </c>
      <c r="P296" s="701"/>
      <c r="Q296" s="712">
        <v>8406</v>
      </c>
    </row>
    <row r="297" spans="1:17" ht="14.4" customHeight="1" x14ac:dyDescent="0.3">
      <c r="A297" s="695" t="s">
        <v>545</v>
      </c>
      <c r="B297" s="696" t="s">
        <v>4271</v>
      </c>
      <c r="C297" s="696" t="s">
        <v>4114</v>
      </c>
      <c r="D297" s="696" t="s">
        <v>4404</v>
      </c>
      <c r="E297" s="696" t="s">
        <v>4405</v>
      </c>
      <c r="F297" s="711"/>
      <c r="G297" s="711"/>
      <c r="H297" s="711"/>
      <c r="I297" s="711"/>
      <c r="J297" s="711">
        <v>1</v>
      </c>
      <c r="K297" s="711">
        <v>0</v>
      </c>
      <c r="L297" s="711"/>
      <c r="M297" s="711">
        <v>0</v>
      </c>
      <c r="N297" s="711">
        <v>1</v>
      </c>
      <c r="O297" s="711">
        <v>0</v>
      </c>
      <c r="P297" s="701"/>
      <c r="Q297" s="712">
        <v>0</v>
      </c>
    </row>
    <row r="298" spans="1:17" ht="14.4" customHeight="1" x14ac:dyDescent="0.3">
      <c r="A298" s="695" t="s">
        <v>545</v>
      </c>
      <c r="B298" s="696" t="s">
        <v>4271</v>
      </c>
      <c r="C298" s="696" t="s">
        <v>4114</v>
      </c>
      <c r="D298" s="696" t="s">
        <v>4406</v>
      </c>
      <c r="E298" s="696" t="s">
        <v>4407</v>
      </c>
      <c r="F298" s="711"/>
      <c r="G298" s="711"/>
      <c r="H298" s="711"/>
      <c r="I298" s="711"/>
      <c r="J298" s="711"/>
      <c r="K298" s="711"/>
      <c r="L298" s="711"/>
      <c r="M298" s="711"/>
      <c r="N298" s="711">
        <v>1</v>
      </c>
      <c r="O298" s="711">
        <v>0</v>
      </c>
      <c r="P298" s="701"/>
      <c r="Q298" s="712">
        <v>0</v>
      </c>
    </row>
    <row r="299" spans="1:17" ht="14.4" customHeight="1" x14ac:dyDescent="0.3">
      <c r="A299" s="695" t="s">
        <v>545</v>
      </c>
      <c r="B299" s="696" t="s">
        <v>4408</v>
      </c>
      <c r="C299" s="696" t="s">
        <v>4114</v>
      </c>
      <c r="D299" s="696" t="s">
        <v>4409</v>
      </c>
      <c r="E299" s="696" t="s">
        <v>4410</v>
      </c>
      <c r="F299" s="711"/>
      <c r="G299" s="711"/>
      <c r="H299" s="711"/>
      <c r="I299" s="711"/>
      <c r="J299" s="711">
        <v>1</v>
      </c>
      <c r="K299" s="711">
        <v>1617</v>
      </c>
      <c r="L299" s="711"/>
      <c r="M299" s="711">
        <v>1617</v>
      </c>
      <c r="N299" s="711"/>
      <c r="O299" s="711"/>
      <c r="P299" s="701"/>
      <c r="Q299" s="712"/>
    </row>
    <row r="300" spans="1:17" ht="14.4" customHeight="1" x14ac:dyDescent="0.3">
      <c r="A300" s="695" t="s">
        <v>545</v>
      </c>
      <c r="B300" s="696" t="s">
        <v>4408</v>
      </c>
      <c r="C300" s="696" t="s">
        <v>4114</v>
      </c>
      <c r="D300" s="696" t="s">
        <v>4411</v>
      </c>
      <c r="E300" s="696" t="s">
        <v>4412</v>
      </c>
      <c r="F300" s="711">
        <v>4</v>
      </c>
      <c r="G300" s="711">
        <v>2700</v>
      </c>
      <c r="H300" s="711">
        <v>1</v>
      </c>
      <c r="I300" s="711">
        <v>675</v>
      </c>
      <c r="J300" s="711">
        <v>3</v>
      </c>
      <c r="K300" s="711">
        <v>2043</v>
      </c>
      <c r="L300" s="711">
        <v>0.75666666666666671</v>
      </c>
      <c r="M300" s="711">
        <v>681</v>
      </c>
      <c r="N300" s="711"/>
      <c r="O300" s="711"/>
      <c r="P300" s="701"/>
      <c r="Q300" s="712"/>
    </row>
    <row r="301" spans="1:17" ht="14.4" customHeight="1" x14ac:dyDescent="0.3">
      <c r="A301" s="695" t="s">
        <v>545</v>
      </c>
      <c r="B301" s="696" t="s">
        <v>4408</v>
      </c>
      <c r="C301" s="696" t="s">
        <v>4114</v>
      </c>
      <c r="D301" s="696" t="s">
        <v>4413</v>
      </c>
      <c r="E301" s="696" t="s">
        <v>4414</v>
      </c>
      <c r="F301" s="711">
        <v>1</v>
      </c>
      <c r="G301" s="711">
        <v>148</v>
      </c>
      <c r="H301" s="711">
        <v>1</v>
      </c>
      <c r="I301" s="711">
        <v>148</v>
      </c>
      <c r="J301" s="711"/>
      <c r="K301" s="711"/>
      <c r="L301" s="711"/>
      <c r="M301" s="711"/>
      <c r="N301" s="711"/>
      <c r="O301" s="711"/>
      <c r="P301" s="701"/>
      <c r="Q301" s="712"/>
    </row>
    <row r="302" spans="1:17" ht="14.4" customHeight="1" x14ac:dyDescent="0.3">
      <c r="A302" s="695" t="s">
        <v>545</v>
      </c>
      <c r="B302" s="696" t="s">
        <v>4408</v>
      </c>
      <c r="C302" s="696" t="s">
        <v>4114</v>
      </c>
      <c r="D302" s="696" t="s">
        <v>4415</v>
      </c>
      <c r="E302" s="696" t="s">
        <v>4416</v>
      </c>
      <c r="F302" s="711">
        <v>1</v>
      </c>
      <c r="G302" s="711">
        <v>91</v>
      </c>
      <c r="H302" s="711">
        <v>1</v>
      </c>
      <c r="I302" s="711">
        <v>91</v>
      </c>
      <c r="J302" s="711">
        <v>1</v>
      </c>
      <c r="K302" s="711">
        <v>91</v>
      </c>
      <c r="L302" s="711">
        <v>1</v>
      </c>
      <c r="M302" s="711">
        <v>91</v>
      </c>
      <c r="N302" s="711">
        <v>2</v>
      </c>
      <c r="O302" s="711">
        <v>182</v>
      </c>
      <c r="P302" s="701">
        <v>2</v>
      </c>
      <c r="Q302" s="712">
        <v>91</v>
      </c>
    </row>
    <row r="303" spans="1:17" ht="14.4" customHeight="1" x14ac:dyDescent="0.3">
      <c r="A303" s="695" t="s">
        <v>545</v>
      </c>
      <c r="B303" s="696" t="s">
        <v>4408</v>
      </c>
      <c r="C303" s="696" t="s">
        <v>4114</v>
      </c>
      <c r="D303" s="696" t="s">
        <v>4417</v>
      </c>
      <c r="E303" s="696" t="s">
        <v>4418</v>
      </c>
      <c r="F303" s="711"/>
      <c r="G303" s="711"/>
      <c r="H303" s="711"/>
      <c r="I303" s="711"/>
      <c r="J303" s="711"/>
      <c r="K303" s="711"/>
      <c r="L303" s="711"/>
      <c r="M303" s="711"/>
      <c r="N303" s="711">
        <v>1</v>
      </c>
      <c r="O303" s="711">
        <v>223</v>
      </c>
      <c r="P303" s="701"/>
      <c r="Q303" s="712">
        <v>223</v>
      </c>
    </row>
    <row r="304" spans="1:17" ht="14.4" customHeight="1" x14ac:dyDescent="0.3">
      <c r="A304" s="695" t="s">
        <v>545</v>
      </c>
      <c r="B304" s="696" t="s">
        <v>4408</v>
      </c>
      <c r="C304" s="696" t="s">
        <v>4114</v>
      </c>
      <c r="D304" s="696" t="s">
        <v>4419</v>
      </c>
      <c r="E304" s="696" t="s">
        <v>4420</v>
      </c>
      <c r="F304" s="711">
        <v>1</v>
      </c>
      <c r="G304" s="711">
        <v>373</v>
      </c>
      <c r="H304" s="711">
        <v>1</v>
      </c>
      <c r="I304" s="711">
        <v>373</v>
      </c>
      <c r="J304" s="711"/>
      <c r="K304" s="711"/>
      <c r="L304" s="711"/>
      <c r="M304" s="711"/>
      <c r="N304" s="711"/>
      <c r="O304" s="711"/>
      <c r="P304" s="701"/>
      <c r="Q304" s="712"/>
    </row>
    <row r="305" spans="1:17" ht="14.4" customHeight="1" x14ac:dyDescent="0.3">
      <c r="A305" s="695" t="s">
        <v>545</v>
      </c>
      <c r="B305" s="696" t="s">
        <v>4408</v>
      </c>
      <c r="C305" s="696" t="s">
        <v>4114</v>
      </c>
      <c r="D305" s="696" t="s">
        <v>4421</v>
      </c>
      <c r="E305" s="696" t="s">
        <v>4422</v>
      </c>
      <c r="F305" s="711">
        <v>1</v>
      </c>
      <c r="G305" s="711">
        <v>4605</v>
      </c>
      <c r="H305" s="711">
        <v>1</v>
      </c>
      <c r="I305" s="711">
        <v>4605</v>
      </c>
      <c r="J305" s="711"/>
      <c r="K305" s="711"/>
      <c r="L305" s="711"/>
      <c r="M305" s="711"/>
      <c r="N305" s="711"/>
      <c r="O305" s="711"/>
      <c r="P305" s="701"/>
      <c r="Q305" s="712"/>
    </row>
    <row r="306" spans="1:17" ht="14.4" customHeight="1" x14ac:dyDescent="0.3">
      <c r="A306" s="695" t="s">
        <v>545</v>
      </c>
      <c r="B306" s="696" t="s">
        <v>4408</v>
      </c>
      <c r="C306" s="696" t="s">
        <v>4114</v>
      </c>
      <c r="D306" s="696" t="s">
        <v>4423</v>
      </c>
      <c r="E306" s="696" t="s">
        <v>4424</v>
      </c>
      <c r="F306" s="711">
        <v>2</v>
      </c>
      <c r="G306" s="711">
        <v>8180</v>
      </c>
      <c r="H306" s="711">
        <v>1</v>
      </c>
      <c r="I306" s="711">
        <v>4090</v>
      </c>
      <c r="J306" s="711">
        <v>1</v>
      </c>
      <c r="K306" s="711">
        <v>4110</v>
      </c>
      <c r="L306" s="711">
        <v>0.50244498777506108</v>
      </c>
      <c r="M306" s="711">
        <v>4110</v>
      </c>
      <c r="N306" s="711"/>
      <c r="O306" s="711"/>
      <c r="P306" s="701"/>
      <c r="Q306" s="712"/>
    </row>
    <row r="307" spans="1:17" ht="14.4" customHeight="1" x14ac:dyDescent="0.3">
      <c r="A307" s="695" t="s">
        <v>545</v>
      </c>
      <c r="B307" s="696" t="s">
        <v>4408</v>
      </c>
      <c r="C307" s="696" t="s">
        <v>4114</v>
      </c>
      <c r="D307" s="696" t="s">
        <v>4425</v>
      </c>
      <c r="E307" s="696" t="s">
        <v>4426</v>
      </c>
      <c r="F307" s="711"/>
      <c r="G307" s="711"/>
      <c r="H307" s="711"/>
      <c r="I307" s="711"/>
      <c r="J307" s="711"/>
      <c r="K307" s="711"/>
      <c r="L307" s="711"/>
      <c r="M307" s="711"/>
      <c r="N307" s="711">
        <v>0</v>
      </c>
      <c r="O307" s="711">
        <v>0</v>
      </c>
      <c r="P307" s="701"/>
      <c r="Q307" s="712"/>
    </row>
    <row r="308" spans="1:17" ht="14.4" customHeight="1" x14ac:dyDescent="0.3">
      <c r="A308" s="695" t="s">
        <v>545</v>
      </c>
      <c r="B308" s="696" t="s">
        <v>4408</v>
      </c>
      <c r="C308" s="696" t="s">
        <v>4114</v>
      </c>
      <c r="D308" s="696" t="s">
        <v>4427</v>
      </c>
      <c r="E308" s="696" t="s">
        <v>4428</v>
      </c>
      <c r="F308" s="711">
        <v>1</v>
      </c>
      <c r="G308" s="711">
        <v>4268</v>
      </c>
      <c r="H308" s="711">
        <v>1</v>
      </c>
      <c r="I308" s="711">
        <v>4268</v>
      </c>
      <c r="J308" s="711"/>
      <c r="K308" s="711"/>
      <c r="L308" s="711"/>
      <c r="M308" s="711"/>
      <c r="N308" s="711"/>
      <c r="O308" s="711"/>
      <c r="P308" s="701"/>
      <c r="Q308" s="712"/>
    </row>
    <row r="309" spans="1:17" ht="14.4" customHeight="1" x14ac:dyDescent="0.3">
      <c r="A309" s="695" t="s">
        <v>545</v>
      </c>
      <c r="B309" s="696" t="s">
        <v>4408</v>
      </c>
      <c r="C309" s="696" t="s">
        <v>4114</v>
      </c>
      <c r="D309" s="696" t="s">
        <v>4429</v>
      </c>
      <c r="E309" s="696" t="s">
        <v>4430</v>
      </c>
      <c r="F309" s="711">
        <v>1</v>
      </c>
      <c r="G309" s="711">
        <v>5307</v>
      </c>
      <c r="H309" s="711">
        <v>1</v>
      </c>
      <c r="I309" s="711">
        <v>5307</v>
      </c>
      <c r="J309" s="711"/>
      <c r="K309" s="711"/>
      <c r="L309" s="711"/>
      <c r="M309" s="711"/>
      <c r="N309" s="711">
        <v>2</v>
      </c>
      <c r="O309" s="711">
        <v>10646</v>
      </c>
      <c r="P309" s="701">
        <v>2.0060297719992461</v>
      </c>
      <c r="Q309" s="712">
        <v>5323</v>
      </c>
    </row>
    <row r="310" spans="1:17" ht="14.4" customHeight="1" x14ac:dyDescent="0.3">
      <c r="A310" s="695" t="s">
        <v>545</v>
      </c>
      <c r="B310" s="696" t="s">
        <v>4408</v>
      </c>
      <c r="C310" s="696" t="s">
        <v>4114</v>
      </c>
      <c r="D310" s="696" t="s">
        <v>4431</v>
      </c>
      <c r="E310" s="696" t="s">
        <v>4432</v>
      </c>
      <c r="F310" s="711"/>
      <c r="G310" s="711"/>
      <c r="H310" s="711"/>
      <c r="I310" s="711"/>
      <c r="J310" s="711">
        <v>1</v>
      </c>
      <c r="K310" s="711">
        <v>8700</v>
      </c>
      <c r="L310" s="711"/>
      <c r="M310" s="711">
        <v>8700</v>
      </c>
      <c r="N310" s="711"/>
      <c r="O310" s="711"/>
      <c r="P310" s="701"/>
      <c r="Q310" s="712"/>
    </row>
    <row r="311" spans="1:17" ht="14.4" customHeight="1" x14ac:dyDescent="0.3">
      <c r="A311" s="695" t="s">
        <v>545</v>
      </c>
      <c r="B311" s="696" t="s">
        <v>4408</v>
      </c>
      <c r="C311" s="696" t="s">
        <v>4114</v>
      </c>
      <c r="D311" s="696" t="s">
        <v>4433</v>
      </c>
      <c r="E311" s="696" t="s">
        <v>4434</v>
      </c>
      <c r="F311" s="711">
        <v>2</v>
      </c>
      <c r="G311" s="711">
        <v>8026</v>
      </c>
      <c r="H311" s="711">
        <v>1</v>
      </c>
      <c r="I311" s="711">
        <v>4013</v>
      </c>
      <c r="J311" s="711">
        <v>1</v>
      </c>
      <c r="K311" s="711">
        <v>4033</v>
      </c>
      <c r="L311" s="711">
        <v>0.50249190132070765</v>
      </c>
      <c r="M311" s="711">
        <v>4033</v>
      </c>
      <c r="N311" s="711">
        <v>3</v>
      </c>
      <c r="O311" s="711">
        <v>12099</v>
      </c>
      <c r="P311" s="701">
        <v>1.5074757039621232</v>
      </c>
      <c r="Q311" s="712">
        <v>4033</v>
      </c>
    </row>
    <row r="312" spans="1:17" ht="14.4" customHeight="1" x14ac:dyDescent="0.3">
      <c r="A312" s="695" t="s">
        <v>545</v>
      </c>
      <c r="B312" s="696" t="s">
        <v>4408</v>
      </c>
      <c r="C312" s="696" t="s">
        <v>4114</v>
      </c>
      <c r="D312" s="696" t="s">
        <v>4435</v>
      </c>
      <c r="E312" s="696" t="s">
        <v>4436</v>
      </c>
      <c r="F312" s="711">
        <v>1</v>
      </c>
      <c r="G312" s="711">
        <v>926</v>
      </c>
      <c r="H312" s="711">
        <v>1</v>
      </c>
      <c r="I312" s="711">
        <v>926</v>
      </c>
      <c r="J312" s="711"/>
      <c r="K312" s="711"/>
      <c r="L312" s="711"/>
      <c r="M312" s="711"/>
      <c r="N312" s="711">
        <v>1</v>
      </c>
      <c r="O312" s="711">
        <v>932</v>
      </c>
      <c r="P312" s="701">
        <v>1.0064794816414686</v>
      </c>
      <c r="Q312" s="712">
        <v>932</v>
      </c>
    </row>
    <row r="313" spans="1:17" ht="14.4" customHeight="1" x14ac:dyDescent="0.3">
      <c r="A313" s="695" t="s">
        <v>545</v>
      </c>
      <c r="B313" s="696" t="s">
        <v>4408</v>
      </c>
      <c r="C313" s="696" t="s">
        <v>4114</v>
      </c>
      <c r="D313" s="696" t="s">
        <v>4437</v>
      </c>
      <c r="E313" s="696" t="s">
        <v>4438</v>
      </c>
      <c r="F313" s="711">
        <v>1</v>
      </c>
      <c r="G313" s="711">
        <v>2919</v>
      </c>
      <c r="H313" s="711">
        <v>1</v>
      </c>
      <c r="I313" s="711">
        <v>2919</v>
      </c>
      <c r="J313" s="711"/>
      <c r="K313" s="711"/>
      <c r="L313" s="711"/>
      <c r="M313" s="711"/>
      <c r="N313" s="711">
        <v>1</v>
      </c>
      <c r="O313" s="711">
        <v>2936</v>
      </c>
      <c r="P313" s="701">
        <v>1.0058239122987325</v>
      </c>
      <c r="Q313" s="712">
        <v>2936</v>
      </c>
    </row>
    <row r="314" spans="1:17" ht="14.4" customHeight="1" x14ac:dyDescent="0.3">
      <c r="A314" s="695" t="s">
        <v>545</v>
      </c>
      <c r="B314" s="696" t="s">
        <v>4408</v>
      </c>
      <c r="C314" s="696" t="s">
        <v>4114</v>
      </c>
      <c r="D314" s="696" t="s">
        <v>4439</v>
      </c>
      <c r="E314" s="696" t="s">
        <v>4440</v>
      </c>
      <c r="F314" s="711">
        <v>1</v>
      </c>
      <c r="G314" s="711">
        <v>3889</v>
      </c>
      <c r="H314" s="711">
        <v>1</v>
      </c>
      <c r="I314" s="711">
        <v>3889</v>
      </c>
      <c r="J314" s="711"/>
      <c r="K314" s="711"/>
      <c r="L314" s="711"/>
      <c r="M314" s="711"/>
      <c r="N314" s="711">
        <v>1</v>
      </c>
      <c r="O314" s="711">
        <v>3909</v>
      </c>
      <c r="P314" s="701">
        <v>1.0051427102082797</v>
      </c>
      <c r="Q314" s="712">
        <v>3909</v>
      </c>
    </row>
    <row r="315" spans="1:17" ht="14.4" customHeight="1" x14ac:dyDescent="0.3">
      <c r="A315" s="695" t="s">
        <v>545</v>
      </c>
      <c r="B315" s="696" t="s">
        <v>4408</v>
      </c>
      <c r="C315" s="696" t="s">
        <v>4114</v>
      </c>
      <c r="D315" s="696" t="s">
        <v>4441</v>
      </c>
      <c r="E315" s="696" t="s">
        <v>4442</v>
      </c>
      <c r="F315" s="711"/>
      <c r="G315" s="711"/>
      <c r="H315" s="711"/>
      <c r="I315" s="711"/>
      <c r="J315" s="711"/>
      <c r="K315" s="711"/>
      <c r="L315" s="711"/>
      <c r="M315" s="711"/>
      <c r="N315" s="711">
        <v>3</v>
      </c>
      <c r="O315" s="711">
        <v>8442</v>
      </c>
      <c r="P315" s="701"/>
      <c r="Q315" s="712">
        <v>2814</v>
      </c>
    </row>
    <row r="316" spans="1:17" ht="14.4" customHeight="1" x14ac:dyDescent="0.3">
      <c r="A316" s="695" t="s">
        <v>545</v>
      </c>
      <c r="B316" s="696" t="s">
        <v>4408</v>
      </c>
      <c r="C316" s="696" t="s">
        <v>4114</v>
      </c>
      <c r="D316" s="696" t="s">
        <v>4334</v>
      </c>
      <c r="E316" s="696" t="s">
        <v>4335</v>
      </c>
      <c r="F316" s="711">
        <v>3</v>
      </c>
      <c r="G316" s="711">
        <v>2526</v>
      </c>
      <c r="H316" s="711">
        <v>1</v>
      </c>
      <c r="I316" s="711">
        <v>842</v>
      </c>
      <c r="J316" s="711">
        <v>4</v>
      </c>
      <c r="K316" s="711">
        <v>3380</v>
      </c>
      <c r="L316" s="711">
        <v>1.3380839271575613</v>
      </c>
      <c r="M316" s="711">
        <v>845</v>
      </c>
      <c r="N316" s="711">
        <v>0</v>
      </c>
      <c r="O316" s="711">
        <v>0</v>
      </c>
      <c r="P316" s="701">
        <v>0</v>
      </c>
      <c r="Q316" s="712"/>
    </row>
    <row r="317" spans="1:17" ht="14.4" customHeight="1" x14ac:dyDescent="0.3">
      <c r="A317" s="695" t="s">
        <v>545</v>
      </c>
      <c r="B317" s="696" t="s">
        <v>4408</v>
      </c>
      <c r="C317" s="696" t="s">
        <v>4114</v>
      </c>
      <c r="D317" s="696" t="s">
        <v>4443</v>
      </c>
      <c r="E317" s="696" t="s">
        <v>4444</v>
      </c>
      <c r="F317" s="711">
        <v>7</v>
      </c>
      <c r="G317" s="711">
        <v>777</v>
      </c>
      <c r="H317" s="711">
        <v>1</v>
      </c>
      <c r="I317" s="711">
        <v>111</v>
      </c>
      <c r="J317" s="711">
        <v>4</v>
      </c>
      <c r="K317" s="711">
        <v>448</v>
      </c>
      <c r="L317" s="711">
        <v>0.57657657657657657</v>
      </c>
      <c r="M317" s="711">
        <v>112</v>
      </c>
      <c r="N317" s="711">
        <v>1</v>
      </c>
      <c r="O317" s="711">
        <v>112</v>
      </c>
      <c r="P317" s="701">
        <v>0.14414414414414414</v>
      </c>
      <c r="Q317" s="712">
        <v>112</v>
      </c>
    </row>
    <row r="318" spans="1:17" ht="14.4" customHeight="1" x14ac:dyDescent="0.3">
      <c r="A318" s="695" t="s">
        <v>545</v>
      </c>
      <c r="B318" s="696" t="s">
        <v>4408</v>
      </c>
      <c r="C318" s="696" t="s">
        <v>4114</v>
      </c>
      <c r="D318" s="696" t="s">
        <v>4445</v>
      </c>
      <c r="E318" s="696" t="s">
        <v>4446</v>
      </c>
      <c r="F318" s="711">
        <v>3</v>
      </c>
      <c r="G318" s="711">
        <v>480</v>
      </c>
      <c r="H318" s="711">
        <v>1</v>
      </c>
      <c r="I318" s="711">
        <v>160</v>
      </c>
      <c r="J318" s="711"/>
      <c r="K318" s="711"/>
      <c r="L318" s="711"/>
      <c r="M318" s="711"/>
      <c r="N318" s="711">
        <v>1</v>
      </c>
      <c r="O318" s="711">
        <v>161</v>
      </c>
      <c r="P318" s="701">
        <v>0.33541666666666664</v>
      </c>
      <c r="Q318" s="712">
        <v>161</v>
      </c>
    </row>
    <row r="319" spans="1:17" ht="14.4" customHeight="1" x14ac:dyDescent="0.3">
      <c r="A319" s="695" t="s">
        <v>545</v>
      </c>
      <c r="B319" s="696" t="s">
        <v>4408</v>
      </c>
      <c r="C319" s="696" t="s">
        <v>4114</v>
      </c>
      <c r="D319" s="696" t="s">
        <v>4447</v>
      </c>
      <c r="E319" s="696" t="s">
        <v>4448</v>
      </c>
      <c r="F319" s="711">
        <v>1</v>
      </c>
      <c r="G319" s="711">
        <v>2498</v>
      </c>
      <c r="H319" s="711">
        <v>1</v>
      </c>
      <c r="I319" s="711">
        <v>2498</v>
      </c>
      <c r="J319" s="711"/>
      <c r="K319" s="711"/>
      <c r="L319" s="711"/>
      <c r="M319" s="711"/>
      <c r="N319" s="711"/>
      <c r="O319" s="711"/>
      <c r="P319" s="701"/>
      <c r="Q319" s="712"/>
    </row>
    <row r="320" spans="1:17" ht="14.4" customHeight="1" x14ac:dyDescent="0.3">
      <c r="A320" s="695" t="s">
        <v>545</v>
      </c>
      <c r="B320" s="696" t="s">
        <v>4408</v>
      </c>
      <c r="C320" s="696" t="s">
        <v>4114</v>
      </c>
      <c r="D320" s="696" t="s">
        <v>4449</v>
      </c>
      <c r="E320" s="696" t="s">
        <v>4450</v>
      </c>
      <c r="F320" s="711">
        <v>1</v>
      </c>
      <c r="G320" s="711">
        <v>5365</v>
      </c>
      <c r="H320" s="711">
        <v>1</v>
      </c>
      <c r="I320" s="711">
        <v>5365</v>
      </c>
      <c r="J320" s="711"/>
      <c r="K320" s="711"/>
      <c r="L320" s="711"/>
      <c r="M320" s="711"/>
      <c r="N320" s="711"/>
      <c r="O320" s="711"/>
      <c r="P320" s="701"/>
      <c r="Q320" s="712"/>
    </row>
    <row r="321" spans="1:17" ht="14.4" customHeight="1" x14ac:dyDescent="0.3">
      <c r="A321" s="695" t="s">
        <v>545</v>
      </c>
      <c r="B321" s="696" t="s">
        <v>4408</v>
      </c>
      <c r="C321" s="696" t="s">
        <v>4114</v>
      </c>
      <c r="D321" s="696" t="s">
        <v>4451</v>
      </c>
      <c r="E321" s="696" t="s">
        <v>4452</v>
      </c>
      <c r="F321" s="711">
        <v>1</v>
      </c>
      <c r="G321" s="711">
        <v>2434</v>
      </c>
      <c r="H321" s="711">
        <v>1</v>
      </c>
      <c r="I321" s="711">
        <v>2434</v>
      </c>
      <c r="J321" s="711"/>
      <c r="K321" s="711"/>
      <c r="L321" s="711"/>
      <c r="M321" s="711"/>
      <c r="N321" s="711"/>
      <c r="O321" s="711"/>
      <c r="P321" s="701"/>
      <c r="Q321" s="712"/>
    </row>
    <row r="322" spans="1:17" ht="14.4" customHeight="1" x14ac:dyDescent="0.3">
      <c r="A322" s="695" t="s">
        <v>545</v>
      </c>
      <c r="B322" s="696" t="s">
        <v>4408</v>
      </c>
      <c r="C322" s="696" t="s">
        <v>4114</v>
      </c>
      <c r="D322" s="696" t="s">
        <v>4453</v>
      </c>
      <c r="E322" s="696" t="s">
        <v>4454</v>
      </c>
      <c r="F322" s="711">
        <v>1</v>
      </c>
      <c r="G322" s="711">
        <v>2431</v>
      </c>
      <c r="H322" s="711">
        <v>1</v>
      </c>
      <c r="I322" s="711">
        <v>2431</v>
      </c>
      <c r="J322" s="711"/>
      <c r="K322" s="711"/>
      <c r="L322" s="711"/>
      <c r="M322" s="711"/>
      <c r="N322" s="711"/>
      <c r="O322" s="711"/>
      <c r="P322" s="701"/>
      <c r="Q322" s="712"/>
    </row>
    <row r="323" spans="1:17" ht="14.4" customHeight="1" x14ac:dyDescent="0.3">
      <c r="A323" s="695" t="s">
        <v>545</v>
      </c>
      <c r="B323" s="696" t="s">
        <v>4408</v>
      </c>
      <c r="C323" s="696" t="s">
        <v>4114</v>
      </c>
      <c r="D323" s="696" t="s">
        <v>4455</v>
      </c>
      <c r="E323" s="696" t="s">
        <v>4456</v>
      </c>
      <c r="F323" s="711">
        <v>1</v>
      </c>
      <c r="G323" s="711">
        <v>2776</v>
      </c>
      <c r="H323" s="711">
        <v>1</v>
      </c>
      <c r="I323" s="711">
        <v>2776</v>
      </c>
      <c r="J323" s="711"/>
      <c r="K323" s="711"/>
      <c r="L323" s="711"/>
      <c r="M323" s="711"/>
      <c r="N323" s="711"/>
      <c r="O323" s="711"/>
      <c r="P323" s="701"/>
      <c r="Q323" s="712"/>
    </row>
    <row r="324" spans="1:17" ht="14.4" customHeight="1" x14ac:dyDescent="0.3">
      <c r="A324" s="695" t="s">
        <v>545</v>
      </c>
      <c r="B324" s="696" t="s">
        <v>4408</v>
      </c>
      <c r="C324" s="696" t="s">
        <v>4114</v>
      </c>
      <c r="D324" s="696" t="s">
        <v>4457</v>
      </c>
      <c r="E324" s="696" t="s">
        <v>4458</v>
      </c>
      <c r="F324" s="711">
        <v>1</v>
      </c>
      <c r="G324" s="711">
        <v>111</v>
      </c>
      <c r="H324" s="711">
        <v>1</v>
      </c>
      <c r="I324" s="711">
        <v>111</v>
      </c>
      <c r="J324" s="711"/>
      <c r="K324" s="711"/>
      <c r="L324" s="711"/>
      <c r="M324" s="711"/>
      <c r="N324" s="711"/>
      <c r="O324" s="711"/>
      <c r="P324" s="701"/>
      <c r="Q324" s="712"/>
    </row>
    <row r="325" spans="1:17" ht="14.4" customHeight="1" x14ac:dyDescent="0.3">
      <c r="A325" s="695" t="s">
        <v>545</v>
      </c>
      <c r="B325" s="696" t="s">
        <v>4408</v>
      </c>
      <c r="C325" s="696" t="s">
        <v>4114</v>
      </c>
      <c r="D325" s="696" t="s">
        <v>4459</v>
      </c>
      <c r="E325" s="696" t="s">
        <v>4460</v>
      </c>
      <c r="F325" s="711">
        <v>3</v>
      </c>
      <c r="G325" s="711">
        <v>23721</v>
      </c>
      <c r="H325" s="711">
        <v>1</v>
      </c>
      <c r="I325" s="711">
        <v>7907</v>
      </c>
      <c r="J325" s="711"/>
      <c r="K325" s="711"/>
      <c r="L325" s="711"/>
      <c r="M325" s="711"/>
      <c r="N325" s="711"/>
      <c r="O325" s="711"/>
      <c r="P325" s="701"/>
      <c r="Q325" s="712"/>
    </row>
    <row r="326" spans="1:17" ht="14.4" customHeight="1" x14ac:dyDescent="0.3">
      <c r="A326" s="695" t="s">
        <v>545</v>
      </c>
      <c r="B326" s="696" t="s">
        <v>4408</v>
      </c>
      <c r="C326" s="696" t="s">
        <v>4114</v>
      </c>
      <c r="D326" s="696" t="s">
        <v>4461</v>
      </c>
      <c r="E326" s="696" t="s">
        <v>4462</v>
      </c>
      <c r="F326" s="711">
        <v>3</v>
      </c>
      <c r="G326" s="711">
        <v>924</v>
      </c>
      <c r="H326" s="711">
        <v>1</v>
      </c>
      <c r="I326" s="711">
        <v>308</v>
      </c>
      <c r="J326" s="711"/>
      <c r="K326" s="711"/>
      <c r="L326" s="711"/>
      <c r="M326" s="711"/>
      <c r="N326" s="711">
        <v>2</v>
      </c>
      <c r="O326" s="711">
        <v>622</v>
      </c>
      <c r="P326" s="701">
        <v>0.67316017316017318</v>
      </c>
      <c r="Q326" s="712">
        <v>311</v>
      </c>
    </row>
    <row r="327" spans="1:17" ht="14.4" customHeight="1" x14ac:dyDescent="0.3">
      <c r="A327" s="695" t="s">
        <v>545</v>
      </c>
      <c r="B327" s="696" t="s">
        <v>4408</v>
      </c>
      <c r="C327" s="696" t="s">
        <v>4114</v>
      </c>
      <c r="D327" s="696" t="s">
        <v>4463</v>
      </c>
      <c r="E327" s="696" t="s">
        <v>4464</v>
      </c>
      <c r="F327" s="711"/>
      <c r="G327" s="711"/>
      <c r="H327" s="711"/>
      <c r="I327" s="711"/>
      <c r="J327" s="711">
        <v>1</v>
      </c>
      <c r="K327" s="711">
        <v>5546</v>
      </c>
      <c r="L327" s="711"/>
      <c r="M327" s="711">
        <v>5546</v>
      </c>
      <c r="N327" s="711"/>
      <c r="O327" s="711"/>
      <c r="P327" s="701"/>
      <c r="Q327" s="712"/>
    </row>
    <row r="328" spans="1:17" ht="14.4" customHeight="1" x14ac:dyDescent="0.3">
      <c r="A328" s="695" t="s">
        <v>545</v>
      </c>
      <c r="B328" s="696" t="s">
        <v>4408</v>
      </c>
      <c r="C328" s="696" t="s">
        <v>4114</v>
      </c>
      <c r="D328" s="696" t="s">
        <v>4465</v>
      </c>
      <c r="E328" s="696" t="s">
        <v>4466</v>
      </c>
      <c r="F328" s="711">
        <v>2</v>
      </c>
      <c r="G328" s="711">
        <v>2606</v>
      </c>
      <c r="H328" s="711">
        <v>1</v>
      </c>
      <c r="I328" s="711">
        <v>1303</v>
      </c>
      <c r="J328" s="711"/>
      <c r="K328" s="711"/>
      <c r="L328" s="711"/>
      <c r="M328" s="711"/>
      <c r="N328" s="711"/>
      <c r="O328" s="711"/>
      <c r="P328" s="701"/>
      <c r="Q328" s="712"/>
    </row>
    <row r="329" spans="1:17" ht="14.4" customHeight="1" x14ac:dyDescent="0.3">
      <c r="A329" s="695" t="s">
        <v>545</v>
      </c>
      <c r="B329" s="696" t="s">
        <v>4408</v>
      </c>
      <c r="C329" s="696" t="s">
        <v>4114</v>
      </c>
      <c r="D329" s="696" t="s">
        <v>4467</v>
      </c>
      <c r="E329" s="696" t="s">
        <v>4468</v>
      </c>
      <c r="F329" s="711"/>
      <c r="G329" s="711"/>
      <c r="H329" s="711"/>
      <c r="I329" s="711"/>
      <c r="J329" s="711">
        <v>1</v>
      </c>
      <c r="K329" s="711">
        <v>1049</v>
      </c>
      <c r="L329" s="711"/>
      <c r="M329" s="711">
        <v>1049</v>
      </c>
      <c r="N329" s="711"/>
      <c r="O329" s="711"/>
      <c r="P329" s="701"/>
      <c r="Q329" s="712"/>
    </row>
    <row r="330" spans="1:17" ht="14.4" customHeight="1" x14ac:dyDescent="0.3">
      <c r="A330" s="695" t="s">
        <v>545</v>
      </c>
      <c r="B330" s="696" t="s">
        <v>4408</v>
      </c>
      <c r="C330" s="696" t="s">
        <v>4114</v>
      </c>
      <c r="D330" s="696" t="s">
        <v>4469</v>
      </c>
      <c r="E330" s="696" t="s">
        <v>4470</v>
      </c>
      <c r="F330" s="711"/>
      <c r="G330" s="711"/>
      <c r="H330" s="711"/>
      <c r="I330" s="711"/>
      <c r="J330" s="711">
        <v>1</v>
      </c>
      <c r="K330" s="711">
        <v>4932</v>
      </c>
      <c r="L330" s="711"/>
      <c r="M330" s="711">
        <v>4932</v>
      </c>
      <c r="N330" s="711"/>
      <c r="O330" s="711"/>
      <c r="P330" s="701"/>
      <c r="Q330" s="712"/>
    </row>
    <row r="331" spans="1:17" ht="14.4" customHeight="1" x14ac:dyDescent="0.3">
      <c r="A331" s="695" t="s">
        <v>545</v>
      </c>
      <c r="B331" s="696" t="s">
        <v>4408</v>
      </c>
      <c r="C331" s="696" t="s">
        <v>4114</v>
      </c>
      <c r="D331" s="696" t="s">
        <v>4471</v>
      </c>
      <c r="E331" s="696" t="s">
        <v>4430</v>
      </c>
      <c r="F331" s="711"/>
      <c r="G331" s="711"/>
      <c r="H331" s="711"/>
      <c r="I331" s="711"/>
      <c r="J331" s="711"/>
      <c r="K331" s="711"/>
      <c r="L331" s="711"/>
      <c r="M331" s="711"/>
      <c r="N331" s="711">
        <v>1</v>
      </c>
      <c r="O331" s="711">
        <v>559</v>
      </c>
      <c r="P331" s="701"/>
      <c r="Q331" s="712">
        <v>559</v>
      </c>
    </row>
    <row r="332" spans="1:17" ht="14.4" customHeight="1" x14ac:dyDescent="0.3">
      <c r="A332" s="695" t="s">
        <v>545</v>
      </c>
      <c r="B332" s="696" t="s">
        <v>4408</v>
      </c>
      <c r="C332" s="696" t="s">
        <v>4114</v>
      </c>
      <c r="D332" s="696" t="s">
        <v>4472</v>
      </c>
      <c r="E332" s="696" t="s">
        <v>4473</v>
      </c>
      <c r="F332" s="711">
        <v>1</v>
      </c>
      <c r="G332" s="711">
        <v>3513</v>
      </c>
      <c r="H332" s="711">
        <v>1</v>
      </c>
      <c r="I332" s="711">
        <v>3513</v>
      </c>
      <c r="J332" s="711"/>
      <c r="K332" s="711"/>
      <c r="L332" s="711"/>
      <c r="M332" s="711"/>
      <c r="N332" s="711"/>
      <c r="O332" s="711"/>
      <c r="P332" s="701"/>
      <c r="Q332" s="712"/>
    </row>
    <row r="333" spans="1:17" ht="14.4" customHeight="1" x14ac:dyDescent="0.3">
      <c r="A333" s="695" t="s">
        <v>545</v>
      </c>
      <c r="B333" s="696" t="s">
        <v>4474</v>
      </c>
      <c r="C333" s="696" t="s">
        <v>4114</v>
      </c>
      <c r="D333" s="696" t="s">
        <v>4298</v>
      </c>
      <c r="E333" s="696" t="s">
        <v>4299</v>
      </c>
      <c r="F333" s="711"/>
      <c r="G333" s="711"/>
      <c r="H333" s="711"/>
      <c r="I333" s="711"/>
      <c r="J333" s="711">
        <v>3</v>
      </c>
      <c r="K333" s="711">
        <v>0</v>
      </c>
      <c r="L333" s="711"/>
      <c r="M333" s="711">
        <v>0</v>
      </c>
      <c r="N333" s="711"/>
      <c r="O333" s="711"/>
      <c r="P333" s="701"/>
      <c r="Q333" s="712"/>
    </row>
    <row r="334" spans="1:17" ht="14.4" customHeight="1" x14ac:dyDescent="0.3">
      <c r="A334" s="695" t="s">
        <v>545</v>
      </c>
      <c r="B334" s="696" t="s">
        <v>4474</v>
      </c>
      <c r="C334" s="696" t="s">
        <v>4114</v>
      </c>
      <c r="D334" s="696" t="s">
        <v>4310</v>
      </c>
      <c r="E334" s="696" t="s">
        <v>4311</v>
      </c>
      <c r="F334" s="711"/>
      <c r="G334" s="711"/>
      <c r="H334" s="711"/>
      <c r="I334" s="711"/>
      <c r="J334" s="711">
        <v>1</v>
      </c>
      <c r="K334" s="711">
        <v>0</v>
      </c>
      <c r="L334" s="711"/>
      <c r="M334" s="711">
        <v>0</v>
      </c>
      <c r="N334" s="711"/>
      <c r="O334" s="711"/>
      <c r="P334" s="701"/>
      <c r="Q334" s="712"/>
    </row>
    <row r="335" spans="1:17" ht="14.4" customHeight="1" x14ac:dyDescent="0.3">
      <c r="A335" s="695" t="s">
        <v>545</v>
      </c>
      <c r="B335" s="696" t="s">
        <v>4474</v>
      </c>
      <c r="C335" s="696" t="s">
        <v>4114</v>
      </c>
      <c r="D335" s="696" t="s">
        <v>4475</v>
      </c>
      <c r="E335" s="696" t="s">
        <v>4476</v>
      </c>
      <c r="F335" s="711"/>
      <c r="G335" s="711"/>
      <c r="H335" s="711"/>
      <c r="I335" s="711"/>
      <c r="J335" s="711">
        <v>1</v>
      </c>
      <c r="K335" s="711">
        <v>0</v>
      </c>
      <c r="L335" s="711"/>
      <c r="M335" s="711">
        <v>0</v>
      </c>
      <c r="N335" s="711"/>
      <c r="O335" s="711"/>
      <c r="P335" s="701"/>
      <c r="Q335" s="712"/>
    </row>
    <row r="336" spans="1:17" ht="14.4" customHeight="1" x14ac:dyDescent="0.3">
      <c r="A336" s="695" t="s">
        <v>545</v>
      </c>
      <c r="B336" s="696" t="s">
        <v>4474</v>
      </c>
      <c r="C336" s="696" t="s">
        <v>4114</v>
      </c>
      <c r="D336" s="696" t="s">
        <v>4322</v>
      </c>
      <c r="E336" s="696" t="s">
        <v>4323</v>
      </c>
      <c r="F336" s="711"/>
      <c r="G336" s="711"/>
      <c r="H336" s="711"/>
      <c r="I336" s="711"/>
      <c r="J336" s="711">
        <v>2</v>
      </c>
      <c r="K336" s="711">
        <v>0</v>
      </c>
      <c r="L336" s="711"/>
      <c r="M336" s="711">
        <v>0</v>
      </c>
      <c r="N336" s="711"/>
      <c r="O336" s="711"/>
      <c r="P336" s="701"/>
      <c r="Q336" s="712"/>
    </row>
    <row r="337" spans="1:17" ht="14.4" customHeight="1" x14ac:dyDescent="0.3">
      <c r="A337" s="695" t="s">
        <v>545</v>
      </c>
      <c r="B337" s="696" t="s">
        <v>4474</v>
      </c>
      <c r="C337" s="696" t="s">
        <v>4114</v>
      </c>
      <c r="D337" s="696" t="s">
        <v>4332</v>
      </c>
      <c r="E337" s="696" t="s">
        <v>4333</v>
      </c>
      <c r="F337" s="711"/>
      <c r="G337" s="711"/>
      <c r="H337" s="711"/>
      <c r="I337" s="711"/>
      <c r="J337" s="711">
        <v>1</v>
      </c>
      <c r="K337" s="711">
        <v>9034</v>
      </c>
      <c r="L337" s="711"/>
      <c r="M337" s="711">
        <v>9034</v>
      </c>
      <c r="N337" s="711"/>
      <c r="O337" s="711"/>
      <c r="P337" s="701"/>
      <c r="Q337" s="712"/>
    </row>
    <row r="338" spans="1:17" ht="14.4" customHeight="1" x14ac:dyDescent="0.3">
      <c r="A338" s="695" t="s">
        <v>545</v>
      </c>
      <c r="B338" s="696" t="s">
        <v>4474</v>
      </c>
      <c r="C338" s="696" t="s">
        <v>4114</v>
      </c>
      <c r="D338" s="696" t="s">
        <v>4477</v>
      </c>
      <c r="E338" s="696" t="s">
        <v>4478</v>
      </c>
      <c r="F338" s="711"/>
      <c r="G338" s="711"/>
      <c r="H338" s="711"/>
      <c r="I338" s="711"/>
      <c r="J338" s="711">
        <v>1</v>
      </c>
      <c r="K338" s="711">
        <v>431</v>
      </c>
      <c r="L338" s="711"/>
      <c r="M338" s="711">
        <v>431</v>
      </c>
      <c r="N338" s="711"/>
      <c r="O338" s="711"/>
      <c r="P338" s="701"/>
      <c r="Q338" s="712"/>
    </row>
    <row r="339" spans="1:17" ht="14.4" customHeight="1" x14ac:dyDescent="0.3">
      <c r="A339" s="695" t="s">
        <v>545</v>
      </c>
      <c r="B339" s="696" t="s">
        <v>4474</v>
      </c>
      <c r="C339" s="696" t="s">
        <v>4114</v>
      </c>
      <c r="D339" s="696" t="s">
        <v>4348</v>
      </c>
      <c r="E339" s="696" t="s">
        <v>4349</v>
      </c>
      <c r="F339" s="711"/>
      <c r="G339" s="711"/>
      <c r="H339" s="711"/>
      <c r="I339" s="711"/>
      <c r="J339" s="711">
        <v>2</v>
      </c>
      <c r="K339" s="711">
        <v>0</v>
      </c>
      <c r="L339" s="711"/>
      <c r="M339" s="711">
        <v>0</v>
      </c>
      <c r="N339" s="711"/>
      <c r="O339" s="711"/>
      <c r="P339" s="701"/>
      <c r="Q339" s="712"/>
    </row>
    <row r="340" spans="1:17" ht="14.4" customHeight="1" x14ac:dyDescent="0.3">
      <c r="A340" s="695" t="s">
        <v>545</v>
      </c>
      <c r="B340" s="696" t="s">
        <v>4474</v>
      </c>
      <c r="C340" s="696" t="s">
        <v>4114</v>
      </c>
      <c r="D340" s="696" t="s">
        <v>4352</v>
      </c>
      <c r="E340" s="696" t="s">
        <v>4353</v>
      </c>
      <c r="F340" s="711"/>
      <c r="G340" s="711"/>
      <c r="H340" s="711"/>
      <c r="I340" s="711"/>
      <c r="J340" s="711">
        <v>1</v>
      </c>
      <c r="K340" s="711">
        <v>0</v>
      </c>
      <c r="L340" s="711"/>
      <c r="M340" s="711">
        <v>0</v>
      </c>
      <c r="N340" s="711"/>
      <c r="O340" s="711"/>
      <c r="P340" s="701"/>
      <c r="Q340" s="712"/>
    </row>
    <row r="341" spans="1:17" ht="14.4" customHeight="1" x14ac:dyDescent="0.3">
      <c r="A341" s="695" t="s">
        <v>545</v>
      </c>
      <c r="B341" s="696" t="s">
        <v>4474</v>
      </c>
      <c r="C341" s="696" t="s">
        <v>4114</v>
      </c>
      <c r="D341" s="696" t="s">
        <v>4358</v>
      </c>
      <c r="E341" s="696" t="s">
        <v>4359</v>
      </c>
      <c r="F341" s="711"/>
      <c r="G341" s="711"/>
      <c r="H341" s="711"/>
      <c r="I341" s="711"/>
      <c r="J341" s="711">
        <v>2</v>
      </c>
      <c r="K341" s="711">
        <v>0</v>
      </c>
      <c r="L341" s="711"/>
      <c r="M341" s="711">
        <v>0</v>
      </c>
      <c r="N341" s="711"/>
      <c r="O341" s="711"/>
      <c r="P341" s="701"/>
      <c r="Q341" s="712"/>
    </row>
    <row r="342" spans="1:17" ht="14.4" customHeight="1" x14ac:dyDescent="0.3">
      <c r="A342" s="695" t="s">
        <v>545</v>
      </c>
      <c r="B342" s="696" t="s">
        <v>4474</v>
      </c>
      <c r="C342" s="696" t="s">
        <v>4114</v>
      </c>
      <c r="D342" s="696" t="s">
        <v>4479</v>
      </c>
      <c r="E342" s="696" t="s">
        <v>4480</v>
      </c>
      <c r="F342" s="711">
        <v>1</v>
      </c>
      <c r="G342" s="711">
        <v>18299</v>
      </c>
      <c r="H342" s="711">
        <v>1</v>
      </c>
      <c r="I342" s="711">
        <v>18299</v>
      </c>
      <c r="J342" s="711">
        <v>2</v>
      </c>
      <c r="K342" s="711">
        <v>36700</v>
      </c>
      <c r="L342" s="711">
        <v>2.0055740750860704</v>
      </c>
      <c r="M342" s="711">
        <v>18350</v>
      </c>
      <c r="N342" s="711"/>
      <c r="O342" s="711"/>
      <c r="P342" s="701"/>
      <c r="Q342" s="712"/>
    </row>
    <row r="343" spans="1:17" ht="14.4" customHeight="1" x14ac:dyDescent="0.3">
      <c r="A343" s="695" t="s">
        <v>545</v>
      </c>
      <c r="B343" s="696" t="s">
        <v>4474</v>
      </c>
      <c r="C343" s="696" t="s">
        <v>4114</v>
      </c>
      <c r="D343" s="696" t="s">
        <v>4388</v>
      </c>
      <c r="E343" s="696" t="s">
        <v>4389</v>
      </c>
      <c r="F343" s="711"/>
      <c r="G343" s="711"/>
      <c r="H343" s="711"/>
      <c r="I343" s="711"/>
      <c r="J343" s="711">
        <v>1</v>
      </c>
      <c r="K343" s="711">
        <v>0</v>
      </c>
      <c r="L343" s="711"/>
      <c r="M343" s="711">
        <v>0</v>
      </c>
      <c r="N343" s="711"/>
      <c r="O343" s="711"/>
      <c r="P343" s="701"/>
      <c r="Q343" s="712"/>
    </row>
    <row r="344" spans="1:17" ht="14.4" customHeight="1" x14ac:dyDescent="0.3">
      <c r="A344" s="695" t="s">
        <v>545</v>
      </c>
      <c r="B344" s="696" t="s">
        <v>4474</v>
      </c>
      <c r="C344" s="696" t="s">
        <v>4114</v>
      </c>
      <c r="D344" s="696" t="s">
        <v>4481</v>
      </c>
      <c r="E344" s="696" t="s">
        <v>4482</v>
      </c>
      <c r="F344" s="711"/>
      <c r="G344" s="711"/>
      <c r="H344" s="711"/>
      <c r="I344" s="711"/>
      <c r="J344" s="711">
        <v>2</v>
      </c>
      <c r="K344" s="711">
        <v>0</v>
      </c>
      <c r="L344" s="711"/>
      <c r="M344" s="711">
        <v>0</v>
      </c>
      <c r="N344" s="711"/>
      <c r="O344" s="711"/>
      <c r="P344" s="701"/>
      <c r="Q344" s="712"/>
    </row>
    <row r="345" spans="1:17" ht="14.4" customHeight="1" x14ac:dyDescent="0.3">
      <c r="A345" s="695" t="s">
        <v>545</v>
      </c>
      <c r="B345" s="696" t="s">
        <v>4474</v>
      </c>
      <c r="C345" s="696" t="s">
        <v>4114</v>
      </c>
      <c r="D345" s="696" t="s">
        <v>4483</v>
      </c>
      <c r="E345" s="696" t="s">
        <v>4484</v>
      </c>
      <c r="F345" s="711"/>
      <c r="G345" s="711"/>
      <c r="H345" s="711"/>
      <c r="I345" s="711"/>
      <c r="J345" s="711">
        <v>1</v>
      </c>
      <c r="K345" s="711">
        <v>0</v>
      </c>
      <c r="L345" s="711"/>
      <c r="M345" s="711">
        <v>0</v>
      </c>
      <c r="N345" s="711"/>
      <c r="O345" s="711"/>
      <c r="P345" s="701"/>
      <c r="Q345" s="712"/>
    </row>
    <row r="346" spans="1:17" ht="14.4" customHeight="1" x14ac:dyDescent="0.3">
      <c r="A346" s="695" t="s">
        <v>545</v>
      </c>
      <c r="B346" s="696" t="s">
        <v>4485</v>
      </c>
      <c r="C346" s="696" t="s">
        <v>4114</v>
      </c>
      <c r="D346" s="696" t="s">
        <v>4486</v>
      </c>
      <c r="E346" s="696" t="s">
        <v>4487</v>
      </c>
      <c r="F346" s="711"/>
      <c r="G346" s="711"/>
      <c r="H346" s="711"/>
      <c r="I346" s="711"/>
      <c r="J346" s="711">
        <v>1</v>
      </c>
      <c r="K346" s="711">
        <v>5393</v>
      </c>
      <c r="L346" s="711"/>
      <c r="M346" s="711">
        <v>5393</v>
      </c>
      <c r="N346" s="711"/>
      <c r="O346" s="711"/>
      <c r="P346" s="701"/>
      <c r="Q346" s="712"/>
    </row>
    <row r="347" spans="1:17" ht="14.4" customHeight="1" x14ac:dyDescent="0.3">
      <c r="A347" s="695" t="s">
        <v>545</v>
      </c>
      <c r="B347" s="696" t="s">
        <v>4485</v>
      </c>
      <c r="C347" s="696" t="s">
        <v>4114</v>
      </c>
      <c r="D347" s="696" t="s">
        <v>4488</v>
      </c>
      <c r="E347" s="696" t="s">
        <v>4489</v>
      </c>
      <c r="F347" s="711"/>
      <c r="G347" s="711"/>
      <c r="H347" s="711"/>
      <c r="I347" s="711"/>
      <c r="J347" s="711">
        <v>1</v>
      </c>
      <c r="K347" s="711">
        <v>5226</v>
      </c>
      <c r="L347" s="711"/>
      <c r="M347" s="711">
        <v>5226</v>
      </c>
      <c r="N347" s="711"/>
      <c r="O347" s="711"/>
      <c r="P347" s="701"/>
      <c r="Q347" s="712"/>
    </row>
    <row r="348" spans="1:17" ht="14.4" customHeight="1" x14ac:dyDescent="0.3">
      <c r="A348" s="695" t="s">
        <v>545</v>
      </c>
      <c r="B348" s="696" t="s">
        <v>4485</v>
      </c>
      <c r="C348" s="696" t="s">
        <v>4114</v>
      </c>
      <c r="D348" s="696" t="s">
        <v>4490</v>
      </c>
      <c r="E348" s="696" t="s">
        <v>4491</v>
      </c>
      <c r="F348" s="711"/>
      <c r="G348" s="711"/>
      <c r="H348" s="711"/>
      <c r="I348" s="711"/>
      <c r="J348" s="711">
        <v>1</v>
      </c>
      <c r="K348" s="711">
        <v>3571</v>
      </c>
      <c r="L348" s="711"/>
      <c r="M348" s="711">
        <v>3571</v>
      </c>
      <c r="N348" s="711"/>
      <c r="O348" s="711"/>
      <c r="P348" s="701"/>
      <c r="Q348" s="712"/>
    </row>
    <row r="349" spans="1:17" ht="14.4" customHeight="1" x14ac:dyDescent="0.3">
      <c r="A349" s="695" t="s">
        <v>545</v>
      </c>
      <c r="B349" s="696" t="s">
        <v>4485</v>
      </c>
      <c r="C349" s="696" t="s">
        <v>4114</v>
      </c>
      <c r="D349" s="696" t="s">
        <v>4492</v>
      </c>
      <c r="E349" s="696" t="s">
        <v>4493</v>
      </c>
      <c r="F349" s="711"/>
      <c r="G349" s="711"/>
      <c r="H349" s="711"/>
      <c r="I349" s="711"/>
      <c r="J349" s="711">
        <v>1</v>
      </c>
      <c r="K349" s="711">
        <v>1488</v>
      </c>
      <c r="L349" s="711"/>
      <c r="M349" s="711">
        <v>1488</v>
      </c>
      <c r="N349" s="711"/>
      <c r="O349" s="711"/>
      <c r="P349" s="701"/>
      <c r="Q349" s="712"/>
    </row>
    <row r="350" spans="1:17" ht="14.4" customHeight="1" x14ac:dyDescent="0.3">
      <c r="A350" s="695" t="s">
        <v>545</v>
      </c>
      <c r="B350" s="696" t="s">
        <v>4485</v>
      </c>
      <c r="C350" s="696" t="s">
        <v>4114</v>
      </c>
      <c r="D350" s="696" t="s">
        <v>4494</v>
      </c>
      <c r="E350" s="696" t="s">
        <v>4495</v>
      </c>
      <c r="F350" s="711"/>
      <c r="G350" s="711"/>
      <c r="H350" s="711"/>
      <c r="I350" s="711"/>
      <c r="J350" s="711">
        <v>1</v>
      </c>
      <c r="K350" s="711">
        <v>2678</v>
      </c>
      <c r="L350" s="711"/>
      <c r="M350" s="711">
        <v>2678</v>
      </c>
      <c r="N350" s="711"/>
      <c r="O350" s="711"/>
      <c r="P350" s="701"/>
      <c r="Q350" s="712"/>
    </row>
    <row r="351" spans="1:17" ht="14.4" customHeight="1" x14ac:dyDescent="0.3">
      <c r="A351" s="695" t="s">
        <v>545</v>
      </c>
      <c r="B351" s="696" t="s">
        <v>4485</v>
      </c>
      <c r="C351" s="696" t="s">
        <v>4114</v>
      </c>
      <c r="D351" s="696" t="s">
        <v>4496</v>
      </c>
      <c r="E351" s="696" t="s">
        <v>4497</v>
      </c>
      <c r="F351" s="711"/>
      <c r="G351" s="711"/>
      <c r="H351" s="711"/>
      <c r="I351" s="711"/>
      <c r="J351" s="711">
        <v>1</v>
      </c>
      <c r="K351" s="711">
        <v>1104</v>
      </c>
      <c r="L351" s="711"/>
      <c r="M351" s="711">
        <v>1104</v>
      </c>
      <c r="N351" s="711"/>
      <c r="O351" s="711"/>
      <c r="P351" s="701"/>
      <c r="Q351" s="712"/>
    </row>
    <row r="352" spans="1:17" ht="14.4" customHeight="1" x14ac:dyDescent="0.3">
      <c r="A352" s="695" t="s">
        <v>545</v>
      </c>
      <c r="B352" s="696" t="s">
        <v>4485</v>
      </c>
      <c r="C352" s="696" t="s">
        <v>4114</v>
      </c>
      <c r="D352" s="696" t="s">
        <v>4498</v>
      </c>
      <c r="E352" s="696" t="s">
        <v>4499</v>
      </c>
      <c r="F352" s="711"/>
      <c r="G352" s="711"/>
      <c r="H352" s="711"/>
      <c r="I352" s="711"/>
      <c r="J352" s="711">
        <v>1</v>
      </c>
      <c r="K352" s="711">
        <v>3809</v>
      </c>
      <c r="L352" s="711"/>
      <c r="M352" s="711">
        <v>3809</v>
      </c>
      <c r="N352" s="711"/>
      <c r="O352" s="711"/>
      <c r="P352" s="701"/>
      <c r="Q352" s="712"/>
    </row>
    <row r="353" spans="1:17" ht="14.4" customHeight="1" x14ac:dyDescent="0.3">
      <c r="A353" s="695" t="s">
        <v>545</v>
      </c>
      <c r="B353" s="696" t="s">
        <v>4485</v>
      </c>
      <c r="C353" s="696" t="s">
        <v>4114</v>
      </c>
      <c r="D353" s="696" t="s">
        <v>4500</v>
      </c>
      <c r="E353" s="696" t="s">
        <v>4501</v>
      </c>
      <c r="F353" s="711"/>
      <c r="G353" s="711"/>
      <c r="H353" s="711"/>
      <c r="I353" s="711"/>
      <c r="J353" s="711">
        <v>2</v>
      </c>
      <c r="K353" s="711">
        <v>2478</v>
      </c>
      <c r="L353" s="711"/>
      <c r="M353" s="711">
        <v>1239</v>
      </c>
      <c r="N353" s="711"/>
      <c r="O353" s="711"/>
      <c r="P353" s="701"/>
      <c r="Q353" s="712"/>
    </row>
    <row r="354" spans="1:17" ht="14.4" customHeight="1" x14ac:dyDescent="0.3">
      <c r="A354" s="695" t="s">
        <v>545</v>
      </c>
      <c r="B354" s="696" t="s">
        <v>4485</v>
      </c>
      <c r="C354" s="696" t="s">
        <v>4114</v>
      </c>
      <c r="D354" s="696" t="s">
        <v>4502</v>
      </c>
      <c r="E354" s="696" t="s">
        <v>4503</v>
      </c>
      <c r="F354" s="711"/>
      <c r="G354" s="711"/>
      <c r="H354" s="711"/>
      <c r="I354" s="711"/>
      <c r="J354" s="711">
        <v>2</v>
      </c>
      <c r="K354" s="711">
        <v>884</v>
      </c>
      <c r="L354" s="711"/>
      <c r="M354" s="711">
        <v>442</v>
      </c>
      <c r="N354" s="711"/>
      <c r="O354" s="711"/>
      <c r="P354" s="701"/>
      <c r="Q354" s="712"/>
    </row>
    <row r="355" spans="1:17" ht="14.4" customHeight="1" x14ac:dyDescent="0.3">
      <c r="A355" s="695" t="s">
        <v>545</v>
      </c>
      <c r="B355" s="696" t="s">
        <v>4485</v>
      </c>
      <c r="C355" s="696" t="s">
        <v>4114</v>
      </c>
      <c r="D355" s="696" t="s">
        <v>4504</v>
      </c>
      <c r="E355" s="696" t="s">
        <v>4505</v>
      </c>
      <c r="F355" s="711"/>
      <c r="G355" s="711"/>
      <c r="H355" s="711"/>
      <c r="I355" s="711"/>
      <c r="J355" s="711">
        <v>1</v>
      </c>
      <c r="K355" s="711">
        <v>3928</v>
      </c>
      <c r="L355" s="711"/>
      <c r="M355" s="711">
        <v>3928</v>
      </c>
      <c r="N355" s="711"/>
      <c r="O355" s="711"/>
      <c r="P355" s="701"/>
      <c r="Q355" s="712"/>
    </row>
    <row r="356" spans="1:17" ht="14.4" customHeight="1" x14ac:dyDescent="0.3">
      <c r="A356" s="695" t="s">
        <v>545</v>
      </c>
      <c r="B356" s="696" t="s">
        <v>4506</v>
      </c>
      <c r="C356" s="696" t="s">
        <v>4114</v>
      </c>
      <c r="D356" s="696" t="s">
        <v>4507</v>
      </c>
      <c r="E356" s="696" t="s">
        <v>4508</v>
      </c>
      <c r="F356" s="711">
        <v>2</v>
      </c>
      <c r="G356" s="711">
        <v>1994</v>
      </c>
      <c r="H356" s="711">
        <v>1</v>
      </c>
      <c r="I356" s="711">
        <v>997</v>
      </c>
      <c r="J356" s="711"/>
      <c r="K356" s="711"/>
      <c r="L356" s="711"/>
      <c r="M356" s="711"/>
      <c r="N356" s="711"/>
      <c r="O356" s="711"/>
      <c r="P356" s="701"/>
      <c r="Q356" s="712"/>
    </row>
    <row r="357" spans="1:17" ht="14.4" customHeight="1" x14ac:dyDescent="0.3">
      <c r="A357" s="695" t="s">
        <v>545</v>
      </c>
      <c r="B357" s="696" t="s">
        <v>4506</v>
      </c>
      <c r="C357" s="696" t="s">
        <v>4114</v>
      </c>
      <c r="D357" s="696" t="s">
        <v>4509</v>
      </c>
      <c r="E357" s="696" t="s">
        <v>4510</v>
      </c>
      <c r="F357" s="711">
        <v>1</v>
      </c>
      <c r="G357" s="711">
        <v>1525</v>
      </c>
      <c r="H357" s="711">
        <v>1</v>
      </c>
      <c r="I357" s="711">
        <v>1525</v>
      </c>
      <c r="J357" s="711">
        <v>1</v>
      </c>
      <c r="K357" s="711">
        <v>1529</v>
      </c>
      <c r="L357" s="711">
        <v>1.0026229508196722</v>
      </c>
      <c r="M357" s="711">
        <v>1529</v>
      </c>
      <c r="N357" s="711"/>
      <c r="O357" s="711"/>
      <c r="P357" s="701"/>
      <c r="Q357" s="712"/>
    </row>
    <row r="358" spans="1:17" ht="14.4" customHeight="1" x14ac:dyDescent="0.3">
      <c r="A358" s="695" t="s">
        <v>545</v>
      </c>
      <c r="B358" s="696" t="s">
        <v>4506</v>
      </c>
      <c r="C358" s="696" t="s">
        <v>4114</v>
      </c>
      <c r="D358" s="696" t="s">
        <v>4350</v>
      </c>
      <c r="E358" s="696" t="s">
        <v>4351</v>
      </c>
      <c r="F358" s="711"/>
      <c r="G358" s="711"/>
      <c r="H358" s="711"/>
      <c r="I358" s="711"/>
      <c r="J358" s="711">
        <v>1</v>
      </c>
      <c r="K358" s="711">
        <v>351</v>
      </c>
      <c r="L358" s="711"/>
      <c r="M358" s="711">
        <v>351</v>
      </c>
      <c r="N358" s="711"/>
      <c r="O358" s="711"/>
      <c r="P358" s="701"/>
      <c r="Q358" s="712"/>
    </row>
    <row r="359" spans="1:17" ht="14.4" customHeight="1" x14ac:dyDescent="0.3">
      <c r="A359" s="695" t="s">
        <v>545</v>
      </c>
      <c r="B359" s="696" t="s">
        <v>4506</v>
      </c>
      <c r="C359" s="696" t="s">
        <v>4114</v>
      </c>
      <c r="D359" s="696" t="s">
        <v>4511</v>
      </c>
      <c r="E359" s="696" t="s">
        <v>4512</v>
      </c>
      <c r="F359" s="711">
        <v>2</v>
      </c>
      <c r="G359" s="711">
        <v>5246</v>
      </c>
      <c r="H359" s="711">
        <v>1</v>
      </c>
      <c r="I359" s="711">
        <v>2623</v>
      </c>
      <c r="J359" s="711"/>
      <c r="K359" s="711"/>
      <c r="L359" s="711"/>
      <c r="M359" s="711"/>
      <c r="N359" s="711"/>
      <c r="O359" s="711"/>
      <c r="P359" s="701"/>
      <c r="Q359" s="712"/>
    </row>
    <row r="360" spans="1:17" ht="14.4" customHeight="1" x14ac:dyDescent="0.3">
      <c r="A360" s="695" t="s">
        <v>545</v>
      </c>
      <c r="B360" s="696" t="s">
        <v>4506</v>
      </c>
      <c r="C360" s="696" t="s">
        <v>4114</v>
      </c>
      <c r="D360" s="696" t="s">
        <v>4513</v>
      </c>
      <c r="E360" s="696" t="s">
        <v>4514</v>
      </c>
      <c r="F360" s="711">
        <v>1</v>
      </c>
      <c r="G360" s="711">
        <v>684</v>
      </c>
      <c r="H360" s="711">
        <v>1</v>
      </c>
      <c r="I360" s="711">
        <v>684</v>
      </c>
      <c r="J360" s="711">
        <v>1</v>
      </c>
      <c r="K360" s="711">
        <v>686</v>
      </c>
      <c r="L360" s="711">
        <v>1.0029239766081872</v>
      </c>
      <c r="M360" s="711">
        <v>686</v>
      </c>
      <c r="N360" s="711"/>
      <c r="O360" s="711"/>
      <c r="P360" s="701"/>
      <c r="Q360" s="712"/>
    </row>
    <row r="361" spans="1:17" ht="14.4" customHeight="1" x14ac:dyDescent="0.3">
      <c r="A361" s="695" t="s">
        <v>545</v>
      </c>
      <c r="B361" s="696" t="s">
        <v>4506</v>
      </c>
      <c r="C361" s="696" t="s">
        <v>4114</v>
      </c>
      <c r="D361" s="696" t="s">
        <v>4515</v>
      </c>
      <c r="E361" s="696" t="s">
        <v>4516</v>
      </c>
      <c r="F361" s="711"/>
      <c r="G361" s="711"/>
      <c r="H361" s="711"/>
      <c r="I361" s="711"/>
      <c r="J361" s="711">
        <v>1</v>
      </c>
      <c r="K361" s="711">
        <v>808</v>
      </c>
      <c r="L361" s="711"/>
      <c r="M361" s="711">
        <v>808</v>
      </c>
      <c r="N361" s="711"/>
      <c r="O361" s="711"/>
      <c r="P361" s="701"/>
      <c r="Q361" s="712"/>
    </row>
    <row r="362" spans="1:17" ht="14.4" customHeight="1" x14ac:dyDescent="0.3">
      <c r="A362" s="695" t="s">
        <v>545</v>
      </c>
      <c r="B362" s="696" t="s">
        <v>4506</v>
      </c>
      <c r="C362" s="696" t="s">
        <v>4114</v>
      </c>
      <c r="D362" s="696" t="s">
        <v>4517</v>
      </c>
      <c r="E362" s="696" t="s">
        <v>4518</v>
      </c>
      <c r="F362" s="711">
        <v>1</v>
      </c>
      <c r="G362" s="711">
        <v>1793</v>
      </c>
      <c r="H362" s="711">
        <v>1</v>
      </c>
      <c r="I362" s="711">
        <v>1793</v>
      </c>
      <c r="J362" s="711"/>
      <c r="K362" s="711"/>
      <c r="L362" s="711"/>
      <c r="M362" s="711"/>
      <c r="N362" s="711"/>
      <c r="O362" s="711"/>
      <c r="P362" s="701"/>
      <c r="Q362" s="712"/>
    </row>
    <row r="363" spans="1:17" ht="14.4" customHeight="1" x14ac:dyDescent="0.3">
      <c r="A363" s="695" t="s">
        <v>545</v>
      </c>
      <c r="B363" s="696" t="s">
        <v>4519</v>
      </c>
      <c r="C363" s="696" t="s">
        <v>4114</v>
      </c>
      <c r="D363" s="696" t="s">
        <v>4520</v>
      </c>
      <c r="E363" s="696" t="s">
        <v>4521</v>
      </c>
      <c r="F363" s="711">
        <v>2</v>
      </c>
      <c r="G363" s="711">
        <v>670</v>
      </c>
      <c r="H363" s="711">
        <v>1</v>
      </c>
      <c r="I363" s="711">
        <v>335</v>
      </c>
      <c r="J363" s="711"/>
      <c r="K363" s="711"/>
      <c r="L363" s="711"/>
      <c r="M363" s="711"/>
      <c r="N363" s="711">
        <v>1</v>
      </c>
      <c r="O363" s="711">
        <v>342</v>
      </c>
      <c r="P363" s="701">
        <v>0.5104477611940299</v>
      </c>
      <c r="Q363" s="712">
        <v>342</v>
      </c>
    </row>
    <row r="364" spans="1:17" ht="14.4" customHeight="1" x14ac:dyDescent="0.3">
      <c r="A364" s="695" t="s">
        <v>545</v>
      </c>
      <c r="B364" s="696" t="s">
        <v>4519</v>
      </c>
      <c r="C364" s="696" t="s">
        <v>4114</v>
      </c>
      <c r="D364" s="696" t="s">
        <v>4522</v>
      </c>
      <c r="E364" s="696" t="s">
        <v>4523</v>
      </c>
      <c r="F364" s="711">
        <v>1</v>
      </c>
      <c r="G364" s="711">
        <v>343</v>
      </c>
      <c r="H364" s="711">
        <v>1</v>
      </c>
      <c r="I364" s="711">
        <v>343</v>
      </c>
      <c r="J364" s="711"/>
      <c r="K364" s="711"/>
      <c r="L364" s="711"/>
      <c r="M364" s="711"/>
      <c r="N364" s="711">
        <v>1</v>
      </c>
      <c r="O364" s="711">
        <v>350</v>
      </c>
      <c r="P364" s="701">
        <v>1.0204081632653061</v>
      </c>
      <c r="Q364" s="712">
        <v>350</v>
      </c>
    </row>
    <row r="365" spans="1:17" ht="14.4" customHeight="1" x14ac:dyDescent="0.3">
      <c r="A365" s="695" t="s">
        <v>545</v>
      </c>
      <c r="B365" s="696" t="s">
        <v>4519</v>
      </c>
      <c r="C365" s="696" t="s">
        <v>4114</v>
      </c>
      <c r="D365" s="696" t="s">
        <v>4524</v>
      </c>
      <c r="E365" s="696" t="s">
        <v>4525</v>
      </c>
      <c r="F365" s="711">
        <v>1</v>
      </c>
      <c r="G365" s="711">
        <v>907</v>
      </c>
      <c r="H365" s="711">
        <v>1</v>
      </c>
      <c r="I365" s="711">
        <v>907</v>
      </c>
      <c r="J365" s="711"/>
      <c r="K365" s="711"/>
      <c r="L365" s="711"/>
      <c r="M365" s="711"/>
      <c r="N365" s="711">
        <v>1</v>
      </c>
      <c r="O365" s="711">
        <v>921</v>
      </c>
      <c r="P365" s="701">
        <v>1.0154355016538037</v>
      </c>
      <c r="Q365" s="712">
        <v>921</v>
      </c>
    </row>
    <row r="366" spans="1:17" ht="14.4" customHeight="1" x14ac:dyDescent="0.3">
      <c r="A366" s="695" t="s">
        <v>545</v>
      </c>
      <c r="B366" s="696" t="s">
        <v>4519</v>
      </c>
      <c r="C366" s="696" t="s">
        <v>4114</v>
      </c>
      <c r="D366" s="696" t="s">
        <v>4526</v>
      </c>
      <c r="E366" s="696" t="s">
        <v>4527</v>
      </c>
      <c r="F366" s="711"/>
      <c r="G366" s="711"/>
      <c r="H366" s="711"/>
      <c r="I366" s="711"/>
      <c r="J366" s="711"/>
      <c r="K366" s="711"/>
      <c r="L366" s="711"/>
      <c r="M366" s="711"/>
      <c r="N366" s="711">
        <v>2</v>
      </c>
      <c r="O366" s="711">
        <v>708</v>
      </c>
      <c r="P366" s="701"/>
      <c r="Q366" s="712">
        <v>354</v>
      </c>
    </row>
    <row r="367" spans="1:17" ht="14.4" customHeight="1" x14ac:dyDescent="0.3">
      <c r="A367" s="695" t="s">
        <v>545</v>
      </c>
      <c r="B367" s="696" t="s">
        <v>4519</v>
      </c>
      <c r="C367" s="696" t="s">
        <v>4114</v>
      </c>
      <c r="D367" s="696" t="s">
        <v>4528</v>
      </c>
      <c r="E367" s="696" t="s">
        <v>4529</v>
      </c>
      <c r="F367" s="711">
        <v>1</v>
      </c>
      <c r="G367" s="711">
        <v>311</v>
      </c>
      <c r="H367" s="711">
        <v>1</v>
      </c>
      <c r="I367" s="711">
        <v>311</v>
      </c>
      <c r="J367" s="711"/>
      <c r="K367" s="711"/>
      <c r="L367" s="711"/>
      <c r="M367" s="711"/>
      <c r="N367" s="711"/>
      <c r="O367" s="711"/>
      <c r="P367" s="701"/>
      <c r="Q367" s="712"/>
    </row>
    <row r="368" spans="1:17" ht="14.4" customHeight="1" x14ac:dyDescent="0.3">
      <c r="A368" s="695" t="s">
        <v>545</v>
      </c>
      <c r="B368" s="696" t="s">
        <v>4519</v>
      </c>
      <c r="C368" s="696" t="s">
        <v>4114</v>
      </c>
      <c r="D368" s="696" t="s">
        <v>4530</v>
      </c>
      <c r="E368" s="696" t="s">
        <v>4531</v>
      </c>
      <c r="F368" s="711">
        <v>1</v>
      </c>
      <c r="G368" s="711">
        <v>310</v>
      </c>
      <c r="H368" s="711">
        <v>1</v>
      </c>
      <c r="I368" s="711">
        <v>310</v>
      </c>
      <c r="J368" s="711"/>
      <c r="K368" s="711"/>
      <c r="L368" s="711"/>
      <c r="M368" s="711"/>
      <c r="N368" s="711"/>
      <c r="O368" s="711"/>
      <c r="P368" s="701"/>
      <c r="Q368" s="712"/>
    </row>
    <row r="369" spans="1:17" ht="14.4" customHeight="1" x14ac:dyDescent="0.3">
      <c r="A369" s="695" t="s">
        <v>545</v>
      </c>
      <c r="B369" s="696" t="s">
        <v>4519</v>
      </c>
      <c r="C369" s="696" t="s">
        <v>4114</v>
      </c>
      <c r="D369" s="696" t="s">
        <v>4532</v>
      </c>
      <c r="E369" s="696" t="s">
        <v>4533</v>
      </c>
      <c r="F369" s="711">
        <v>10</v>
      </c>
      <c r="G369" s="711">
        <v>23910</v>
      </c>
      <c r="H369" s="711">
        <v>1</v>
      </c>
      <c r="I369" s="711">
        <v>2391</v>
      </c>
      <c r="J369" s="711"/>
      <c r="K369" s="711"/>
      <c r="L369" s="711"/>
      <c r="M369" s="711"/>
      <c r="N369" s="711"/>
      <c r="O369" s="711"/>
      <c r="P369" s="701"/>
      <c r="Q369" s="712"/>
    </row>
    <row r="370" spans="1:17" ht="14.4" customHeight="1" x14ac:dyDescent="0.3">
      <c r="A370" s="695" t="s">
        <v>545</v>
      </c>
      <c r="B370" s="696" t="s">
        <v>4519</v>
      </c>
      <c r="C370" s="696" t="s">
        <v>4114</v>
      </c>
      <c r="D370" s="696" t="s">
        <v>4534</v>
      </c>
      <c r="E370" s="696" t="s">
        <v>4535</v>
      </c>
      <c r="F370" s="711">
        <v>2</v>
      </c>
      <c r="G370" s="711">
        <v>1186</v>
      </c>
      <c r="H370" s="711">
        <v>1</v>
      </c>
      <c r="I370" s="711">
        <v>593</v>
      </c>
      <c r="J370" s="711"/>
      <c r="K370" s="711"/>
      <c r="L370" s="711"/>
      <c r="M370" s="711"/>
      <c r="N370" s="711">
        <v>2</v>
      </c>
      <c r="O370" s="711">
        <v>1210</v>
      </c>
      <c r="P370" s="701">
        <v>1.0202360876897134</v>
      </c>
      <c r="Q370" s="712">
        <v>605</v>
      </c>
    </row>
    <row r="371" spans="1:17" ht="14.4" customHeight="1" x14ac:dyDescent="0.3">
      <c r="A371" s="695" t="s">
        <v>545</v>
      </c>
      <c r="B371" s="696" t="s">
        <v>4519</v>
      </c>
      <c r="C371" s="696" t="s">
        <v>4114</v>
      </c>
      <c r="D371" s="696" t="s">
        <v>4536</v>
      </c>
      <c r="E371" s="696" t="s">
        <v>4537</v>
      </c>
      <c r="F371" s="711">
        <v>1</v>
      </c>
      <c r="G371" s="711">
        <v>1434</v>
      </c>
      <c r="H371" s="711">
        <v>1</v>
      </c>
      <c r="I371" s="711">
        <v>1434</v>
      </c>
      <c r="J371" s="711"/>
      <c r="K371" s="711"/>
      <c r="L371" s="711"/>
      <c r="M371" s="711"/>
      <c r="N371" s="711"/>
      <c r="O371" s="711"/>
      <c r="P371" s="701"/>
      <c r="Q371" s="712"/>
    </row>
    <row r="372" spans="1:17" ht="14.4" customHeight="1" x14ac:dyDescent="0.3">
      <c r="A372" s="695" t="s">
        <v>545</v>
      </c>
      <c r="B372" s="696" t="s">
        <v>4082</v>
      </c>
      <c r="C372" s="696" t="s">
        <v>4103</v>
      </c>
      <c r="D372" s="696" t="s">
        <v>4251</v>
      </c>
      <c r="E372" s="696" t="s">
        <v>4252</v>
      </c>
      <c r="F372" s="711">
        <v>2</v>
      </c>
      <c r="G372" s="711">
        <v>4620</v>
      </c>
      <c r="H372" s="711">
        <v>1</v>
      </c>
      <c r="I372" s="711">
        <v>2310</v>
      </c>
      <c r="J372" s="711">
        <v>6</v>
      </c>
      <c r="K372" s="711">
        <v>13860</v>
      </c>
      <c r="L372" s="711">
        <v>3</v>
      </c>
      <c r="M372" s="711">
        <v>2310</v>
      </c>
      <c r="N372" s="711">
        <v>3</v>
      </c>
      <c r="O372" s="711">
        <v>6930</v>
      </c>
      <c r="P372" s="701">
        <v>1.5</v>
      </c>
      <c r="Q372" s="712">
        <v>2310</v>
      </c>
    </row>
    <row r="373" spans="1:17" ht="14.4" customHeight="1" x14ac:dyDescent="0.3">
      <c r="A373" s="695" t="s">
        <v>545</v>
      </c>
      <c r="B373" s="696" t="s">
        <v>4082</v>
      </c>
      <c r="C373" s="696" t="s">
        <v>4103</v>
      </c>
      <c r="D373" s="696" t="s">
        <v>4228</v>
      </c>
      <c r="E373" s="696" t="s">
        <v>4229</v>
      </c>
      <c r="F373" s="711"/>
      <c r="G373" s="711"/>
      <c r="H373" s="711"/>
      <c r="I373" s="711"/>
      <c r="J373" s="711">
        <v>6</v>
      </c>
      <c r="K373" s="711">
        <v>5428.5</v>
      </c>
      <c r="L373" s="711"/>
      <c r="M373" s="711">
        <v>904.75</v>
      </c>
      <c r="N373" s="711">
        <v>23</v>
      </c>
      <c r="O373" s="711">
        <v>20809.25</v>
      </c>
      <c r="P373" s="701"/>
      <c r="Q373" s="712">
        <v>904.75</v>
      </c>
    </row>
    <row r="374" spans="1:17" ht="14.4" customHeight="1" x14ac:dyDescent="0.3">
      <c r="A374" s="695" t="s">
        <v>545</v>
      </c>
      <c r="B374" s="696" t="s">
        <v>4082</v>
      </c>
      <c r="C374" s="696" t="s">
        <v>4103</v>
      </c>
      <c r="D374" s="696" t="s">
        <v>4106</v>
      </c>
      <c r="E374" s="696" t="s">
        <v>4107</v>
      </c>
      <c r="F374" s="711"/>
      <c r="G374" s="711"/>
      <c r="H374" s="711"/>
      <c r="I374" s="711"/>
      <c r="J374" s="711">
        <v>1</v>
      </c>
      <c r="K374" s="711">
        <v>242.64</v>
      </c>
      <c r="L374" s="711"/>
      <c r="M374" s="711">
        <v>242.64</v>
      </c>
      <c r="N374" s="711"/>
      <c r="O374" s="711"/>
      <c r="P374" s="701"/>
      <c r="Q374" s="712"/>
    </row>
    <row r="375" spans="1:17" ht="14.4" customHeight="1" x14ac:dyDescent="0.3">
      <c r="A375" s="695" t="s">
        <v>545</v>
      </c>
      <c r="B375" s="696" t="s">
        <v>4082</v>
      </c>
      <c r="C375" s="696" t="s">
        <v>4114</v>
      </c>
      <c r="D375" s="696" t="s">
        <v>4230</v>
      </c>
      <c r="E375" s="696" t="s">
        <v>4231</v>
      </c>
      <c r="F375" s="711">
        <v>16</v>
      </c>
      <c r="G375" s="711">
        <v>2960</v>
      </c>
      <c r="H375" s="711">
        <v>1</v>
      </c>
      <c r="I375" s="711">
        <v>185</v>
      </c>
      <c r="J375" s="711">
        <v>16</v>
      </c>
      <c r="K375" s="711">
        <v>2960</v>
      </c>
      <c r="L375" s="711">
        <v>1</v>
      </c>
      <c r="M375" s="711">
        <v>185</v>
      </c>
      <c r="N375" s="711">
        <v>13</v>
      </c>
      <c r="O375" s="711">
        <v>2423</v>
      </c>
      <c r="P375" s="701">
        <v>0.81858108108108107</v>
      </c>
      <c r="Q375" s="712">
        <v>186.38461538461539</v>
      </c>
    </row>
    <row r="376" spans="1:17" ht="14.4" customHeight="1" x14ac:dyDescent="0.3">
      <c r="A376" s="695" t="s">
        <v>545</v>
      </c>
      <c r="B376" s="696" t="s">
        <v>4082</v>
      </c>
      <c r="C376" s="696" t="s">
        <v>4114</v>
      </c>
      <c r="D376" s="696" t="s">
        <v>4266</v>
      </c>
      <c r="E376" s="696" t="s">
        <v>4267</v>
      </c>
      <c r="F376" s="711"/>
      <c r="G376" s="711"/>
      <c r="H376" s="711"/>
      <c r="I376" s="711"/>
      <c r="J376" s="711"/>
      <c r="K376" s="711"/>
      <c r="L376" s="711"/>
      <c r="M376" s="711"/>
      <c r="N376" s="711">
        <v>2</v>
      </c>
      <c r="O376" s="711">
        <v>2272</v>
      </c>
      <c r="P376" s="701"/>
      <c r="Q376" s="712">
        <v>1136</v>
      </c>
    </row>
    <row r="377" spans="1:17" ht="14.4" customHeight="1" x14ac:dyDescent="0.3">
      <c r="A377" s="695" t="s">
        <v>545</v>
      </c>
      <c r="B377" s="696" t="s">
        <v>4082</v>
      </c>
      <c r="C377" s="696" t="s">
        <v>4114</v>
      </c>
      <c r="D377" s="696" t="s">
        <v>4126</v>
      </c>
      <c r="E377" s="696" t="s">
        <v>4078</v>
      </c>
      <c r="F377" s="711">
        <v>2</v>
      </c>
      <c r="G377" s="711">
        <v>156</v>
      </c>
      <c r="H377" s="711">
        <v>1</v>
      </c>
      <c r="I377" s="711">
        <v>78</v>
      </c>
      <c r="J377" s="711"/>
      <c r="K377" s="711"/>
      <c r="L377" s="711"/>
      <c r="M377" s="711"/>
      <c r="N377" s="711"/>
      <c r="O377" s="711"/>
      <c r="P377" s="701"/>
      <c r="Q377" s="712"/>
    </row>
    <row r="378" spans="1:17" ht="14.4" customHeight="1" x14ac:dyDescent="0.3">
      <c r="A378" s="695" t="s">
        <v>545</v>
      </c>
      <c r="B378" s="696" t="s">
        <v>4082</v>
      </c>
      <c r="C378" s="696" t="s">
        <v>4114</v>
      </c>
      <c r="D378" s="696" t="s">
        <v>4127</v>
      </c>
      <c r="E378" s="696" t="s">
        <v>4128</v>
      </c>
      <c r="F378" s="711">
        <v>100</v>
      </c>
      <c r="G378" s="711">
        <v>23100</v>
      </c>
      <c r="H378" s="711">
        <v>1</v>
      </c>
      <c r="I378" s="711">
        <v>231</v>
      </c>
      <c r="J378" s="711">
        <v>80</v>
      </c>
      <c r="K378" s="711">
        <v>18560</v>
      </c>
      <c r="L378" s="711">
        <v>0.80346320346320343</v>
      </c>
      <c r="M378" s="711">
        <v>232</v>
      </c>
      <c r="N378" s="711">
        <v>95</v>
      </c>
      <c r="O378" s="711">
        <v>22128</v>
      </c>
      <c r="P378" s="701">
        <v>0.95792207792207795</v>
      </c>
      <c r="Q378" s="712">
        <v>232.92631578947368</v>
      </c>
    </row>
    <row r="379" spans="1:17" ht="14.4" customHeight="1" x14ac:dyDescent="0.3">
      <c r="A379" s="695" t="s">
        <v>545</v>
      </c>
      <c r="B379" s="696" t="s">
        <v>4082</v>
      </c>
      <c r="C379" s="696" t="s">
        <v>4114</v>
      </c>
      <c r="D379" s="696" t="s">
        <v>4129</v>
      </c>
      <c r="E379" s="696" t="s">
        <v>4130</v>
      </c>
      <c r="F379" s="711">
        <v>12</v>
      </c>
      <c r="G379" s="711">
        <v>1392</v>
      </c>
      <c r="H379" s="711">
        <v>1</v>
      </c>
      <c r="I379" s="711">
        <v>116</v>
      </c>
      <c r="J379" s="711">
        <v>7</v>
      </c>
      <c r="K379" s="711">
        <v>812</v>
      </c>
      <c r="L379" s="711">
        <v>0.58333333333333337</v>
      </c>
      <c r="M379" s="711">
        <v>116</v>
      </c>
      <c r="N379" s="711">
        <v>7</v>
      </c>
      <c r="O379" s="711">
        <v>818</v>
      </c>
      <c r="P379" s="701">
        <v>0.58764367816091956</v>
      </c>
      <c r="Q379" s="712">
        <v>116.85714285714286</v>
      </c>
    </row>
    <row r="380" spans="1:17" ht="14.4" customHeight="1" x14ac:dyDescent="0.3">
      <c r="A380" s="695" t="s">
        <v>545</v>
      </c>
      <c r="B380" s="696" t="s">
        <v>4082</v>
      </c>
      <c r="C380" s="696" t="s">
        <v>4114</v>
      </c>
      <c r="D380" s="696" t="s">
        <v>4131</v>
      </c>
      <c r="E380" s="696" t="s">
        <v>4132</v>
      </c>
      <c r="F380" s="711">
        <v>1</v>
      </c>
      <c r="G380" s="711">
        <v>319</v>
      </c>
      <c r="H380" s="711">
        <v>1</v>
      </c>
      <c r="I380" s="711">
        <v>319</v>
      </c>
      <c r="J380" s="711"/>
      <c r="K380" s="711"/>
      <c r="L380" s="711"/>
      <c r="M380" s="711"/>
      <c r="N380" s="711">
        <v>2</v>
      </c>
      <c r="O380" s="711">
        <v>640</v>
      </c>
      <c r="P380" s="701">
        <v>2.0062695924764888</v>
      </c>
      <c r="Q380" s="712">
        <v>320</v>
      </c>
    </row>
    <row r="381" spans="1:17" ht="14.4" customHeight="1" x14ac:dyDescent="0.3">
      <c r="A381" s="695" t="s">
        <v>545</v>
      </c>
      <c r="B381" s="696" t="s">
        <v>4082</v>
      </c>
      <c r="C381" s="696" t="s">
        <v>4114</v>
      </c>
      <c r="D381" s="696" t="s">
        <v>4133</v>
      </c>
      <c r="E381" s="696" t="s">
        <v>4134</v>
      </c>
      <c r="F381" s="711">
        <v>5</v>
      </c>
      <c r="G381" s="711">
        <v>2415</v>
      </c>
      <c r="H381" s="711">
        <v>1</v>
      </c>
      <c r="I381" s="711">
        <v>483</v>
      </c>
      <c r="J381" s="711">
        <v>8</v>
      </c>
      <c r="K381" s="711">
        <v>3872</v>
      </c>
      <c r="L381" s="711">
        <v>1.6033126293995859</v>
      </c>
      <c r="M381" s="711">
        <v>484</v>
      </c>
      <c r="N381" s="711"/>
      <c r="O381" s="711"/>
      <c r="P381" s="701"/>
      <c r="Q381" s="712"/>
    </row>
    <row r="382" spans="1:17" ht="14.4" customHeight="1" x14ac:dyDescent="0.3">
      <c r="A382" s="695" t="s">
        <v>545</v>
      </c>
      <c r="B382" s="696" t="s">
        <v>4082</v>
      </c>
      <c r="C382" s="696" t="s">
        <v>4114</v>
      </c>
      <c r="D382" s="696" t="s">
        <v>4135</v>
      </c>
      <c r="E382" s="696" t="s">
        <v>4136</v>
      </c>
      <c r="F382" s="711">
        <v>2</v>
      </c>
      <c r="G382" s="711">
        <v>1352</v>
      </c>
      <c r="H382" s="711">
        <v>1</v>
      </c>
      <c r="I382" s="711">
        <v>676</v>
      </c>
      <c r="J382" s="711"/>
      <c r="K382" s="711"/>
      <c r="L382" s="711"/>
      <c r="M382" s="711"/>
      <c r="N382" s="711"/>
      <c r="O382" s="711"/>
      <c r="P382" s="701"/>
      <c r="Q382" s="712"/>
    </row>
    <row r="383" spans="1:17" ht="14.4" customHeight="1" x14ac:dyDescent="0.3">
      <c r="A383" s="695" t="s">
        <v>545</v>
      </c>
      <c r="B383" s="696" t="s">
        <v>4082</v>
      </c>
      <c r="C383" s="696" t="s">
        <v>4114</v>
      </c>
      <c r="D383" s="696" t="s">
        <v>4137</v>
      </c>
      <c r="E383" s="696" t="s">
        <v>4138</v>
      </c>
      <c r="F383" s="711">
        <v>1</v>
      </c>
      <c r="G383" s="711">
        <v>748</v>
      </c>
      <c r="H383" s="711">
        <v>1</v>
      </c>
      <c r="I383" s="711">
        <v>748</v>
      </c>
      <c r="J383" s="711">
        <v>1</v>
      </c>
      <c r="K383" s="711">
        <v>749</v>
      </c>
      <c r="L383" s="711">
        <v>1.0013368983957218</v>
      </c>
      <c r="M383" s="711">
        <v>749</v>
      </c>
      <c r="N383" s="711"/>
      <c r="O383" s="711"/>
      <c r="P383" s="701"/>
      <c r="Q383" s="712"/>
    </row>
    <row r="384" spans="1:17" ht="14.4" customHeight="1" x14ac:dyDescent="0.3">
      <c r="A384" s="695" t="s">
        <v>545</v>
      </c>
      <c r="B384" s="696" t="s">
        <v>4082</v>
      </c>
      <c r="C384" s="696" t="s">
        <v>4114</v>
      </c>
      <c r="D384" s="696" t="s">
        <v>4139</v>
      </c>
      <c r="E384" s="696" t="s">
        <v>4134</v>
      </c>
      <c r="F384" s="711">
        <v>3</v>
      </c>
      <c r="G384" s="711">
        <v>1650</v>
      </c>
      <c r="H384" s="711">
        <v>1</v>
      </c>
      <c r="I384" s="711">
        <v>550</v>
      </c>
      <c r="J384" s="711">
        <v>8</v>
      </c>
      <c r="K384" s="711">
        <v>4424</v>
      </c>
      <c r="L384" s="711">
        <v>2.6812121212121212</v>
      </c>
      <c r="M384" s="711">
        <v>553</v>
      </c>
      <c r="N384" s="711">
        <v>2</v>
      </c>
      <c r="O384" s="711">
        <v>1106</v>
      </c>
      <c r="P384" s="701">
        <v>0.67030303030303029</v>
      </c>
      <c r="Q384" s="712">
        <v>553</v>
      </c>
    </row>
    <row r="385" spans="1:17" ht="14.4" customHeight="1" x14ac:dyDescent="0.3">
      <c r="A385" s="695" t="s">
        <v>545</v>
      </c>
      <c r="B385" s="696" t="s">
        <v>4082</v>
      </c>
      <c r="C385" s="696" t="s">
        <v>4114</v>
      </c>
      <c r="D385" s="696" t="s">
        <v>4140</v>
      </c>
      <c r="E385" s="696" t="s">
        <v>4136</v>
      </c>
      <c r="F385" s="711">
        <v>3</v>
      </c>
      <c r="G385" s="711">
        <v>2229</v>
      </c>
      <c r="H385" s="711">
        <v>1</v>
      </c>
      <c r="I385" s="711">
        <v>743</v>
      </c>
      <c r="J385" s="711">
        <v>1</v>
      </c>
      <c r="K385" s="711">
        <v>746</v>
      </c>
      <c r="L385" s="711">
        <v>0.33467922835352176</v>
      </c>
      <c r="M385" s="711">
        <v>746</v>
      </c>
      <c r="N385" s="711"/>
      <c r="O385" s="711"/>
      <c r="P385" s="701"/>
      <c r="Q385" s="712"/>
    </row>
    <row r="386" spans="1:17" ht="14.4" customHeight="1" x14ac:dyDescent="0.3">
      <c r="A386" s="695" t="s">
        <v>545</v>
      </c>
      <c r="B386" s="696" t="s">
        <v>4082</v>
      </c>
      <c r="C386" s="696" t="s">
        <v>4114</v>
      </c>
      <c r="D386" s="696" t="s">
        <v>4232</v>
      </c>
      <c r="E386" s="696" t="s">
        <v>4233</v>
      </c>
      <c r="F386" s="711">
        <v>150</v>
      </c>
      <c r="G386" s="711">
        <v>120000</v>
      </c>
      <c r="H386" s="711">
        <v>1</v>
      </c>
      <c r="I386" s="711">
        <v>800</v>
      </c>
      <c r="J386" s="711">
        <v>125</v>
      </c>
      <c r="K386" s="711">
        <v>100375</v>
      </c>
      <c r="L386" s="711">
        <v>0.8364583333333333</v>
      </c>
      <c r="M386" s="711">
        <v>803</v>
      </c>
      <c r="N386" s="711">
        <v>170</v>
      </c>
      <c r="O386" s="711">
        <v>136802</v>
      </c>
      <c r="P386" s="701">
        <v>1.1400166666666667</v>
      </c>
      <c r="Q386" s="712">
        <v>804.71764705882356</v>
      </c>
    </row>
    <row r="387" spans="1:17" ht="14.4" customHeight="1" x14ac:dyDescent="0.3">
      <c r="A387" s="695" t="s">
        <v>545</v>
      </c>
      <c r="B387" s="696" t="s">
        <v>4082</v>
      </c>
      <c r="C387" s="696" t="s">
        <v>4114</v>
      </c>
      <c r="D387" s="696" t="s">
        <v>4255</v>
      </c>
      <c r="E387" s="696" t="s">
        <v>4181</v>
      </c>
      <c r="F387" s="711"/>
      <c r="G387" s="711"/>
      <c r="H387" s="711"/>
      <c r="I387" s="711"/>
      <c r="J387" s="711">
        <v>4</v>
      </c>
      <c r="K387" s="711">
        <v>2820</v>
      </c>
      <c r="L387" s="711"/>
      <c r="M387" s="711">
        <v>705</v>
      </c>
      <c r="N387" s="711">
        <v>3</v>
      </c>
      <c r="O387" s="711">
        <v>2122</v>
      </c>
      <c r="P387" s="701"/>
      <c r="Q387" s="712">
        <v>707.33333333333337</v>
      </c>
    </row>
    <row r="388" spans="1:17" ht="14.4" customHeight="1" x14ac:dyDescent="0.3">
      <c r="A388" s="695" t="s">
        <v>545</v>
      </c>
      <c r="B388" s="696" t="s">
        <v>4082</v>
      </c>
      <c r="C388" s="696" t="s">
        <v>4114</v>
      </c>
      <c r="D388" s="696" t="s">
        <v>4256</v>
      </c>
      <c r="E388" s="696" t="s">
        <v>4138</v>
      </c>
      <c r="F388" s="711"/>
      <c r="G388" s="711"/>
      <c r="H388" s="711"/>
      <c r="I388" s="711"/>
      <c r="J388" s="711">
        <v>4</v>
      </c>
      <c r="K388" s="711">
        <v>3272</v>
      </c>
      <c r="L388" s="711"/>
      <c r="M388" s="711">
        <v>818</v>
      </c>
      <c r="N388" s="711">
        <v>2</v>
      </c>
      <c r="O388" s="711">
        <v>1640</v>
      </c>
      <c r="P388" s="701"/>
      <c r="Q388" s="712">
        <v>820</v>
      </c>
    </row>
    <row r="389" spans="1:17" ht="14.4" customHeight="1" x14ac:dyDescent="0.3">
      <c r="A389" s="695" t="s">
        <v>545</v>
      </c>
      <c r="B389" s="696" t="s">
        <v>4082</v>
      </c>
      <c r="C389" s="696" t="s">
        <v>4114</v>
      </c>
      <c r="D389" s="696" t="s">
        <v>4145</v>
      </c>
      <c r="E389" s="696" t="s">
        <v>4146</v>
      </c>
      <c r="F389" s="711">
        <v>31</v>
      </c>
      <c r="G389" s="711">
        <v>6386</v>
      </c>
      <c r="H389" s="711">
        <v>1</v>
      </c>
      <c r="I389" s="711">
        <v>206</v>
      </c>
      <c r="J389" s="711">
        <v>27</v>
      </c>
      <c r="K389" s="711">
        <v>5589</v>
      </c>
      <c r="L389" s="711">
        <v>0.87519574068274353</v>
      </c>
      <c r="M389" s="711">
        <v>207</v>
      </c>
      <c r="N389" s="711">
        <v>31</v>
      </c>
      <c r="O389" s="711">
        <v>6449</v>
      </c>
      <c r="P389" s="701">
        <v>1.0098653304102725</v>
      </c>
      <c r="Q389" s="712">
        <v>208.03225806451613</v>
      </c>
    </row>
    <row r="390" spans="1:17" ht="14.4" customHeight="1" x14ac:dyDescent="0.3">
      <c r="A390" s="695" t="s">
        <v>545</v>
      </c>
      <c r="B390" s="696" t="s">
        <v>4082</v>
      </c>
      <c r="C390" s="696" t="s">
        <v>4114</v>
      </c>
      <c r="D390" s="696" t="s">
        <v>4153</v>
      </c>
      <c r="E390" s="696" t="s">
        <v>4154</v>
      </c>
      <c r="F390" s="711">
        <v>450</v>
      </c>
      <c r="G390" s="711">
        <v>36450</v>
      </c>
      <c r="H390" s="711">
        <v>1</v>
      </c>
      <c r="I390" s="711">
        <v>81</v>
      </c>
      <c r="J390" s="711">
        <v>405</v>
      </c>
      <c r="K390" s="711">
        <v>33210</v>
      </c>
      <c r="L390" s="711">
        <v>0.91111111111111109</v>
      </c>
      <c r="M390" s="711">
        <v>82</v>
      </c>
      <c r="N390" s="711">
        <v>411</v>
      </c>
      <c r="O390" s="711">
        <v>34068</v>
      </c>
      <c r="P390" s="701">
        <v>0.93465020576131685</v>
      </c>
      <c r="Q390" s="712">
        <v>82.890510948905103</v>
      </c>
    </row>
    <row r="391" spans="1:17" ht="14.4" customHeight="1" x14ac:dyDescent="0.3">
      <c r="A391" s="695" t="s">
        <v>545</v>
      </c>
      <c r="B391" s="696" t="s">
        <v>4082</v>
      </c>
      <c r="C391" s="696" t="s">
        <v>4114</v>
      </c>
      <c r="D391" s="696" t="s">
        <v>4157</v>
      </c>
      <c r="E391" s="696" t="s">
        <v>4158</v>
      </c>
      <c r="F391" s="711">
        <v>1</v>
      </c>
      <c r="G391" s="711">
        <v>852</v>
      </c>
      <c r="H391" s="711">
        <v>1</v>
      </c>
      <c r="I391" s="711">
        <v>852</v>
      </c>
      <c r="J391" s="711"/>
      <c r="K391" s="711"/>
      <c r="L391" s="711"/>
      <c r="M391" s="711"/>
      <c r="N391" s="711"/>
      <c r="O391" s="711"/>
      <c r="P391" s="701"/>
      <c r="Q391" s="712"/>
    </row>
    <row r="392" spans="1:17" ht="14.4" customHeight="1" x14ac:dyDescent="0.3">
      <c r="A392" s="695" t="s">
        <v>545</v>
      </c>
      <c r="B392" s="696" t="s">
        <v>4082</v>
      </c>
      <c r="C392" s="696" t="s">
        <v>4114</v>
      </c>
      <c r="D392" s="696" t="s">
        <v>4234</v>
      </c>
      <c r="E392" s="696" t="s">
        <v>4233</v>
      </c>
      <c r="F392" s="711">
        <v>177</v>
      </c>
      <c r="G392" s="711">
        <v>163902</v>
      </c>
      <c r="H392" s="711">
        <v>1</v>
      </c>
      <c r="I392" s="711">
        <v>926</v>
      </c>
      <c r="J392" s="711">
        <v>203</v>
      </c>
      <c r="K392" s="711">
        <v>188587</v>
      </c>
      <c r="L392" s="711">
        <v>1.1506082903198254</v>
      </c>
      <c r="M392" s="711">
        <v>929</v>
      </c>
      <c r="N392" s="711">
        <v>174</v>
      </c>
      <c r="O392" s="711">
        <v>161862</v>
      </c>
      <c r="P392" s="701">
        <v>0.98755353808983415</v>
      </c>
      <c r="Q392" s="712">
        <v>930.24137931034488</v>
      </c>
    </row>
    <row r="393" spans="1:17" ht="14.4" customHeight="1" x14ac:dyDescent="0.3">
      <c r="A393" s="695" t="s">
        <v>545</v>
      </c>
      <c r="B393" s="696" t="s">
        <v>4082</v>
      </c>
      <c r="C393" s="696" t="s">
        <v>4114</v>
      </c>
      <c r="D393" s="696" t="s">
        <v>4161</v>
      </c>
      <c r="E393" s="696" t="s">
        <v>4162</v>
      </c>
      <c r="F393" s="711"/>
      <c r="G393" s="711"/>
      <c r="H393" s="711"/>
      <c r="I393" s="711"/>
      <c r="J393" s="711">
        <v>1</v>
      </c>
      <c r="K393" s="711">
        <v>0</v>
      </c>
      <c r="L393" s="711"/>
      <c r="M393" s="711">
        <v>0</v>
      </c>
      <c r="N393" s="711"/>
      <c r="O393" s="711"/>
      <c r="P393" s="701"/>
      <c r="Q393" s="712"/>
    </row>
    <row r="394" spans="1:17" ht="14.4" customHeight="1" x14ac:dyDescent="0.3">
      <c r="A394" s="695" t="s">
        <v>545</v>
      </c>
      <c r="B394" s="696" t="s">
        <v>4082</v>
      </c>
      <c r="C394" s="696" t="s">
        <v>4114</v>
      </c>
      <c r="D394" s="696" t="s">
        <v>4163</v>
      </c>
      <c r="E394" s="696" t="s">
        <v>4164</v>
      </c>
      <c r="F394" s="711"/>
      <c r="G394" s="711"/>
      <c r="H394" s="711"/>
      <c r="I394" s="711"/>
      <c r="J394" s="711"/>
      <c r="K394" s="711"/>
      <c r="L394" s="711"/>
      <c r="M394" s="711"/>
      <c r="N394" s="711">
        <v>12</v>
      </c>
      <c r="O394" s="711">
        <v>1350</v>
      </c>
      <c r="P394" s="701"/>
      <c r="Q394" s="712">
        <v>112.5</v>
      </c>
    </row>
    <row r="395" spans="1:17" ht="14.4" customHeight="1" x14ac:dyDescent="0.3">
      <c r="A395" s="695" t="s">
        <v>545</v>
      </c>
      <c r="B395" s="696" t="s">
        <v>4082</v>
      </c>
      <c r="C395" s="696" t="s">
        <v>4114</v>
      </c>
      <c r="D395" s="696" t="s">
        <v>4235</v>
      </c>
      <c r="E395" s="696" t="s">
        <v>4233</v>
      </c>
      <c r="F395" s="711">
        <v>59</v>
      </c>
      <c r="G395" s="711">
        <v>43247</v>
      </c>
      <c r="H395" s="711">
        <v>1</v>
      </c>
      <c r="I395" s="711">
        <v>733</v>
      </c>
      <c r="J395" s="711">
        <v>25</v>
      </c>
      <c r="K395" s="711">
        <v>18350</v>
      </c>
      <c r="L395" s="711">
        <v>0.42430688833907554</v>
      </c>
      <c r="M395" s="711">
        <v>734</v>
      </c>
      <c r="N395" s="711">
        <v>44</v>
      </c>
      <c r="O395" s="711">
        <v>32332</v>
      </c>
      <c r="P395" s="701">
        <v>0.747612551159618</v>
      </c>
      <c r="Q395" s="712">
        <v>734.81818181818187</v>
      </c>
    </row>
    <row r="396" spans="1:17" ht="14.4" customHeight="1" x14ac:dyDescent="0.3">
      <c r="A396" s="695" t="s">
        <v>545</v>
      </c>
      <c r="B396" s="696" t="s">
        <v>4082</v>
      </c>
      <c r="C396" s="696" t="s">
        <v>4114</v>
      </c>
      <c r="D396" s="696" t="s">
        <v>4243</v>
      </c>
      <c r="E396" s="696" t="s">
        <v>4244</v>
      </c>
      <c r="F396" s="711"/>
      <c r="G396" s="711"/>
      <c r="H396" s="711"/>
      <c r="I396" s="711"/>
      <c r="J396" s="711"/>
      <c r="K396" s="711"/>
      <c r="L396" s="711"/>
      <c r="M396" s="711"/>
      <c r="N396" s="711">
        <v>2</v>
      </c>
      <c r="O396" s="711">
        <v>113</v>
      </c>
      <c r="P396" s="701"/>
      <c r="Q396" s="712">
        <v>56.5</v>
      </c>
    </row>
    <row r="397" spans="1:17" ht="14.4" customHeight="1" x14ac:dyDescent="0.3">
      <c r="A397" s="695" t="s">
        <v>545</v>
      </c>
      <c r="B397" s="696" t="s">
        <v>4082</v>
      </c>
      <c r="C397" s="696" t="s">
        <v>4114</v>
      </c>
      <c r="D397" s="696" t="s">
        <v>4236</v>
      </c>
      <c r="E397" s="696" t="s">
        <v>4237</v>
      </c>
      <c r="F397" s="711">
        <v>217</v>
      </c>
      <c r="G397" s="711">
        <v>113491</v>
      </c>
      <c r="H397" s="711">
        <v>1</v>
      </c>
      <c r="I397" s="711">
        <v>523</v>
      </c>
      <c r="J397" s="711">
        <v>149</v>
      </c>
      <c r="K397" s="711">
        <v>78076</v>
      </c>
      <c r="L397" s="711">
        <v>0.68794882413583458</v>
      </c>
      <c r="M397" s="711">
        <v>524</v>
      </c>
      <c r="N397" s="711">
        <v>191</v>
      </c>
      <c r="O397" s="711">
        <v>100206</v>
      </c>
      <c r="P397" s="701">
        <v>0.8829422597386577</v>
      </c>
      <c r="Q397" s="712">
        <v>524.63874345549743</v>
      </c>
    </row>
    <row r="398" spans="1:17" ht="14.4" customHeight="1" x14ac:dyDescent="0.3">
      <c r="A398" s="695" t="s">
        <v>545</v>
      </c>
      <c r="B398" s="696" t="s">
        <v>4082</v>
      </c>
      <c r="C398" s="696" t="s">
        <v>4114</v>
      </c>
      <c r="D398" s="696" t="s">
        <v>4171</v>
      </c>
      <c r="E398" s="696" t="s">
        <v>4172</v>
      </c>
      <c r="F398" s="711">
        <v>16</v>
      </c>
      <c r="G398" s="711">
        <v>4720</v>
      </c>
      <c r="H398" s="711">
        <v>1</v>
      </c>
      <c r="I398" s="711">
        <v>295</v>
      </c>
      <c r="J398" s="711">
        <v>2</v>
      </c>
      <c r="K398" s="711">
        <v>592</v>
      </c>
      <c r="L398" s="711">
        <v>0.12542372881355932</v>
      </c>
      <c r="M398" s="711">
        <v>296</v>
      </c>
      <c r="N398" s="711"/>
      <c r="O398" s="711"/>
      <c r="P398" s="701"/>
      <c r="Q398" s="712"/>
    </row>
    <row r="399" spans="1:17" ht="14.4" customHeight="1" x14ac:dyDescent="0.3">
      <c r="A399" s="695" t="s">
        <v>545</v>
      </c>
      <c r="B399" s="696" t="s">
        <v>4082</v>
      </c>
      <c r="C399" s="696" t="s">
        <v>4114</v>
      </c>
      <c r="D399" s="696" t="s">
        <v>4238</v>
      </c>
      <c r="E399" s="696" t="s">
        <v>4146</v>
      </c>
      <c r="F399" s="711">
        <v>13</v>
      </c>
      <c r="G399" s="711">
        <v>2236</v>
      </c>
      <c r="H399" s="711">
        <v>1</v>
      </c>
      <c r="I399" s="711">
        <v>172</v>
      </c>
      <c r="J399" s="711">
        <v>5</v>
      </c>
      <c r="K399" s="711">
        <v>860</v>
      </c>
      <c r="L399" s="711">
        <v>0.38461538461538464</v>
      </c>
      <c r="M399" s="711">
        <v>172</v>
      </c>
      <c r="N399" s="711">
        <v>7</v>
      </c>
      <c r="O399" s="711">
        <v>1212</v>
      </c>
      <c r="P399" s="701">
        <v>0.54203935599284436</v>
      </c>
      <c r="Q399" s="712">
        <v>173.14285714285714</v>
      </c>
    </row>
    <row r="400" spans="1:17" ht="14.4" customHeight="1" x14ac:dyDescent="0.3">
      <c r="A400" s="695" t="s">
        <v>545</v>
      </c>
      <c r="B400" s="696" t="s">
        <v>4082</v>
      </c>
      <c r="C400" s="696" t="s">
        <v>4114</v>
      </c>
      <c r="D400" s="696" t="s">
        <v>4175</v>
      </c>
      <c r="E400" s="696" t="s">
        <v>4172</v>
      </c>
      <c r="F400" s="711">
        <v>8</v>
      </c>
      <c r="G400" s="711">
        <v>2896</v>
      </c>
      <c r="H400" s="711">
        <v>1</v>
      </c>
      <c r="I400" s="711">
        <v>362</v>
      </c>
      <c r="J400" s="711">
        <v>2</v>
      </c>
      <c r="K400" s="711">
        <v>730</v>
      </c>
      <c r="L400" s="711">
        <v>0.2520718232044199</v>
      </c>
      <c r="M400" s="711">
        <v>365</v>
      </c>
      <c r="N400" s="711">
        <v>14</v>
      </c>
      <c r="O400" s="711">
        <v>5154</v>
      </c>
      <c r="P400" s="701">
        <v>1.7796961325966851</v>
      </c>
      <c r="Q400" s="712">
        <v>368.14285714285717</v>
      </c>
    </row>
    <row r="401" spans="1:17" ht="14.4" customHeight="1" x14ac:dyDescent="0.3">
      <c r="A401" s="695" t="s">
        <v>545</v>
      </c>
      <c r="B401" s="696" t="s">
        <v>4082</v>
      </c>
      <c r="C401" s="696" t="s">
        <v>4114</v>
      </c>
      <c r="D401" s="696" t="s">
        <v>4178</v>
      </c>
      <c r="E401" s="696" t="s">
        <v>4179</v>
      </c>
      <c r="F401" s="711">
        <v>1</v>
      </c>
      <c r="G401" s="711">
        <v>632</v>
      </c>
      <c r="H401" s="711">
        <v>1</v>
      </c>
      <c r="I401" s="711">
        <v>632</v>
      </c>
      <c r="J401" s="711">
        <v>2</v>
      </c>
      <c r="K401" s="711">
        <v>1270</v>
      </c>
      <c r="L401" s="711">
        <v>2.009493670886076</v>
      </c>
      <c r="M401" s="711">
        <v>635</v>
      </c>
      <c r="N401" s="711"/>
      <c r="O401" s="711"/>
      <c r="P401" s="701"/>
      <c r="Q401" s="712"/>
    </row>
    <row r="402" spans="1:17" ht="14.4" customHeight="1" x14ac:dyDescent="0.3">
      <c r="A402" s="695" t="s">
        <v>545</v>
      </c>
      <c r="B402" s="696" t="s">
        <v>4082</v>
      </c>
      <c r="C402" s="696" t="s">
        <v>4114</v>
      </c>
      <c r="D402" s="696" t="s">
        <v>4180</v>
      </c>
      <c r="E402" s="696" t="s">
        <v>4181</v>
      </c>
      <c r="F402" s="711">
        <v>2</v>
      </c>
      <c r="G402" s="711">
        <v>1198</v>
      </c>
      <c r="H402" s="711">
        <v>1</v>
      </c>
      <c r="I402" s="711">
        <v>599</v>
      </c>
      <c r="J402" s="711">
        <v>1</v>
      </c>
      <c r="K402" s="711">
        <v>601</v>
      </c>
      <c r="L402" s="711">
        <v>0.501669449081803</v>
      </c>
      <c r="M402" s="711">
        <v>601</v>
      </c>
      <c r="N402" s="711"/>
      <c r="O402" s="711"/>
      <c r="P402" s="701"/>
      <c r="Q402" s="712"/>
    </row>
    <row r="403" spans="1:17" ht="14.4" customHeight="1" x14ac:dyDescent="0.3">
      <c r="A403" s="695" t="s">
        <v>545</v>
      </c>
      <c r="B403" s="696" t="s">
        <v>4082</v>
      </c>
      <c r="C403" s="696" t="s">
        <v>4114</v>
      </c>
      <c r="D403" s="696" t="s">
        <v>4257</v>
      </c>
      <c r="E403" s="696" t="s">
        <v>4258</v>
      </c>
      <c r="F403" s="711">
        <v>6</v>
      </c>
      <c r="G403" s="711">
        <v>600</v>
      </c>
      <c r="H403" s="711">
        <v>1</v>
      </c>
      <c r="I403" s="711">
        <v>100</v>
      </c>
      <c r="J403" s="711">
        <v>3</v>
      </c>
      <c r="K403" s="711">
        <v>300</v>
      </c>
      <c r="L403" s="711">
        <v>0.5</v>
      </c>
      <c r="M403" s="711">
        <v>100</v>
      </c>
      <c r="N403" s="711">
        <v>2</v>
      </c>
      <c r="O403" s="711">
        <v>200</v>
      </c>
      <c r="P403" s="701">
        <v>0.33333333333333331</v>
      </c>
      <c r="Q403" s="712">
        <v>100</v>
      </c>
    </row>
    <row r="404" spans="1:17" ht="14.4" customHeight="1" x14ac:dyDescent="0.3">
      <c r="A404" s="695" t="s">
        <v>545</v>
      </c>
      <c r="B404" s="696" t="s">
        <v>4082</v>
      </c>
      <c r="C404" s="696" t="s">
        <v>4114</v>
      </c>
      <c r="D404" s="696" t="s">
        <v>4239</v>
      </c>
      <c r="E404" s="696" t="s">
        <v>4233</v>
      </c>
      <c r="F404" s="711">
        <v>61</v>
      </c>
      <c r="G404" s="711">
        <v>61549</v>
      </c>
      <c r="H404" s="711">
        <v>1</v>
      </c>
      <c r="I404" s="711">
        <v>1009</v>
      </c>
      <c r="J404" s="711">
        <v>52</v>
      </c>
      <c r="K404" s="711">
        <v>52624</v>
      </c>
      <c r="L404" s="711">
        <v>0.85499358234902278</v>
      </c>
      <c r="M404" s="711">
        <v>1012</v>
      </c>
      <c r="N404" s="711">
        <v>43</v>
      </c>
      <c r="O404" s="711">
        <v>43644</v>
      </c>
      <c r="P404" s="701">
        <v>0.70909356772652687</v>
      </c>
      <c r="Q404" s="712">
        <v>1014.9767441860465</v>
      </c>
    </row>
    <row r="405" spans="1:17" ht="14.4" customHeight="1" x14ac:dyDescent="0.3">
      <c r="A405" s="695" t="s">
        <v>545</v>
      </c>
      <c r="B405" s="696" t="s">
        <v>4082</v>
      </c>
      <c r="C405" s="696" t="s">
        <v>4114</v>
      </c>
      <c r="D405" s="696" t="s">
        <v>4186</v>
      </c>
      <c r="E405" s="696" t="s">
        <v>4142</v>
      </c>
      <c r="F405" s="711">
        <v>2</v>
      </c>
      <c r="G405" s="711">
        <v>666</v>
      </c>
      <c r="H405" s="711">
        <v>1</v>
      </c>
      <c r="I405" s="711">
        <v>333</v>
      </c>
      <c r="J405" s="711"/>
      <c r="K405" s="711"/>
      <c r="L405" s="711"/>
      <c r="M405" s="711"/>
      <c r="N405" s="711">
        <v>1</v>
      </c>
      <c r="O405" s="711">
        <v>335</v>
      </c>
      <c r="P405" s="701">
        <v>0.50300300300300305</v>
      </c>
      <c r="Q405" s="712">
        <v>335</v>
      </c>
    </row>
    <row r="406" spans="1:17" ht="14.4" customHeight="1" x14ac:dyDescent="0.3">
      <c r="A406" s="695" t="s">
        <v>545</v>
      </c>
      <c r="B406" s="696" t="s">
        <v>4082</v>
      </c>
      <c r="C406" s="696" t="s">
        <v>4114</v>
      </c>
      <c r="D406" s="696" t="s">
        <v>4249</v>
      </c>
      <c r="E406" s="696" t="s">
        <v>4233</v>
      </c>
      <c r="F406" s="711">
        <v>26</v>
      </c>
      <c r="G406" s="711">
        <v>22334</v>
      </c>
      <c r="H406" s="711">
        <v>1</v>
      </c>
      <c r="I406" s="711">
        <v>859</v>
      </c>
      <c r="J406" s="711">
        <v>6</v>
      </c>
      <c r="K406" s="711">
        <v>5160</v>
      </c>
      <c r="L406" s="711">
        <v>0.2310378794662846</v>
      </c>
      <c r="M406" s="711">
        <v>860</v>
      </c>
      <c r="N406" s="711"/>
      <c r="O406" s="711"/>
      <c r="P406" s="701"/>
      <c r="Q406" s="712"/>
    </row>
    <row r="407" spans="1:17" ht="14.4" customHeight="1" x14ac:dyDescent="0.3">
      <c r="A407" s="695" t="s">
        <v>545</v>
      </c>
      <c r="B407" s="696" t="s">
        <v>4082</v>
      </c>
      <c r="C407" s="696" t="s">
        <v>4114</v>
      </c>
      <c r="D407" s="696" t="s">
        <v>4259</v>
      </c>
      <c r="E407" s="696" t="s">
        <v>4189</v>
      </c>
      <c r="F407" s="711"/>
      <c r="G407" s="711"/>
      <c r="H407" s="711"/>
      <c r="I407" s="711"/>
      <c r="J407" s="711">
        <v>5</v>
      </c>
      <c r="K407" s="711">
        <v>4005</v>
      </c>
      <c r="L407" s="711"/>
      <c r="M407" s="711">
        <v>801</v>
      </c>
      <c r="N407" s="711">
        <v>21</v>
      </c>
      <c r="O407" s="711">
        <v>16821</v>
      </c>
      <c r="P407" s="701"/>
      <c r="Q407" s="712">
        <v>801</v>
      </c>
    </row>
    <row r="408" spans="1:17" ht="14.4" customHeight="1" x14ac:dyDescent="0.3">
      <c r="A408" s="695" t="s">
        <v>545</v>
      </c>
      <c r="B408" s="696" t="s">
        <v>4082</v>
      </c>
      <c r="C408" s="696" t="s">
        <v>4114</v>
      </c>
      <c r="D408" s="696" t="s">
        <v>4260</v>
      </c>
      <c r="E408" s="696" t="s">
        <v>4189</v>
      </c>
      <c r="F408" s="711"/>
      <c r="G408" s="711"/>
      <c r="H408" s="711"/>
      <c r="I408" s="711"/>
      <c r="J408" s="711"/>
      <c r="K408" s="711"/>
      <c r="L408" s="711"/>
      <c r="M408" s="711"/>
      <c r="N408" s="711">
        <v>16</v>
      </c>
      <c r="O408" s="711">
        <v>9424</v>
      </c>
      <c r="P408" s="701"/>
      <c r="Q408" s="712">
        <v>589</v>
      </c>
    </row>
    <row r="409" spans="1:17" ht="14.4" customHeight="1" x14ac:dyDescent="0.3">
      <c r="A409" s="695" t="s">
        <v>545</v>
      </c>
      <c r="B409" s="696" t="s">
        <v>4082</v>
      </c>
      <c r="C409" s="696" t="s">
        <v>4114</v>
      </c>
      <c r="D409" s="696" t="s">
        <v>4261</v>
      </c>
      <c r="E409" s="696" t="s">
        <v>4233</v>
      </c>
      <c r="F409" s="711"/>
      <c r="G409" s="711"/>
      <c r="H409" s="711"/>
      <c r="I409" s="711"/>
      <c r="J409" s="711">
        <v>2</v>
      </c>
      <c r="K409" s="711">
        <v>1886</v>
      </c>
      <c r="L409" s="711"/>
      <c r="M409" s="711">
        <v>943</v>
      </c>
      <c r="N409" s="711"/>
      <c r="O409" s="711"/>
      <c r="P409" s="701"/>
      <c r="Q409" s="712"/>
    </row>
    <row r="410" spans="1:17" ht="14.4" customHeight="1" x14ac:dyDescent="0.3">
      <c r="A410" s="695" t="s">
        <v>545</v>
      </c>
      <c r="B410" s="696" t="s">
        <v>4082</v>
      </c>
      <c r="C410" s="696" t="s">
        <v>4114</v>
      </c>
      <c r="D410" s="696" t="s">
        <v>4192</v>
      </c>
      <c r="E410" s="696" t="s">
        <v>4132</v>
      </c>
      <c r="F410" s="711">
        <v>1</v>
      </c>
      <c r="G410" s="711">
        <v>386</v>
      </c>
      <c r="H410" s="711">
        <v>1</v>
      </c>
      <c r="I410" s="711">
        <v>386</v>
      </c>
      <c r="J410" s="711"/>
      <c r="K410" s="711"/>
      <c r="L410" s="711"/>
      <c r="M410" s="711"/>
      <c r="N410" s="711"/>
      <c r="O410" s="711"/>
      <c r="P410" s="701"/>
      <c r="Q410" s="712"/>
    </row>
    <row r="411" spans="1:17" ht="14.4" customHeight="1" x14ac:dyDescent="0.3">
      <c r="A411" s="695" t="s">
        <v>545</v>
      </c>
      <c r="B411" s="696" t="s">
        <v>4082</v>
      </c>
      <c r="C411" s="696" t="s">
        <v>4114</v>
      </c>
      <c r="D411" s="696" t="s">
        <v>4245</v>
      </c>
      <c r="E411" s="696" t="s">
        <v>4241</v>
      </c>
      <c r="F411" s="711">
        <v>5</v>
      </c>
      <c r="G411" s="711">
        <v>3020</v>
      </c>
      <c r="H411" s="711">
        <v>1</v>
      </c>
      <c r="I411" s="711">
        <v>604</v>
      </c>
      <c r="J411" s="711">
        <v>1</v>
      </c>
      <c r="K411" s="711">
        <v>606</v>
      </c>
      <c r="L411" s="711">
        <v>0.20066225165562915</v>
      </c>
      <c r="M411" s="711">
        <v>606</v>
      </c>
      <c r="N411" s="711">
        <v>2</v>
      </c>
      <c r="O411" s="711">
        <v>1212</v>
      </c>
      <c r="P411" s="701">
        <v>0.4013245033112583</v>
      </c>
      <c r="Q411" s="712">
        <v>606</v>
      </c>
    </row>
    <row r="412" spans="1:17" ht="14.4" customHeight="1" x14ac:dyDescent="0.3">
      <c r="A412" s="695" t="s">
        <v>545</v>
      </c>
      <c r="B412" s="696" t="s">
        <v>4082</v>
      </c>
      <c r="C412" s="696" t="s">
        <v>4114</v>
      </c>
      <c r="D412" s="696" t="s">
        <v>4240</v>
      </c>
      <c r="E412" s="696" t="s">
        <v>4241</v>
      </c>
      <c r="F412" s="711">
        <v>4</v>
      </c>
      <c r="G412" s="711">
        <v>2072</v>
      </c>
      <c r="H412" s="711">
        <v>1</v>
      </c>
      <c r="I412" s="711">
        <v>518</v>
      </c>
      <c r="J412" s="711"/>
      <c r="K412" s="711"/>
      <c r="L412" s="711"/>
      <c r="M412" s="711"/>
      <c r="N412" s="711">
        <v>1</v>
      </c>
      <c r="O412" s="711">
        <v>520</v>
      </c>
      <c r="P412" s="701">
        <v>0.25096525096525096</v>
      </c>
      <c r="Q412" s="712">
        <v>520</v>
      </c>
    </row>
    <row r="413" spans="1:17" ht="14.4" customHeight="1" x14ac:dyDescent="0.3">
      <c r="A413" s="695" t="s">
        <v>545</v>
      </c>
      <c r="B413" s="696" t="s">
        <v>4082</v>
      </c>
      <c r="C413" s="696" t="s">
        <v>4114</v>
      </c>
      <c r="D413" s="696" t="s">
        <v>4268</v>
      </c>
      <c r="E413" s="696" t="s">
        <v>4269</v>
      </c>
      <c r="F413" s="711"/>
      <c r="G413" s="711"/>
      <c r="H413" s="711"/>
      <c r="I413" s="711"/>
      <c r="J413" s="711"/>
      <c r="K413" s="711"/>
      <c r="L413" s="711"/>
      <c r="M413" s="711"/>
      <c r="N413" s="711">
        <v>2</v>
      </c>
      <c r="O413" s="711">
        <v>2740</v>
      </c>
      <c r="P413" s="701"/>
      <c r="Q413" s="712">
        <v>1370</v>
      </c>
    </row>
    <row r="414" spans="1:17" ht="14.4" customHeight="1" x14ac:dyDescent="0.3">
      <c r="A414" s="695" t="s">
        <v>545</v>
      </c>
      <c r="B414" s="696" t="s">
        <v>4538</v>
      </c>
      <c r="C414" s="696" t="s">
        <v>4114</v>
      </c>
      <c r="D414" s="696" t="s">
        <v>4539</v>
      </c>
      <c r="E414" s="696" t="s">
        <v>4078</v>
      </c>
      <c r="F414" s="711">
        <v>1</v>
      </c>
      <c r="G414" s="711">
        <v>237</v>
      </c>
      <c r="H414" s="711">
        <v>1</v>
      </c>
      <c r="I414" s="711">
        <v>237</v>
      </c>
      <c r="J414" s="711"/>
      <c r="K414" s="711"/>
      <c r="L414" s="711"/>
      <c r="M414" s="711"/>
      <c r="N414" s="711"/>
      <c r="O414" s="711"/>
      <c r="P414" s="701"/>
      <c r="Q414" s="712"/>
    </row>
    <row r="415" spans="1:17" ht="14.4" customHeight="1" x14ac:dyDescent="0.3">
      <c r="A415" s="695" t="s">
        <v>545</v>
      </c>
      <c r="B415" s="696" t="s">
        <v>4540</v>
      </c>
      <c r="C415" s="696" t="s">
        <v>4083</v>
      </c>
      <c r="D415" s="696" t="s">
        <v>4541</v>
      </c>
      <c r="E415" s="696" t="s">
        <v>4078</v>
      </c>
      <c r="F415" s="711">
        <v>32</v>
      </c>
      <c r="G415" s="711">
        <v>10037.76</v>
      </c>
      <c r="H415" s="711">
        <v>1</v>
      </c>
      <c r="I415" s="711">
        <v>313.68</v>
      </c>
      <c r="J415" s="711">
        <v>50</v>
      </c>
      <c r="K415" s="711">
        <v>5729</v>
      </c>
      <c r="L415" s="711">
        <v>0.57074486738077024</v>
      </c>
      <c r="M415" s="711">
        <v>114.58</v>
      </c>
      <c r="N415" s="711"/>
      <c r="O415" s="711"/>
      <c r="P415" s="701"/>
      <c r="Q415" s="712"/>
    </row>
    <row r="416" spans="1:17" ht="14.4" customHeight="1" x14ac:dyDescent="0.3">
      <c r="A416" s="695" t="s">
        <v>545</v>
      </c>
      <c r="B416" s="696" t="s">
        <v>4540</v>
      </c>
      <c r="C416" s="696" t="s">
        <v>4083</v>
      </c>
      <c r="D416" s="696" t="s">
        <v>4542</v>
      </c>
      <c r="E416" s="696" t="s">
        <v>4543</v>
      </c>
      <c r="F416" s="711"/>
      <c r="G416" s="711"/>
      <c r="H416" s="711"/>
      <c r="I416" s="711"/>
      <c r="J416" s="711"/>
      <c r="K416" s="711"/>
      <c r="L416" s="711"/>
      <c r="M416" s="711"/>
      <c r="N416" s="711">
        <v>0.1</v>
      </c>
      <c r="O416" s="711">
        <v>1213.93</v>
      </c>
      <c r="P416" s="701"/>
      <c r="Q416" s="712">
        <v>12139.3</v>
      </c>
    </row>
    <row r="417" spans="1:17" ht="14.4" customHeight="1" x14ac:dyDescent="0.3">
      <c r="A417" s="695" t="s">
        <v>545</v>
      </c>
      <c r="B417" s="696" t="s">
        <v>4540</v>
      </c>
      <c r="C417" s="696" t="s">
        <v>4083</v>
      </c>
      <c r="D417" s="696" t="s">
        <v>4544</v>
      </c>
      <c r="E417" s="696" t="s">
        <v>4545</v>
      </c>
      <c r="F417" s="711">
        <v>55</v>
      </c>
      <c r="G417" s="711">
        <v>6188.65</v>
      </c>
      <c r="H417" s="711">
        <v>1</v>
      </c>
      <c r="I417" s="711">
        <v>112.52090909090909</v>
      </c>
      <c r="J417" s="711">
        <v>28</v>
      </c>
      <c r="K417" s="711">
        <v>2332.4</v>
      </c>
      <c r="L417" s="711">
        <v>0.37688348832136254</v>
      </c>
      <c r="M417" s="711">
        <v>83.3</v>
      </c>
      <c r="N417" s="711">
        <v>31.5</v>
      </c>
      <c r="O417" s="711">
        <v>3124.7299999999996</v>
      </c>
      <c r="P417" s="701">
        <v>0.50491302626582535</v>
      </c>
      <c r="Q417" s="712">
        <v>99.197777777777759</v>
      </c>
    </row>
    <row r="418" spans="1:17" ht="14.4" customHeight="1" x14ac:dyDescent="0.3">
      <c r="A418" s="695" t="s">
        <v>545</v>
      </c>
      <c r="B418" s="696" t="s">
        <v>4540</v>
      </c>
      <c r="C418" s="696" t="s">
        <v>4083</v>
      </c>
      <c r="D418" s="696" t="s">
        <v>4546</v>
      </c>
      <c r="E418" s="696" t="s">
        <v>4547</v>
      </c>
      <c r="F418" s="711">
        <v>14</v>
      </c>
      <c r="G418" s="711">
        <v>23554.02</v>
      </c>
      <c r="H418" s="711">
        <v>1</v>
      </c>
      <c r="I418" s="711">
        <v>1682.43</v>
      </c>
      <c r="J418" s="711">
        <v>4</v>
      </c>
      <c r="K418" s="711">
        <v>4257.28</v>
      </c>
      <c r="L418" s="711">
        <v>0.18074536745744463</v>
      </c>
      <c r="M418" s="711">
        <v>1064.32</v>
      </c>
      <c r="N418" s="711">
        <v>1</v>
      </c>
      <c r="O418" s="711">
        <v>1064.32</v>
      </c>
      <c r="P418" s="701">
        <v>4.5186341864361157E-2</v>
      </c>
      <c r="Q418" s="712">
        <v>1064.32</v>
      </c>
    </row>
    <row r="419" spans="1:17" ht="14.4" customHeight="1" x14ac:dyDescent="0.3">
      <c r="A419" s="695" t="s">
        <v>545</v>
      </c>
      <c r="B419" s="696" t="s">
        <v>4540</v>
      </c>
      <c r="C419" s="696" t="s">
        <v>4083</v>
      </c>
      <c r="D419" s="696" t="s">
        <v>4548</v>
      </c>
      <c r="E419" s="696" t="s">
        <v>4549</v>
      </c>
      <c r="F419" s="711"/>
      <c r="G419" s="711"/>
      <c r="H419" s="711"/>
      <c r="I419" s="711"/>
      <c r="J419" s="711">
        <v>9</v>
      </c>
      <c r="K419" s="711">
        <v>46933.38</v>
      </c>
      <c r="L419" s="711"/>
      <c r="M419" s="711">
        <v>5214.82</v>
      </c>
      <c r="N419" s="711">
        <v>2</v>
      </c>
      <c r="O419" s="711">
        <v>10429.64</v>
      </c>
      <c r="P419" s="701"/>
      <c r="Q419" s="712">
        <v>5214.82</v>
      </c>
    </row>
    <row r="420" spans="1:17" ht="14.4" customHeight="1" x14ac:dyDescent="0.3">
      <c r="A420" s="695" t="s">
        <v>545</v>
      </c>
      <c r="B420" s="696" t="s">
        <v>4540</v>
      </c>
      <c r="C420" s="696" t="s">
        <v>4083</v>
      </c>
      <c r="D420" s="696" t="s">
        <v>4550</v>
      </c>
      <c r="E420" s="696" t="s">
        <v>1767</v>
      </c>
      <c r="F420" s="711"/>
      <c r="G420" s="711"/>
      <c r="H420" s="711"/>
      <c r="I420" s="711"/>
      <c r="J420" s="711">
        <v>10</v>
      </c>
      <c r="K420" s="711">
        <v>1179.5999999999999</v>
      </c>
      <c r="L420" s="711"/>
      <c r="M420" s="711">
        <v>117.96</v>
      </c>
      <c r="N420" s="711">
        <v>36</v>
      </c>
      <c r="O420" s="711">
        <v>4246.5600000000004</v>
      </c>
      <c r="P420" s="701"/>
      <c r="Q420" s="712">
        <v>117.96000000000001</v>
      </c>
    </row>
    <row r="421" spans="1:17" ht="14.4" customHeight="1" x14ac:dyDescent="0.3">
      <c r="A421" s="695" t="s">
        <v>545</v>
      </c>
      <c r="B421" s="696" t="s">
        <v>4540</v>
      </c>
      <c r="C421" s="696" t="s">
        <v>4083</v>
      </c>
      <c r="D421" s="696" t="s">
        <v>4551</v>
      </c>
      <c r="E421" s="696" t="s">
        <v>1714</v>
      </c>
      <c r="F421" s="711">
        <v>0.7</v>
      </c>
      <c r="G421" s="711">
        <v>191.31</v>
      </c>
      <c r="H421" s="711">
        <v>1</v>
      </c>
      <c r="I421" s="711">
        <v>273.3</v>
      </c>
      <c r="J421" s="711"/>
      <c r="K421" s="711"/>
      <c r="L421" s="711"/>
      <c r="M421" s="711"/>
      <c r="N421" s="711"/>
      <c r="O421" s="711"/>
      <c r="P421" s="701"/>
      <c r="Q421" s="712"/>
    </row>
    <row r="422" spans="1:17" ht="14.4" customHeight="1" x14ac:dyDescent="0.3">
      <c r="A422" s="695" t="s">
        <v>545</v>
      </c>
      <c r="B422" s="696" t="s">
        <v>4540</v>
      </c>
      <c r="C422" s="696" t="s">
        <v>4083</v>
      </c>
      <c r="D422" s="696" t="s">
        <v>4552</v>
      </c>
      <c r="E422" s="696" t="s">
        <v>4553</v>
      </c>
      <c r="F422" s="711">
        <v>38</v>
      </c>
      <c r="G422" s="711">
        <v>10413.89</v>
      </c>
      <c r="H422" s="711">
        <v>1</v>
      </c>
      <c r="I422" s="711">
        <v>274.04973684210523</v>
      </c>
      <c r="J422" s="711">
        <v>40</v>
      </c>
      <c r="K422" s="711">
        <v>3363.2</v>
      </c>
      <c r="L422" s="711">
        <v>0.32295328642803028</v>
      </c>
      <c r="M422" s="711">
        <v>84.08</v>
      </c>
      <c r="N422" s="711">
        <v>46.75</v>
      </c>
      <c r="O422" s="711">
        <v>3930.7400000000002</v>
      </c>
      <c r="P422" s="701">
        <v>0.37745165351276039</v>
      </c>
      <c r="Q422" s="712">
        <v>84.08</v>
      </c>
    </row>
    <row r="423" spans="1:17" ht="14.4" customHeight="1" x14ac:dyDescent="0.3">
      <c r="A423" s="695" t="s">
        <v>545</v>
      </c>
      <c r="B423" s="696" t="s">
        <v>4540</v>
      </c>
      <c r="C423" s="696" t="s">
        <v>4083</v>
      </c>
      <c r="D423" s="696" t="s">
        <v>4554</v>
      </c>
      <c r="E423" s="696" t="s">
        <v>4555</v>
      </c>
      <c r="F423" s="711">
        <v>3</v>
      </c>
      <c r="G423" s="711">
        <v>99805.1</v>
      </c>
      <c r="H423" s="711">
        <v>1</v>
      </c>
      <c r="I423" s="711">
        <v>33268.366666666669</v>
      </c>
      <c r="J423" s="711"/>
      <c r="K423" s="711"/>
      <c r="L423" s="711"/>
      <c r="M423" s="711"/>
      <c r="N423" s="711"/>
      <c r="O423" s="711"/>
      <c r="P423" s="701"/>
      <c r="Q423" s="712"/>
    </row>
    <row r="424" spans="1:17" ht="14.4" customHeight="1" x14ac:dyDescent="0.3">
      <c r="A424" s="695" t="s">
        <v>545</v>
      </c>
      <c r="B424" s="696" t="s">
        <v>4540</v>
      </c>
      <c r="C424" s="696" t="s">
        <v>4083</v>
      </c>
      <c r="D424" s="696" t="s">
        <v>4556</v>
      </c>
      <c r="E424" s="696" t="s">
        <v>4557</v>
      </c>
      <c r="F424" s="711">
        <v>67.7</v>
      </c>
      <c r="G424" s="711">
        <v>73310.100000000006</v>
      </c>
      <c r="H424" s="711">
        <v>1</v>
      </c>
      <c r="I424" s="711">
        <v>1082.8670605612999</v>
      </c>
      <c r="J424" s="711">
        <v>67.099999999999994</v>
      </c>
      <c r="K424" s="711">
        <v>72421.989999999991</v>
      </c>
      <c r="L424" s="711">
        <v>0.98788557101954555</v>
      </c>
      <c r="M424" s="711">
        <v>1079.3143070044709</v>
      </c>
      <c r="N424" s="711">
        <v>284.60000000000002</v>
      </c>
      <c r="O424" s="711">
        <v>307174.40999999997</v>
      </c>
      <c r="P424" s="701">
        <v>4.1900694447286249</v>
      </c>
      <c r="Q424" s="712">
        <v>1079.3197821503863</v>
      </c>
    </row>
    <row r="425" spans="1:17" ht="14.4" customHeight="1" x14ac:dyDescent="0.3">
      <c r="A425" s="695" t="s">
        <v>545</v>
      </c>
      <c r="B425" s="696" t="s">
        <v>4540</v>
      </c>
      <c r="C425" s="696" t="s">
        <v>4083</v>
      </c>
      <c r="D425" s="696" t="s">
        <v>4558</v>
      </c>
      <c r="E425" s="696" t="s">
        <v>1163</v>
      </c>
      <c r="F425" s="711"/>
      <c r="G425" s="711"/>
      <c r="H425" s="711"/>
      <c r="I425" s="711"/>
      <c r="J425" s="711">
        <v>21</v>
      </c>
      <c r="K425" s="711">
        <v>19482.75</v>
      </c>
      <c r="L425" s="711"/>
      <c r="M425" s="711">
        <v>927.75</v>
      </c>
      <c r="N425" s="711">
        <v>11</v>
      </c>
      <c r="O425" s="711">
        <v>7968.4</v>
      </c>
      <c r="P425" s="701"/>
      <c r="Q425" s="712">
        <v>724.4</v>
      </c>
    </row>
    <row r="426" spans="1:17" ht="14.4" customHeight="1" x14ac:dyDescent="0.3">
      <c r="A426" s="695" t="s">
        <v>545</v>
      </c>
      <c r="B426" s="696" t="s">
        <v>4540</v>
      </c>
      <c r="C426" s="696" t="s">
        <v>4083</v>
      </c>
      <c r="D426" s="696" t="s">
        <v>4559</v>
      </c>
      <c r="E426" s="696" t="s">
        <v>1737</v>
      </c>
      <c r="F426" s="711">
        <v>364</v>
      </c>
      <c r="G426" s="711">
        <v>32675.55</v>
      </c>
      <c r="H426" s="711">
        <v>1</v>
      </c>
      <c r="I426" s="711">
        <v>89.767994505494499</v>
      </c>
      <c r="J426" s="711">
        <v>235</v>
      </c>
      <c r="K426" s="711">
        <v>15448.15</v>
      </c>
      <c r="L426" s="711">
        <v>0.47277398544171406</v>
      </c>
      <c r="M426" s="711">
        <v>65.736808510638298</v>
      </c>
      <c r="N426" s="711">
        <v>262</v>
      </c>
      <c r="O426" s="711">
        <v>15995.099999999999</v>
      </c>
      <c r="P426" s="701">
        <v>0.48951280085568566</v>
      </c>
      <c r="Q426" s="712">
        <v>61.05</v>
      </c>
    </row>
    <row r="427" spans="1:17" ht="14.4" customHeight="1" x14ac:dyDescent="0.3">
      <c r="A427" s="695" t="s">
        <v>545</v>
      </c>
      <c r="B427" s="696" t="s">
        <v>4540</v>
      </c>
      <c r="C427" s="696" t="s">
        <v>4083</v>
      </c>
      <c r="D427" s="696" t="s">
        <v>4560</v>
      </c>
      <c r="E427" s="696" t="s">
        <v>4078</v>
      </c>
      <c r="F427" s="711">
        <v>33.04</v>
      </c>
      <c r="G427" s="711">
        <v>125287.50000000001</v>
      </c>
      <c r="H427" s="711">
        <v>1</v>
      </c>
      <c r="I427" s="711">
        <v>3791.9945520581118</v>
      </c>
      <c r="J427" s="711"/>
      <c r="K427" s="711"/>
      <c r="L427" s="711"/>
      <c r="M427" s="711"/>
      <c r="N427" s="711"/>
      <c r="O427" s="711"/>
      <c r="P427" s="701"/>
      <c r="Q427" s="712"/>
    </row>
    <row r="428" spans="1:17" ht="14.4" customHeight="1" x14ac:dyDescent="0.3">
      <c r="A428" s="695" t="s">
        <v>545</v>
      </c>
      <c r="B428" s="696" t="s">
        <v>4540</v>
      </c>
      <c r="C428" s="696" t="s">
        <v>4083</v>
      </c>
      <c r="D428" s="696" t="s">
        <v>4561</v>
      </c>
      <c r="E428" s="696" t="s">
        <v>1663</v>
      </c>
      <c r="F428" s="711">
        <v>22.549999999999997</v>
      </c>
      <c r="G428" s="711">
        <v>26243.969999999998</v>
      </c>
      <c r="H428" s="711">
        <v>1</v>
      </c>
      <c r="I428" s="711">
        <v>1163.8124168514412</v>
      </c>
      <c r="J428" s="711">
        <v>62.019999999999996</v>
      </c>
      <c r="K428" s="711">
        <v>50197.279999999999</v>
      </c>
      <c r="L428" s="711">
        <v>1.9127167116865322</v>
      </c>
      <c r="M428" s="711">
        <v>809.37246049661405</v>
      </c>
      <c r="N428" s="711">
        <v>55.550000000000004</v>
      </c>
      <c r="O428" s="711">
        <v>40204.189999999995</v>
      </c>
      <c r="P428" s="701">
        <v>1.5319400990017897</v>
      </c>
      <c r="Q428" s="712">
        <v>723.74779477947777</v>
      </c>
    </row>
    <row r="429" spans="1:17" ht="14.4" customHeight="1" x14ac:dyDescent="0.3">
      <c r="A429" s="695" t="s">
        <v>545</v>
      </c>
      <c r="B429" s="696" t="s">
        <v>4540</v>
      </c>
      <c r="C429" s="696" t="s">
        <v>4083</v>
      </c>
      <c r="D429" s="696" t="s">
        <v>4562</v>
      </c>
      <c r="E429" s="696" t="s">
        <v>1706</v>
      </c>
      <c r="F429" s="711"/>
      <c r="G429" s="711"/>
      <c r="H429" s="711"/>
      <c r="I429" s="711"/>
      <c r="J429" s="711">
        <v>24</v>
      </c>
      <c r="K429" s="711">
        <v>29571.360000000001</v>
      </c>
      <c r="L429" s="711"/>
      <c r="M429" s="711">
        <v>1232.1400000000001</v>
      </c>
      <c r="N429" s="711">
        <v>4</v>
      </c>
      <c r="O429" s="711">
        <v>4628.4399999999996</v>
      </c>
      <c r="P429" s="701"/>
      <c r="Q429" s="712">
        <v>1157.1099999999999</v>
      </c>
    </row>
    <row r="430" spans="1:17" ht="14.4" customHeight="1" x14ac:dyDescent="0.3">
      <c r="A430" s="695" t="s">
        <v>545</v>
      </c>
      <c r="B430" s="696" t="s">
        <v>4540</v>
      </c>
      <c r="C430" s="696" t="s">
        <v>4083</v>
      </c>
      <c r="D430" s="696" t="s">
        <v>4563</v>
      </c>
      <c r="E430" s="696" t="s">
        <v>4564</v>
      </c>
      <c r="F430" s="711">
        <v>10</v>
      </c>
      <c r="G430" s="711">
        <v>232087.8</v>
      </c>
      <c r="H430" s="711">
        <v>1</v>
      </c>
      <c r="I430" s="711">
        <v>23208.78</v>
      </c>
      <c r="J430" s="711"/>
      <c r="K430" s="711"/>
      <c r="L430" s="711"/>
      <c r="M430" s="711"/>
      <c r="N430" s="711"/>
      <c r="O430" s="711"/>
      <c r="P430" s="701"/>
      <c r="Q430" s="712"/>
    </row>
    <row r="431" spans="1:17" ht="14.4" customHeight="1" x14ac:dyDescent="0.3">
      <c r="A431" s="695" t="s">
        <v>545</v>
      </c>
      <c r="B431" s="696" t="s">
        <v>4540</v>
      </c>
      <c r="C431" s="696" t="s">
        <v>4083</v>
      </c>
      <c r="D431" s="696" t="s">
        <v>4565</v>
      </c>
      <c r="E431" s="696" t="s">
        <v>4566</v>
      </c>
      <c r="F431" s="711">
        <v>7</v>
      </c>
      <c r="G431" s="711">
        <v>90580.28</v>
      </c>
      <c r="H431" s="711">
        <v>1</v>
      </c>
      <c r="I431" s="711">
        <v>12940.039999999999</v>
      </c>
      <c r="J431" s="711"/>
      <c r="K431" s="711"/>
      <c r="L431" s="711"/>
      <c r="M431" s="711"/>
      <c r="N431" s="711"/>
      <c r="O431" s="711"/>
      <c r="P431" s="701"/>
      <c r="Q431" s="712"/>
    </row>
    <row r="432" spans="1:17" ht="14.4" customHeight="1" x14ac:dyDescent="0.3">
      <c r="A432" s="695" t="s">
        <v>545</v>
      </c>
      <c r="B432" s="696" t="s">
        <v>4540</v>
      </c>
      <c r="C432" s="696" t="s">
        <v>4083</v>
      </c>
      <c r="D432" s="696" t="s">
        <v>4567</v>
      </c>
      <c r="E432" s="696" t="s">
        <v>1771</v>
      </c>
      <c r="F432" s="711">
        <v>8.6</v>
      </c>
      <c r="G432" s="711">
        <v>119290.16</v>
      </c>
      <c r="H432" s="711">
        <v>1</v>
      </c>
      <c r="I432" s="711">
        <v>13870.948837209304</v>
      </c>
      <c r="J432" s="711">
        <v>3.05</v>
      </c>
      <c r="K432" s="711">
        <v>41476.339999999997</v>
      </c>
      <c r="L432" s="711">
        <v>0.34769288598489595</v>
      </c>
      <c r="M432" s="711">
        <v>13598.8</v>
      </c>
      <c r="N432" s="711">
        <v>13.7</v>
      </c>
      <c r="O432" s="711">
        <v>186303.56</v>
      </c>
      <c r="P432" s="701">
        <v>1.5617680452436311</v>
      </c>
      <c r="Q432" s="712">
        <v>13598.800000000001</v>
      </c>
    </row>
    <row r="433" spans="1:17" ht="14.4" customHeight="1" x14ac:dyDescent="0.3">
      <c r="A433" s="695" t="s">
        <v>545</v>
      </c>
      <c r="B433" s="696" t="s">
        <v>4540</v>
      </c>
      <c r="C433" s="696" t="s">
        <v>4083</v>
      </c>
      <c r="D433" s="696" t="s">
        <v>4568</v>
      </c>
      <c r="E433" s="696" t="s">
        <v>1801</v>
      </c>
      <c r="F433" s="711"/>
      <c r="G433" s="711"/>
      <c r="H433" s="711"/>
      <c r="I433" s="711"/>
      <c r="J433" s="711">
        <v>109.8</v>
      </c>
      <c r="K433" s="711">
        <v>383894.49</v>
      </c>
      <c r="L433" s="711"/>
      <c r="M433" s="711">
        <v>3496.3068306010928</v>
      </c>
      <c r="N433" s="711">
        <v>44</v>
      </c>
      <c r="O433" s="711">
        <v>154106.04</v>
      </c>
      <c r="P433" s="701"/>
      <c r="Q433" s="712">
        <v>3502.4100000000003</v>
      </c>
    </row>
    <row r="434" spans="1:17" ht="14.4" customHeight="1" x14ac:dyDescent="0.3">
      <c r="A434" s="695" t="s">
        <v>545</v>
      </c>
      <c r="B434" s="696" t="s">
        <v>4540</v>
      </c>
      <c r="C434" s="696" t="s">
        <v>4083</v>
      </c>
      <c r="D434" s="696" t="s">
        <v>4569</v>
      </c>
      <c r="E434" s="696" t="s">
        <v>1787</v>
      </c>
      <c r="F434" s="711"/>
      <c r="G434" s="711"/>
      <c r="H434" s="711"/>
      <c r="I434" s="711"/>
      <c r="J434" s="711">
        <v>2</v>
      </c>
      <c r="K434" s="711">
        <v>24317.46</v>
      </c>
      <c r="L434" s="711"/>
      <c r="M434" s="711">
        <v>12158.73</v>
      </c>
      <c r="N434" s="711">
        <v>3</v>
      </c>
      <c r="O434" s="711">
        <v>36298.94</v>
      </c>
      <c r="P434" s="701"/>
      <c r="Q434" s="712">
        <v>12099.646666666667</v>
      </c>
    </row>
    <row r="435" spans="1:17" ht="14.4" customHeight="1" x14ac:dyDescent="0.3">
      <c r="A435" s="695" t="s">
        <v>545</v>
      </c>
      <c r="B435" s="696" t="s">
        <v>4540</v>
      </c>
      <c r="C435" s="696" t="s">
        <v>4083</v>
      </c>
      <c r="D435" s="696" t="s">
        <v>4570</v>
      </c>
      <c r="E435" s="696" t="s">
        <v>1706</v>
      </c>
      <c r="F435" s="711"/>
      <c r="G435" s="711"/>
      <c r="H435" s="711"/>
      <c r="I435" s="711"/>
      <c r="J435" s="711"/>
      <c r="K435" s="711"/>
      <c r="L435" s="711"/>
      <c r="M435" s="711"/>
      <c r="N435" s="711">
        <v>0.1</v>
      </c>
      <c r="O435" s="711">
        <v>1157.0999999999999</v>
      </c>
      <c r="P435" s="701"/>
      <c r="Q435" s="712">
        <v>11570.999999999998</v>
      </c>
    </row>
    <row r="436" spans="1:17" ht="14.4" customHeight="1" x14ac:dyDescent="0.3">
      <c r="A436" s="695" t="s">
        <v>545</v>
      </c>
      <c r="B436" s="696" t="s">
        <v>4540</v>
      </c>
      <c r="C436" s="696" t="s">
        <v>4083</v>
      </c>
      <c r="D436" s="696" t="s">
        <v>4571</v>
      </c>
      <c r="E436" s="696" t="s">
        <v>4078</v>
      </c>
      <c r="F436" s="711">
        <v>29</v>
      </c>
      <c r="G436" s="711">
        <v>327307.67</v>
      </c>
      <c r="H436" s="711">
        <v>1</v>
      </c>
      <c r="I436" s="711">
        <v>11286.471379310344</v>
      </c>
      <c r="J436" s="711"/>
      <c r="K436" s="711"/>
      <c r="L436" s="711"/>
      <c r="M436" s="711"/>
      <c r="N436" s="711"/>
      <c r="O436" s="711"/>
      <c r="P436" s="701"/>
      <c r="Q436" s="712"/>
    </row>
    <row r="437" spans="1:17" ht="14.4" customHeight="1" x14ac:dyDescent="0.3">
      <c r="A437" s="695" t="s">
        <v>545</v>
      </c>
      <c r="B437" s="696" t="s">
        <v>4540</v>
      </c>
      <c r="C437" s="696" t="s">
        <v>4083</v>
      </c>
      <c r="D437" s="696" t="s">
        <v>4572</v>
      </c>
      <c r="E437" s="696" t="s">
        <v>4573</v>
      </c>
      <c r="F437" s="711"/>
      <c r="G437" s="711"/>
      <c r="H437" s="711"/>
      <c r="I437" s="711"/>
      <c r="J437" s="711">
        <v>16</v>
      </c>
      <c r="K437" s="711">
        <v>92775.84</v>
      </c>
      <c r="L437" s="711"/>
      <c r="M437" s="711">
        <v>5798.49</v>
      </c>
      <c r="N437" s="711"/>
      <c r="O437" s="711"/>
      <c r="P437" s="701"/>
      <c r="Q437" s="712"/>
    </row>
    <row r="438" spans="1:17" ht="14.4" customHeight="1" x14ac:dyDescent="0.3">
      <c r="A438" s="695" t="s">
        <v>545</v>
      </c>
      <c r="B438" s="696" t="s">
        <v>4540</v>
      </c>
      <c r="C438" s="696" t="s">
        <v>4083</v>
      </c>
      <c r="D438" s="696" t="s">
        <v>4574</v>
      </c>
      <c r="E438" s="696" t="s">
        <v>4078</v>
      </c>
      <c r="F438" s="711">
        <v>15</v>
      </c>
      <c r="G438" s="711">
        <v>190092.3</v>
      </c>
      <c r="H438" s="711">
        <v>1</v>
      </c>
      <c r="I438" s="711">
        <v>12672.82</v>
      </c>
      <c r="J438" s="711"/>
      <c r="K438" s="711"/>
      <c r="L438" s="711"/>
      <c r="M438" s="711"/>
      <c r="N438" s="711"/>
      <c r="O438" s="711"/>
      <c r="P438" s="701"/>
      <c r="Q438" s="712"/>
    </row>
    <row r="439" spans="1:17" ht="14.4" customHeight="1" x14ac:dyDescent="0.3">
      <c r="A439" s="695" t="s">
        <v>545</v>
      </c>
      <c r="B439" s="696" t="s">
        <v>4540</v>
      </c>
      <c r="C439" s="696" t="s">
        <v>4083</v>
      </c>
      <c r="D439" s="696" t="s">
        <v>4575</v>
      </c>
      <c r="E439" s="696" t="s">
        <v>4078</v>
      </c>
      <c r="F439" s="711">
        <v>9</v>
      </c>
      <c r="G439" s="711">
        <v>36052.47</v>
      </c>
      <c r="H439" s="711">
        <v>1</v>
      </c>
      <c r="I439" s="711">
        <v>4005.83</v>
      </c>
      <c r="J439" s="711"/>
      <c r="K439" s="711"/>
      <c r="L439" s="711"/>
      <c r="M439" s="711"/>
      <c r="N439" s="711"/>
      <c r="O439" s="711"/>
      <c r="P439" s="701"/>
      <c r="Q439" s="712"/>
    </row>
    <row r="440" spans="1:17" ht="14.4" customHeight="1" x14ac:dyDescent="0.3">
      <c r="A440" s="695" t="s">
        <v>545</v>
      </c>
      <c r="B440" s="696" t="s">
        <v>4540</v>
      </c>
      <c r="C440" s="696" t="s">
        <v>4083</v>
      </c>
      <c r="D440" s="696" t="s">
        <v>4576</v>
      </c>
      <c r="E440" s="696" t="s">
        <v>4577</v>
      </c>
      <c r="F440" s="711"/>
      <c r="G440" s="711"/>
      <c r="H440" s="711"/>
      <c r="I440" s="711"/>
      <c r="J440" s="711">
        <v>0.2</v>
      </c>
      <c r="K440" s="711">
        <v>1062.1500000000001</v>
      </c>
      <c r="L440" s="711"/>
      <c r="M440" s="711">
        <v>5310.75</v>
      </c>
      <c r="N440" s="711"/>
      <c r="O440" s="711"/>
      <c r="P440" s="701"/>
      <c r="Q440" s="712"/>
    </row>
    <row r="441" spans="1:17" ht="14.4" customHeight="1" x14ac:dyDescent="0.3">
      <c r="A441" s="695" t="s">
        <v>545</v>
      </c>
      <c r="B441" s="696" t="s">
        <v>4540</v>
      </c>
      <c r="C441" s="696" t="s">
        <v>4083</v>
      </c>
      <c r="D441" s="696" t="s">
        <v>4578</v>
      </c>
      <c r="E441" s="696" t="s">
        <v>4579</v>
      </c>
      <c r="F441" s="711">
        <v>25</v>
      </c>
      <c r="G441" s="711">
        <v>10526.62</v>
      </c>
      <c r="H441" s="711">
        <v>1</v>
      </c>
      <c r="I441" s="711">
        <v>421.06480000000005</v>
      </c>
      <c r="J441" s="711"/>
      <c r="K441" s="711"/>
      <c r="L441" s="711"/>
      <c r="M441" s="711"/>
      <c r="N441" s="711"/>
      <c r="O441" s="711"/>
      <c r="P441" s="701"/>
      <c r="Q441" s="712"/>
    </row>
    <row r="442" spans="1:17" ht="14.4" customHeight="1" x14ac:dyDescent="0.3">
      <c r="A442" s="695" t="s">
        <v>545</v>
      </c>
      <c r="B442" s="696" t="s">
        <v>4540</v>
      </c>
      <c r="C442" s="696" t="s">
        <v>4083</v>
      </c>
      <c r="D442" s="696" t="s">
        <v>4580</v>
      </c>
      <c r="E442" s="696" t="s">
        <v>4581</v>
      </c>
      <c r="F442" s="711">
        <v>9.8000000000000007</v>
      </c>
      <c r="G442" s="711">
        <v>6914.01</v>
      </c>
      <c r="H442" s="711">
        <v>1</v>
      </c>
      <c r="I442" s="711">
        <v>705.51122448979584</v>
      </c>
      <c r="J442" s="711">
        <v>6.1</v>
      </c>
      <c r="K442" s="711">
        <v>2686.61</v>
      </c>
      <c r="L442" s="711">
        <v>0.38857479234192605</v>
      </c>
      <c r="M442" s="711">
        <v>440.42786885245908</v>
      </c>
      <c r="N442" s="711">
        <v>4</v>
      </c>
      <c r="O442" s="711">
        <v>1765.75</v>
      </c>
      <c r="P442" s="701">
        <v>0.25538724994612388</v>
      </c>
      <c r="Q442" s="712">
        <v>441.4375</v>
      </c>
    </row>
    <row r="443" spans="1:17" ht="14.4" customHeight="1" x14ac:dyDescent="0.3">
      <c r="A443" s="695" t="s">
        <v>545</v>
      </c>
      <c r="B443" s="696" t="s">
        <v>4540</v>
      </c>
      <c r="C443" s="696" t="s">
        <v>4083</v>
      </c>
      <c r="D443" s="696" t="s">
        <v>4582</v>
      </c>
      <c r="E443" s="696" t="s">
        <v>2087</v>
      </c>
      <c r="F443" s="711">
        <v>407.4</v>
      </c>
      <c r="G443" s="711">
        <v>30094.32</v>
      </c>
      <c r="H443" s="711">
        <v>1</v>
      </c>
      <c r="I443" s="711">
        <v>73.869219440353461</v>
      </c>
      <c r="J443" s="711">
        <v>725.6</v>
      </c>
      <c r="K443" s="711">
        <v>42070.05</v>
      </c>
      <c r="L443" s="711">
        <v>1.3979398770266285</v>
      </c>
      <c r="M443" s="711">
        <v>57.979671995589861</v>
      </c>
      <c r="N443" s="711">
        <v>353.6</v>
      </c>
      <c r="O443" s="711">
        <v>14377.19</v>
      </c>
      <c r="P443" s="701">
        <v>0.47773765946530777</v>
      </c>
      <c r="Q443" s="712">
        <v>40.659473981900454</v>
      </c>
    </row>
    <row r="444" spans="1:17" ht="14.4" customHeight="1" x14ac:dyDescent="0.3">
      <c r="A444" s="695" t="s">
        <v>545</v>
      </c>
      <c r="B444" s="696" t="s">
        <v>4540</v>
      </c>
      <c r="C444" s="696" t="s">
        <v>4083</v>
      </c>
      <c r="D444" s="696" t="s">
        <v>4583</v>
      </c>
      <c r="E444" s="696" t="s">
        <v>1749</v>
      </c>
      <c r="F444" s="711">
        <v>6.8999999999999995</v>
      </c>
      <c r="G444" s="711">
        <v>2717.82</v>
      </c>
      <c r="H444" s="711">
        <v>1</v>
      </c>
      <c r="I444" s="711">
        <v>393.88695652173919</v>
      </c>
      <c r="J444" s="711">
        <v>5.8</v>
      </c>
      <c r="K444" s="711">
        <v>2344.38</v>
      </c>
      <c r="L444" s="711">
        <v>0.86259575689339252</v>
      </c>
      <c r="M444" s="711">
        <v>404.20344827586212</v>
      </c>
      <c r="N444" s="711">
        <v>5.7</v>
      </c>
      <c r="O444" s="711">
        <v>2303.94</v>
      </c>
      <c r="P444" s="701">
        <v>0.84771618429476558</v>
      </c>
      <c r="Q444" s="712">
        <v>404.2</v>
      </c>
    </row>
    <row r="445" spans="1:17" ht="14.4" customHeight="1" x14ac:dyDescent="0.3">
      <c r="A445" s="695" t="s">
        <v>545</v>
      </c>
      <c r="B445" s="696" t="s">
        <v>4540</v>
      </c>
      <c r="C445" s="696" t="s">
        <v>4083</v>
      </c>
      <c r="D445" s="696" t="s">
        <v>4584</v>
      </c>
      <c r="E445" s="696" t="s">
        <v>4585</v>
      </c>
      <c r="F445" s="711">
        <v>24</v>
      </c>
      <c r="G445" s="711">
        <v>1955.84</v>
      </c>
      <c r="H445" s="711">
        <v>1</v>
      </c>
      <c r="I445" s="711">
        <v>81.493333333333325</v>
      </c>
      <c r="J445" s="711">
        <v>8</v>
      </c>
      <c r="K445" s="711">
        <v>460.08</v>
      </c>
      <c r="L445" s="711">
        <v>0.23523396596858639</v>
      </c>
      <c r="M445" s="711">
        <v>57.51</v>
      </c>
      <c r="N445" s="711">
        <v>6</v>
      </c>
      <c r="O445" s="711">
        <v>242.16</v>
      </c>
      <c r="P445" s="701">
        <v>0.12381380890052357</v>
      </c>
      <c r="Q445" s="712">
        <v>40.36</v>
      </c>
    </row>
    <row r="446" spans="1:17" ht="14.4" customHeight="1" x14ac:dyDescent="0.3">
      <c r="A446" s="695" t="s">
        <v>545</v>
      </c>
      <c r="B446" s="696" t="s">
        <v>4540</v>
      </c>
      <c r="C446" s="696" t="s">
        <v>4083</v>
      </c>
      <c r="D446" s="696" t="s">
        <v>1816</v>
      </c>
      <c r="E446" s="696" t="s">
        <v>4586</v>
      </c>
      <c r="F446" s="711">
        <v>6</v>
      </c>
      <c r="G446" s="711">
        <v>41019.18</v>
      </c>
      <c r="H446" s="711">
        <v>1</v>
      </c>
      <c r="I446" s="711">
        <v>6836.53</v>
      </c>
      <c r="J446" s="711">
        <v>4</v>
      </c>
      <c r="K446" s="711">
        <v>27586</v>
      </c>
      <c r="L446" s="711">
        <v>0.67251466265293458</v>
      </c>
      <c r="M446" s="711">
        <v>6896.5</v>
      </c>
      <c r="N446" s="711">
        <v>15</v>
      </c>
      <c r="O446" s="711">
        <v>114932.45999999999</v>
      </c>
      <c r="P446" s="701">
        <v>2.8019199798728298</v>
      </c>
      <c r="Q446" s="712">
        <v>7662.1639999999998</v>
      </c>
    </row>
    <row r="447" spans="1:17" ht="14.4" customHeight="1" x14ac:dyDescent="0.3">
      <c r="A447" s="695" t="s">
        <v>545</v>
      </c>
      <c r="B447" s="696" t="s">
        <v>4540</v>
      </c>
      <c r="C447" s="696" t="s">
        <v>4083</v>
      </c>
      <c r="D447" s="696" t="s">
        <v>4587</v>
      </c>
      <c r="E447" s="696" t="s">
        <v>4588</v>
      </c>
      <c r="F447" s="711">
        <v>42</v>
      </c>
      <c r="G447" s="711">
        <v>3455.6800000000003</v>
      </c>
      <c r="H447" s="711">
        <v>1</v>
      </c>
      <c r="I447" s="711">
        <v>82.278095238095247</v>
      </c>
      <c r="J447" s="711">
        <v>71</v>
      </c>
      <c r="K447" s="711">
        <v>3372.5</v>
      </c>
      <c r="L447" s="711">
        <v>0.97592948421150094</v>
      </c>
      <c r="M447" s="711">
        <v>47.5</v>
      </c>
      <c r="N447" s="711">
        <v>125</v>
      </c>
      <c r="O447" s="711">
        <v>5937.5</v>
      </c>
      <c r="P447" s="701">
        <v>1.7181857116399666</v>
      </c>
      <c r="Q447" s="712">
        <v>47.5</v>
      </c>
    </row>
    <row r="448" spans="1:17" ht="14.4" customHeight="1" x14ac:dyDescent="0.3">
      <c r="A448" s="695" t="s">
        <v>545</v>
      </c>
      <c r="B448" s="696" t="s">
        <v>4540</v>
      </c>
      <c r="C448" s="696" t="s">
        <v>4083</v>
      </c>
      <c r="D448" s="696" t="s">
        <v>4589</v>
      </c>
      <c r="E448" s="696" t="s">
        <v>4590</v>
      </c>
      <c r="F448" s="711">
        <v>1</v>
      </c>
      <c r="G448" s="711">
        <v>1933.46</v>
      </c>
      <c r="H448" s="711">
        <v>1</v>
      </c>
      <c r="I448" s="711">
        <v>1933.46</v>
      </c>
      <c r="J448" s="711"/>
      <c r="K448" s="711"/>
      <c r="L448" s="711"/>
      <c r="M448" s="711"/>
      <c r="N448" s="711"/>
      <c r="O448" s="711"/>
      <c r="P448" s="701"/>
      <c r="Q448" s="712"/>
    </row>
    <row r="449" spans="1:17" ht="14.4" customHeight="1" x14ac:dyDescent="0.3">
      <c r="A449" s="695" t="s">
        <v>545</v>
      </c>
      <c r="B449" s="696" t="s">
        <v>4540</v>
      </c>
      <c r="C449" s="696" t="s">
        <v>4083</v>
      </c>
      <c r="D449" s="696" t="s">
        <v>4591</v>
      </c>
      <c r="E449" s="696" t="s">
        <v>2093</v>
      </c>
      <c r="F449" s="711">
        <v>456.3</v>
      </c>
      <c r="G449" s="711">
        <v>54336.52</v>
      </c>
      <c r="H449" s="711">
        <v>1</v>
      </c>
      <c r="I449" s="711">
        <v>119.08069252684636</v>
      </c>
      <c r="J449" s="711">
        <v>385.1</v>
      </c>
      <c r="K449" s="711">
        <v>18292.25</v>
      </c>
      <c r="L449" s="711">
        <v>0.33664743343887316</v>
      </c>
      <c r="M449" s="711">
        <v>47.5</v>
      </c>
      <c r="N449" s="711">
        <v>649.4</v>
      </c>
      <c r="O449" s="711">
        <v>30846.5</v>
      </c>
      <c r="P449" s="701">
        <v>0.56769369845547712</v>
      </c>
      <c r="Q449" s="712">
        <v>47.5</v>
      </c>
    </row>
    <row r="450" spans="1:17" ht="14.4" customHeight="1" x14ac:dyDescent="0.3">
      <c r="A450" s="695" t="s">
        <v>545</v>
      </c>
      <c r="B450" s="696" t="s">
        <v>4540</v>
      </c>
      <c r="C450" s="696" t="s">
        <v>4083</v>
      </c>
      <c r="D450" s="696" t="s">
        <v>4592</v>
      </c>
      <c r="E450" s="696" t="s">
        <v>4593</v>
      </c>
      <c r="F450" s="711">
        <v>2</v>
      </c>
      <c r="G450" s="711">
        <v>1522.49</v>
      </c>
      <c r="H450" s="711">
        <v>1</v>
      </c>
      <c r="I450" s="711">
        <v>761.245</v>
      </c>
      <c r="J450" s="711"/>
      <c r="K450" s="711"/>
      <c r="L450" s="711"/>
      <c r="M450" s="711"/>
      <c r="N450" s="711">
        <v>1.7999999999999998</v>
      </c>
      <c r="O450" s="711">
        <v>1035.54</v>
      </c>
      <c r="P450" s="701">
        <v>0.6801621028709548</v>
      </c>
      <c r="Q450" s="712">
        <v>575.30000000000007</v>
      </c>
    </row>
    <row r="451" spans="1:17" ht="14.4" customHeight="1" x14ac:dyDescent="0.3">
      <c r="A451" s="695" t="s">
        <v>545</v>
      </c>
      <c r="B451" s="696" t="s">
        <v>4540</v>
      </c>
      <c r="C451" s="696" t="s">
        <v>4083</v>
      </c>
      <c r="D451" s="696" t="s">
        <v>4594</v>
      </c>
      <c r="E451" s="696" t="s">
        <v>1764</v>
      </c>
      <c r="F451" s="711">
        <v>39.200000000000003</v>
      </c>
      <c r="G451" s="711">
        <v>4508</v>
      </c>
      <c r="H451" s="711">
        <v>1</v>
      </c>
      <c r="I451" s="711">
        <v>114.99999999999999</v>
      </c>
      <c r="J451" s="711">
        <v>149</v>
      </c>
      <c r="K451" s="711">
        <v>17266</v>
      </c>
      <c r="L451" s="711">
        <v>3.8300798580301687</v>
      </c>
      <c r="M451" s="711">
        <v>115.87919463087249</v>
      </c>
      <c r="N451" s="711">
        <v>125</v>
      </c>
      <c r="O451" s="711">
        <v>10302.870000000001</v>
      </c>
      <c r="P451" s="701">
        <v>2.285463620230701</v>
      </c>
      <c r="Q451" s="712">
        <v>82.422960000000003</v>
      </c>
    </row>
    <row r="452" spans="1:17" ht="14.4" customHeight="1" x14ac:dyDescent="0.3">
      <c r="A452" s="695" t="s">
        <v>545</v>
      </c>
      <c r="B452" s="696" t="s">
        <v>4540</v>
      </c>
      <c r="C452" s="696" t="s">
        <v>4083</v>
      </c>
      <c r="D452" s="696" t="s">
        <v>4595</v>
      </c>
      <c r="E452" s="696" t="s">
        <v>2072</v>
      </c>
      <c r="F452" s="711">
        <v>166.9</v>
      </c>
      <c r="G452" s="711">
        <v>101342.50000000001</v>
      </c>
      <c r="H452" s="711">
        <v>1</v>
      </c>
      <c r="I452" s="711">
        <v>607.20491312162983</v>
      </c>
      <c r="J452" s="711">
        <v>154.6</v>
      </c>
      <c r="K452" s="711">
        <v>58709.42</v>
      </c>
      <c r="L452" s="711">
        <v>0.57931687100673446</v>
      </c>
      <c r="M452" s="711">
        <v>379.75045278137128</v>
      </c>
      <c r="N452" s="711">
        <v>104</v>
      </c>
      <c r="O452" s="711">
        <v>39494</v>
      </c>
      <c r="P452" s="701">
        <v>0.38970816784665857</v>
      </c>
      <c r="Q452" s="712">
        <v>379.75</v>
      </c>
    </row>
    <row r="453" spans="1:17" ht="14.4" customHeight="1" x14ac:dyDescent="0.3">
      <c r="A453" s="695" t="s">
        <v>545</v>
      </c>
      <c r="B453" s="696" t="s">
        <v>4540</v>
      </c>
      <c r="C453" s="696" t="s">
        <v>4083</v>
      </c>
      <c r="D453" s="696" t="s">
        <v>4596</v>
      </c>
      <c r="E453" s="696" t="s">
        <v>4597</v>
      </c>
      <c r="F453" s="711">
        <v>13</v>
      </c>
      <c r="G453" s="711">
        <v>75894.12</v>
      </c>
      <c r="H453" s="711">
        <v>1</v>
      </c>
      <c r="I453" s="711">
        <v>5838.0092307692303</v>
      </c>
      <c r="J453" s="711">
        <v>2</v>
      </c>
      <c r="K453" s="711">
        <v>12515.58</v>
      </c>
      <c r="L453" s="711">
        <v>0.16490842768846917</v>
      </c>
      <c r="M453" s="711">
        <v>6257.79</v>
      </c>
      <c r="N453" s="711"/>
      <c r="O453" s="711"/>
      <c r="P453" s="701"/>
      <c r="Q453" s="712"/>
    </row>
    <row r="454" spans="1:17" ht="14.4" customHeight="1" x14ac:dyDescent="0.3">
      <c r="A454" s="695" t="s">
        <v>545</v>
      </c>
      <c r="B454" s="696" t="s">
        <v>4540</v>
      </c>
      <c r="C454" s="696" t="s">
        <v>4083</v>
      </c>
      <c r="D454" s="696" t="s">
        <v>4598</v>
      </c>
      <c r="E454" s="696" t="s">
        <v>4599</v>
      </c>
      <c r="F454" s="711">
        <v>39</v>
      </c>
      <c r="G454" s="711">
        <v>2417.09</v>
      </c>
      <c r="H454" s="711">
        <v>1</v>
      </c>
      <c r="I454" s="711">
        <v>61.976666666666674</v>
      </c>
      <c r="J454" s="711">
        <v>85</v>
      </c>
      <c r="K454" s="711">
        <v>5800.6900000000005</v>
      </c>
      <c r="L454" s="711">
        <v>2.3998651270742917</v>
      </c>
      <c r="M454" s="711">
        <v>68.243411764705883</v>
      </c>
      <c r="N454" s="711">
        <v>8</v>
      </c>
      <c r="O454" s="711">
        <v>501.68</v>
      </c>
      <c r="P454" s="701">
        <v>0.20755536616344447</v>
      </c>
      <c r="Q454" s="712">
        <v>62.71</v>
      </c>
    </row>
    <row r="455" spans="1:17" ht="14.4" customHeight="1" x14ac:dyDescent="0.3">
      <c r="A455" s="695" t="s">
        <v>545</v>
      </c>
      <c r="B455" s="696" t="s">
        <v>4540</v>
      </c>
      <c r="C455" s="696" t="s">
        <v>4083</v>
      </c>
      <c r="D455" s="696" t="s">
        <v>4600</v>
      </c>
      <c r="E455" s="696" t="s">
        <v>4601</v>
      </c>
      <c r="F455" s="711"/>
      <c r="G455" s="711"/>
      <c r="H455" s="711"/>
      <c r="I455" s="711"/>
      <c r="J455" s="711">
        <v>27.3</v>
      </c>
      <c r="K455" s="711">
        <v>3667.29</v>
      </c>
      <c r="L455" s="711"/>
      <c r="M455" s="711">
        <v>134.33296703296702</v>
      </c>
      <c r="N455" s="711">
        <v>33</v>
      </c>
      <c r="O455" s="711">
        <v>3674.58</v>
      </c>
      <c r="P455" s="701"/>
      <c r="Q455" s="712">
        <v>111.35090909090908</v>
      </c>
    </row>
    <row r="456" spans="1:17" ht="14.4" customHeight="1" x14ac:dyDescent="0.3">
      <c r="A456" s="695" t="s">
        <v>545</v>
      </c>
      <c r="B456" s="696" t="s">
        <v>4540</v>
      </c>
      <c r="C456" s="696" t="s">
        <v>4083</v>
      </c>
      <c r="D456" s="696" t="s">
        <v>4602</v>
      </c>
      <c r="E456" s="696" t="s">
        <v>2076</v>
      </c>
      <c r="F456" s="711">
        <v>75</v>
      </c>
      <c r="G456" s="711">
        <v>4980.09</v>
      </c>
      <c r="H456" s="711">
        <v>1</v>
      </c>
      <c r="I456" s="711">
        <v>66.401200000000003</v>
      </c>
      <c r="J456" s="711">
        <v>77</v>
      </c>
      <c r="K456" s="711">
        <v>3153.15</v>
      </c>
      <c r="L456" s="711">
        <v>0.63315120811069681</v>
      </c>
      <c r="M456" s="711">
        <v>40.950000000000003</v>
      </c>
      <c r="N456" s="711">
        <v>80</v>
      </c>
      <c r="O456" s="711">
        <v>4880.3099999999995</v>
      </c>
      <c r="P456" s="701">
        <v>0.9799642175141412</v>
      </c>
      <c r="Q456" s="712">
        <v>61.003874999999994</v>
      </c>
    </row>
    <row r="457" spans="1:17" ht="14.4" customHeight="1" x14ac:dyDescent="0.3">
      <c r="A457" s="695" t="s">
        <v>545</v>
      </c>
      <c r="B457" s="696" t="s">
        <v>4540</v>
      </c>
      <c r="C457" s="696" t="s">
        <v>4083</v>
      </c>
      <c r="D457" s="696" t="s">
        <v>4603</v>
      </c>
      <c r="E457" s="696" t="s">
        <v>1635</v>
      </c>
      <c r="F457" s="711"/>
      <c r="G457" s="711"/>
      <c r="H457" s="711"/>
      <c r="I457" s="711"/>
      <c r="J457" s="711"/>
      <c r="K457" s="711"/>
      <c r="L457" s="711"/>
      <c r="M457" s="711"/>
      <c r="N457" s="711">
        <v>51</v>
      </c>
      <c r="O457" s="711">
        <v>3505.7400000000002</v>
      </c>
      <c r="P457" s="701"/>
      <c r="Q457" s="712">
        <v>68.740000000000009</v>
      </c>
    </row>
    <row r="458" spans="1:17" ht="14.4" customHeight="1" x14ac:dyDescent="0.3">
      <c r="A458" s="695" t="s">
        <v>545</v>
      </c>
      <c r="B458" s="696" t="s">
        <v>4540</v>
      </c>
      <c r="C458" s="696" t="s">
        <v>4083</v>
      </c>
      <c r="D458" s="696" t="s">
        <v>4604</v>
      </c>
      <c r="E458" s="696" t="s">
        <v>4605</v>
      </c>
      <c r="F458" s="711">
        <v>80</v>
      </c>
      <c r="G458" s="711">
        <v>525849.59999999998</v>
      </c>
      <c r="H458" s="711">
        <v>1</v>
      </c>
      <c r="I458" s="711">
        <v>6573.12</v>
      </c>
      <c r="J458" s="711">
        <v>62.3</v>
      </c>
      <c r="K458" s="711">
        <v>244584.07</v>
      </c>
      <c r="L458" s="711">
        <v>0.46512171921401102</v>
      </c>
      <c r="M458" s="711">
        <v>3925.9080256821831</v>
      </c>
      <c r="N458" s="711">
        <v>65.900000000000006</v>
      </c>
      <c r="O458" s="711">
        <v>258717.44</v>
      </c>
      <c r="P458" s="701">
        <v>0.49199892897132569</v>
      </c>
      <c r="Q458" s="712">
        <v>3925.9095599393017</v>
      </c>
    </row>
    <row r="459" spans="1:17" ht="14.4" customHeight="1" x14ac:dyDescent="0.3">
      <c r="A459" s="695" t="s">
        <v>545</v>
      </c>
      <c r="B459" s="696" t="s">
        <v>4540</v>
      </c>
      <c r="C459" s="696" t="s">
        <v>4083</v>
      </c>
      <c r="D459" s="696" t="s">
        <v>4606</v>
      </c>
      <c r="E459" s="696" t="s">
        <v>4607</v>
      </c>
      <c r="F459" s="711">
        <v>4</v>
      </c>
      <c r="G459" s="711">
        <v>27353.84</v>
      </c>
      <c r="H459" s="711">
        <v>1</v>
      </c>
      <c r="I459" s="711">
        <v>6838.46</v>
      </c>
      <c r="J459" s="711">
        <v>20</v>
      </c>
      <c r="K459" s="711">
        <v>129400.40000000001</v>
      </c>
      <c r="L459" s="711">
        <v>4.730611862904806</v>
      </c>
      <c r="M459" s="711">
        <v>6470.02</v>
      </c>
      <c r="N459" s="711"/>
      <c r="O459" s="711"/>
      <c r="P459" s="701"/>
      <c r="Q459" s="712"/>
    </row>
    <row r="460" spans="1:17" ht="14.4" customHeight="1" x14ac:dyDescent="0.3">
      <c r="A460" s="695" t="s">
        <v>545</v>
      </c>
      <c r="B460" s="696" t="s">
        <v>4540</v>
      </c>
      <c r="C460" s="696" t="s">
        <v>4083</v>
      </c>
      <c r="D460" s="696" t="s">
        <v>4608</v>
      </c>
      <c r="E460" s="696" t="s">
        <v>4609</v>
      </c>
      <c r="F460" s="711"/>
      <c r="G460" s="711"/>
      <c r="H460" s="711"/>
      <c r="I460" s="711"/>
      <c r="J460" s="711">
        <v>10</v>
      </c>
      <c r="K460" s="711">
        <v>2705.4</v>
      </c>
      <c r="L460" s="711"/>
      <c r="M460" s="711">
        <v>270.54000000000002</v>
      </c>
      <c r="N460" s="711"/>
      <c r="O460" s="711"/>
      <c r="P460" s="701"/>
      <c r="Q460" s="712"/>
    </row>
    <row r="461" spans="1:17" ht="14.4" customHeight="1" x14ac:dyDescent="0.3">
      <c r="A461" s="695" t="s">
        <v>545</v>
      </c>
      <c r="B461" s="696" t="s">
        <v>4540</v>
      </c>
      <c r="C461" s="696" t="s">
        <v>4083</v>
      </c>
      <c r="D461" s="696" t="s">
        <v>4610</v>
      </c>
      <c r="E461" s="696" t="s">
        <v>4611</v>
      </c>
      <c r="F461" s="711">
        <v>0.2</v>
      </c>
      <c r="G461" s="711">
        <v>80.14</v>
      </c>
      <c r="H461" s="711">
        <v>1</v>
      </c>
      <c r="I461" s="711">
        <v>400.7</v>
      </c>
      <c r="J461" s="711"/>
      <c r="K461" s="711"/>
      <c r="L461" s="711"/>
      <c r="M461" s="711"/>
      <c r="N461" s="711">
        <v>4</v>
      </c>
      <c r="O461" s="711">
        <v>1616.88</v>
      </c>
      <c r="P461" s="701">
        <v>20.175692538058399</v>
      </c>
      <c r="Q461" s="712">
        <v>404.22</v>
      </c>
    </row>
    <row r="462" spans="1:17" ht="14.4" customHeight="1" x14ac:dyDescent="0.3">
      <c r="A462" s="695" t="s">
        <v>545</v>
      </c>
      <c r="B462" s="696" t="s">
        <v>4540</v>
      </c>
      <c r="C462" s="696" t="s">
        <v>4083</v>
      </c>
      <c r="D462" s="696" t="s">
        <v>4612</v>
      </c>
      <c r="E462" s="696" t="s">
        <v>2089</v>
      </c>
      <c r="F462" s="711">
        <v>5</v>
      </c>
      <c r="G462" s="711">
        <v>1568.4</v>
      </c>
      <c r="H462" s="711">
        <v>1</v>
      </c>
      <c r="I462" s="711">
        <v>313.68</v>
      </c>
      <c r="J462" s="711"/>
      <c r="K462" s="711"/>
      <c r="L462" s="711"/>
      <c r="M462" s="711"/>
      <c r="N462" s="711"/>
      <c r="O462" s="711"/>
      <c r="P462" s="701"/>
      <c r="Q462" s="712"/>
    </row>
    <row r="463" spans="1:17" ht="14.4" customHeight="1" x14ac:dyDescent="0.3">
      <c r="A463" s="695" t="s">
        <v>545</v>
      </c>
      <c r="B463" s="696" t="s">
        <v>4540</v>
      </c>
      <c r="C463" s="696" t="s">
        <v>4083</v>
      </c>
      <c r="D463" s="696" t="s">
        <v>4613</v>
      </c>
      <c r="E463" s="696" t="s">
        <v>2091</v>
      </c>
      <c r="F463" s="711">
        <v>50</v>
      </c>
      <c r="G463" s="711">
        <v>32501.77</v>
      </c>
      <c r="H463" s="711">
        <v>1</v>
      </c>
      <c r="I463" s="711">
        <v>650.03539999999998</v>
      </c>
      <c r="J463" s="711">
        <v>69</v>
      </c>
      <c r="K463" s="711">
        <v>15812.039999999999</v>
      </c>
      <c r="L463" s="711">
        <v>0.4864978122729931</v>
      </c>
      <c r="M463" s="711">
        <v>229.16</v>
      </c>
      <c r="N463" s="711">
        <v>171.5</v>
      </c>
      <c r="O463" s="711">
        <v>39300.94</v>
      </c>
      <c r="P463" s="701">
        <v>1.2091938377509903</v>
      </c>
      <c r="Q463" s="712">
        <v>229.16000000000003</v>
      </c>
    </row>
    <row r="464" spans="1:17" ht="14.4" customHeight="1" x14ac:dyDescent="0.3">
      <c r="A464" s="695" t="s">
        <v>545</v>
      </c>
      <c r="B464" s="696" t="s">
        <v>4540</v>
      </c>
      <c r="C464" s="696" t="s">
        <v>4083</v>
      </c>
      <c r="D464" s="696" t="s">
        <v>4614</v>
      </c>
      <c r="E464" s="696" t="s">
        <v>4615</v>
      </c>
      <c r="F464" s="711"/>
      <c r="G464" s="711"/>
      <c r="H464" s="711"/>
      <c r="I464" s="711"/>
      <c r="J464" s="711">
        <v>1</v>
      </c>
      <c r="K464" s="711">
        <v>3535.84</v>
      </c>
      <c r="L464" s="711"/>
      <c r="M464" s="711">
        <v>3535.84</v>
      </c>
      <c r="N464" s="711"/>
      <c r="O464" s="711"/>
      <c r="P464" s="701"/>
      <c r="Q464" s="712"/>
    </row>
    <row r="465" spans="1:17" ht="14.4" customHeight="1" x14ac:dyDescent="0.3">
      <c r="A465" s="695" t="s">
        <v>545</v>
      </c>
      <c r="B465" s="696" t="s">
        <v>4540</v>
      </c>
      <c r="C465" s="696" t="s">
        <v>4083</v>
      </c>
      <c r="D465" s="696" t="s">
        <v>4616</v>
      </c>
      <c r="E465" s="696" t="s">
        <v>4617</v>
      </c>
      <c r="F465" s="711">
        <v>0.9</v>
      </c>
      <c r="G465" s="711">
        <v>425.22</v>
      </c>
      <c r="H465" s="711">
        <v>1</v>
      </c>
      <c r="I465" s="711">
        <v>472.4666666666667</v>
      </c>
      <c r="J465" s="711">
        <v>3.4</v>
      </c>
      <c r="K465" s="711">
        <v>737.42</v>
      </c>
      <c r="L465" s="711">
        <v>1.7342081745919757</v>
      </c>
      <c r="M465" s="711">
        <v>216.88823529411764</v>
      </c>
      <c r="N465" s="711">
        <v>2.9</v>
      </c>
      <c r="O465" s="711">
        <v>629.30000000000007</v>
      </c>
      <c r="P465" s="701">
        <v>1.4799397958703731</v>
      </c>
      <c r="Q465" s="712">
        <v>217.00000000000003</v>
      </c>
    </row>
    <row r="466" spans="1:17" ht="14.4" customHeight="1" x14ac:dyDescent="0.3">
      <c r="A466" s="695" t="s">
        <v>545</v>
      </c>
      <c r="B466" s="696" t="s">
        <v>4540</v>
      </c>
      <c r="C466" s="696" t="s">
        <v>4083</v>
      </c>
      <c r="D466" s="696" t="s">
        <v>4618</v>
      </c>
      <c r="E466" s="696" t="s">
        <v>1637</v>
      </c>
      <c r="F466" s="711">
        <v>54.6</v>
      </c>
      <c r="G466" s="711">
        <v>4939.22</v>
      </c>
      <c r="H466" s="711">
        <v>1</v>
      </c>
      <c r="I466" s="711">
        <v>90.461904761904762</v>
      </c>
      <c r="J466" s="711">
        <v>49.3</v>
      </c>
      <c r="K466" s="711">
        <v>4777.43</v>
      </c>
      <c r="L466" s="711">
        <v>0.96724381582517083</v>
      </c>
      <c r="M466" s="711">
        <v>96.905273833671416</v>
      </c>
      <c r="N466" s="711">
        <v>62.4</v>
      </c>
      <c r="O466" s="711">
        <v>6050.5800000000008</v>
      </c>
      <c r="P466" s="701">
        <v>1.2250071873696657</v>
      </c>
      <c r="Q466" s="712">
        <v>96.964423076923097</v>
      </c>
    </row>
    <row r="467" spans="1:17" ht="14.4" customHeight="1" x14ac:dyDescent="0.3">
      <c r="A467" s="695" t="s">
        <v>545</v>
      </c>
      <c r="B467" s="696" t="s">
        <v>4540</v>
      </c>
      <c r="C467" s="696" t="s">
        <v>4083</v>
      </c>
      <c r="D467" s="696" t="s">
        <v>4619</v>
      </c>
      <c r="E467" s="696" t="s">
        <v>4620</v>
      </c>
      <c r="F467" s="711">
        <v>229</v>
      </c>
      <c r="G467" s="711">
        <v>13338.270000000002</v>
      </c>
      <c r="H467" s="711">
        <v>1</v>
      </c>
      <c r="I467" s="711">
        <v>58.245720524017479</v>
      </c>
      <c r="J467" s="711">
        <v>203.8</v>
      </c>
      <c r="K467" s="711">
        <v>13043.2</v>
      </c>
      <c r="L467" s="711">
        <v>0.97787794069245848</v>
      </c>
      <c r="M467" s="711">
        <v>64</v>
      </c>
      <c r="N467" s="711">
        <v>209.9</v>
      </c>
      <c r="O467" s="711">
        <v>13433.6</v>
      </c>
      <c r="P467" s="701">
        <v>1.0071471037848234</v>
      </c>
      <c r="Q467" s="712">
        <v>64</v>
      </c>
    </row>
    <row r="468" spans="1:17" ht="14.4" customHeight="1" x14ac:dyDescent="0.3">
      <c r="A468" s="695" t="s">
        <v>545</v>
      </c>
      <c r="B468" s="696" t="s">
        <v>4540</v>
      </c>
      <c r="C468" s="696" t="s">
        <v>4083</v>
      </c>
      <c r="D468" s="696" t="s">
        <v>4621</v>
      </c>
      <c r="E468" s="696" t="s">
        <v>4622</v>
      </c>
      <c r="F468" s="711"/>
      <c r="G468" s="711"/>
      <c r="H468" s="711"/>
      <c r="I468" s="711"/>
      <c r="J468" s="711"/>
      <c r="K468" s="711"/>
      <c r="L468" s="711"/>
      <c r="M468" s="711"/>
      <c r="N468" s="711">
        <v>1</v>
      </c>
      <c r="O468" s="711">
        <v>672.94</v>
      </c>
      <c r="P468" s="701"/>
      <c r="Q468" s="712">
        <v>672.94</v>
      </c>
    </row>
    <row r="469" spans="1:17" ht="14.4" customHeight="1" x14ac:dyDescent="0.3">
      <c r="A469" s="695" t="s">
        <v>545</v>
      </c>
      <c r="B469" s="696" t="s">
        <v>4540</v>
      </c>
      <c r="C469" s="696" t="s">
        <v>4083</v>
      </c>
      <c r="D469" s="696" t="s">
        <v>4623</v>
      </c>
      <c r="E469" s="696" t="s">
        <v>4622</v>
      </c>
      <c r="F469" s="711">
        <v>42.5</v>
      </c>
      <c r="G469" s="711">
        <v>58648.9</v>
      </c>
      <c r="H469" s="711">
        <v>1</v>
      </c>
      <c r="I469" s="711">
        <v>1379.9741176470588</v>
      </c>
      <c r="J469" s="711">
        <v>20</v>
      </c>
      <c r="K469" s="711">
        <v>26917.599999999999</v>
      </c>
      <c r="L469" s="711">
        <v>0.45896171965714616</v>
      </c>
      <c r="M469" s="711">
        <v>1345.8799999999999</v>
      </c>
      <c r="N469" s="711">
        <v>29</v>
      </c>
      <c r="O469" s="711">
        <v>39030.520000000004</v>
      </c>
      <c r="P469" s="701">
        <v>0.66549449350286205</v>
      </c>
      <c r="Q469" s="712">
        <v>1345.88</v>
      </c>
    </row>
    <row r="470" spans="1:17" ht="14.4" customHeight="1" x14ac:dyDescent="0.3">
      <c r="A470" s="695" t="s">
        <v>545</v>
      </c>
      <c r="B470" s="696" t="s">
        <v>4540</v>
      </c>
      <c r="C470" s="696" t="s">
        <v>4083</v>
      </c>
      <c r="D470" s="696" t="s">
        <v>4624</v>
      </c>
      <c r="E470" s="696" t="s">
        <v>1767</v>
      </c>
      <c r="F470" s="711"/>
      <c r="G470" s="711"/>
      <c r="H470" s="711"/>
      <c r="I470" s="711"/>
      <c r="J470" s="711">
        <v>8.32</v>
      </c>
      <c r="K470" s="711">
        <v>5653.34</v>
      </c>
      <c r="L470" s="711"/>
      <c r="M470" s="711">
        <v>679.48798076923072</v>
      </c>
      <c r="N470" s="711">
        <v>5</v>
      </c>
      <c r="O470" s="711">
        <v>3403.35</v>
      </c>
      <c r="P470" s="701"/>
      <c r="Q470" s="712">
        <v>680.67</v>
      </c>
    </row>
    <row r="471" spans="1:17" ht="14.4" customHeight="1" x14ac:dyDescent="0.3">
      <c r="A471" s="695" t="s">
        <v>545</v>
      </c>
      <c r="B471" s="696" t="s">
        <v>4540</v>
      </c>
      <c r="C471" s="696" t="s">
        <v>4083</v>
      </c>
      <c r="D471" s="696" t="s">
        <v>4625</v>
      </c>
      <c r="E471" s="696" t="s">
        <v>4626</v>
      </c>
      <c r="F471" s="711">
        <v>1</v>
      </c>
      <c r="G471" s="711">
        <v>1345.88</v>
      </c>
      <c r="H471" s="711">
        <v>1</v>
      </c>
      <c r="I471" s="711">
        <v>1345.88</v>
      </c>
      <c r="J471" s="711"/>
      <c r="K471" s="711"/>
      <c r="L471" s="711"/>
      <c r="M471" s="711"/>
      <c r="N471" s="711"/>
      <c r="O471" s="711"/>
      <c r="P471" s="701"/>
      <c r="Q471" s="712"/>
    </row>
    <row r="472" spans="1:17" ht="14.4" customHeight="1" x14ac:dyDescent="0.3">
      <c r="A472" s="695" t="s">
        <v>545</v>
      </c>
      <c r="B472" s="696" t="s">
        <v>4540</v>
      </c>
      <c r="C472" s="696" t="s">
        <v>4083</v>
      </c>
      <c r="D472" s="696" t="s">
        <v>4627</v>
      </c>
      <c r="E472" s="696" t="s">
        <v>4628</v>
      </c>
      <c r="F472" s="711">
        <v>10</v>
      </c>
      <c r="G472" s="711">
        <v>161505.60000000001</v>
      </c>
      <c r="H472" s="711">
        <v>1</v>
      </c>
      <c r="I472" s="711">
        <v>16150.560000000001</v>
      </c>
      <c r="J472" s="711">
        <v>1</v>
      </c>
      <c r="K472" s="711">
        <v>16150.56</v>
      </c>
      <c r="L472" s="711">
        <v>9.9999999999999992E-2</v>
      </c>
      <c r="M472" s="711">
        <v>16150.56</v>
      </c>
      <c r="N472" s="711"/>
      <c r="O472" s="711"/>
      <c r="P472" s="701"/>
      <c r="Q472" s="712"/>
    </row>
    <row r="473" spans="1:17" ht="14.4" customHeight="1" x14ac:dyDescent="0.3">
      <c r="A473" s="695" t="s">
        <v>545</v>
      </c>
      <c r="B473" s="696" t="s">
        <v>4540</v>
      </c>
      <c r="C473" s="696" t="s">
        <v>4083</v>
      </c>
      <c r="D473" s="696" t="s">
        <v>4629</v>
      </c>
      <c r="E473" s="696" t="s">
        <v>1700</v>
      </c>
      <c r="F473" s="711"/>
      <c r="G473" s="711"/>
      <c r="H473" s="711"/>
      <c r="I473" s="711"/>
      <c r="J473" s="711"/>
      <c r="K473" s="711"/>
      <c r="L473" s="711"/>
      <c r="M473" s="711"/>
      <c r="N473" s="711">
        <v>14</v>
      </c>
      <c r="O473" s="711">
        <v>13587</v>
      </c>
      <c r="P473" s="701"/>
      <c r="Q473" s="712">
        <v>970.5</v>
      </c>
    </row>
    <row r="474" spans="1:17" ht="14.4" customHeight="1" x14ac:dyDescent="0.3">
      <c r="A474" s="695" t="s">
        <v>545</v>
      </c>
      <c r="B474" s="696" t="s">
        <v>4540</v>
      </c>
      <c r="C474" s="696" t="s">
        <v>4083</v>
      </c>
      <c r="D474" s="696" t="s">
        <v>4630</v>
      </c>
      <c r="E474" s="696" t="s">
        <v>1774</v>
      </c>
      <c r="F474" s="711"/>
      <c r="G474" s="711"/>
      <c r="H474" s="711"/>
      <c r="I474" s="711"/>
      <c r="J474" s="711"/>
      <c r="K474" s="711"/>
      <c r="L474" s="711"/>
      <c r="M474" s="711"/>
      <c r="N474" s="711">
        <v>4.0999999999999996</v>
      </c>
      <c r="O474" s="711">
        <v>8850.36</v>
      </c>
      <c r="P474" s="701"/>
      <c r="Q474" s="712">
        <v>2158.6243902439028</v>
      </c>
    </row>
    <row r="475" spans="1:17" ht="14.4" customHeight="1" x14ac:dyDescent="0.3">
      <c r="A475" s="695" t="s">
        <v>545</v>
      </c>
      <c r="B475" s="696" t="s">
        <v>4540</v>
      </c>
      <c r="C475" s="696" t="s">
        <v>4083</v>
      </c>
      <c r="D475" s="696" t="s">
        <v>4631</v>
      </c>
      <c r="E475" s="696" t="s">
        <v>4078</v>
      </c>
      <c r="F475" s="711">
        <v>8</v>
      </c>
      <c r="G475" s="711">
        <v>0</v>
      </c>
      <c r="H475" s="711"/>
      <c r="I475" s="711">
        <v>0</v>
      </c>
      <c r="J475" s="711">
        <v>7</v>
      </c>
      <c r="K475" s="711">
        <v>6316.8</v>
      </c>
      <c r="L475" s="711"/>
      <c r="M475" s="711">
        <v>902.4</v>
      </c>
      <c r="N475" s="711">
        <v>5</v>
      </c>
      <c r="O475" s="711">
        <v>4512</v>
      </c>
      <c r="P475" s="701"/>
      <c r="Q475" s="712">
        <v>902.4</v>
      </c>
    </row>
    <row r="476" spans="1:17" ht="14.4" customHeight="1" x14ac:dyDescent="0.3">
      <c r="A476" s="695" t="s">
        <v>545</v>
      </c>
      <c r="B476" s="696" t="s">
        <v>4540</v>
      </c>
      <c r="C476" s="696" t="s">
        <v>4083</v>
      </c>
      <c r="D476" s="696" t="s">
        <v>4632</v>
      </c>
      <c r="E476" s="696" t="s">
        <v>1666</v>
      </c>
      <c r="F476" s="711"/>
      <c r="G476" s="711"/>
      <c r="H476" s="711"/>
      <c r="I476" s="711"/>
      <c r="J476" s="711"/>
      <c r="K476" s="711"/>
      <c r="L476" s="711"/>
      <c r="M476" s="711"/>
      <c r="N476" s="711">
        <v>2.8</v>
      </c>
      <c r="O476" s="711">
        <v>1755.88</v>
      </c>
      <c r="P476" s="701"/>
      <c r="Q476" s="712">
        <v>627.1</v>
      </c>
    </row>
    <row r="477" spans="1:17" ht="14.4" customHeight="1" x14ac:dyDescent="0.3">
      <c r="A477" s="695" t="s">
        <v>545</v>
      </c>
      <c r="B477" s="696" t="s">
        <v>4540</v>
      </c>
      <c r="C477" s="696" t="s">
        <v>4083</v>
      </c>
      <c r="D477" s="696" t="s">
        <v>4633</v>
      </c>
      <c r="E477" s="696" t="s">
        <v>1693</v>
      </c>
      <c r="F477" s="711"/>
      <c r="G477" s="711"/>
      <c r="H477" s="711"/>
      <c r="I477" s="711"/>
      <c r="J477" s="711"/>
      <c r="K477" s="711"/>
      <c r="L477" s="711"/>
      <c r="M477" s="711"/>
      <c r="N477" s="711">
        <v>15.15</v>
      </c>
      <c r="O477" s="711">
        <v>12223.02</v>
      </c>
      <c r="P477" s="701"/>
      <c r="Q477" s="712">
        <v>806.8</v>
      </c>
    </row>
    <row r="478" spans="1:17" ht="14.4" customHeight="1" x14ac:dyDescent="0.3">
      <c r="A478" s="695" t="s">
        <v>545</v>
      </c>
      <c r="B478" s="696" t="s">
        <v>4540</v>
      </c>
      <c r="C478" s="696" t="s">
        <v>4083</v>
      </c>
      <c r="D478" s="696" t="s">
        <v>4634</v>
      </c>
      <c r="E478" s="696" t="s">
        <v>1745</v>
      </c>
      <c r="F478" s="711"/>
      <c r="G478" s="711"/>
      <c r="H478" s="711"/>
      <c r="I478" s="711"/>
      <c r="J478" s="711"/>
      <c r="K478" s="711"/>
      <c r="L478" s="711"/>
      <c r="M478" s="711"/>
      <c r="N478" s="711">
        <v>6</v>
      </c>
      <c r="O478" s="711">
        <v>580.14</v>
      </c>
      <c r="P478" s="701"/>
      <c r="Q478" s="712">
        <v>96.69</v>
      </c>
    </row>
    <row r="479" spans="1:17" ht="14.4" customHeight="1" x14ac:dyDescent="0.3">
      <c r="A479" s="695" t="s">
        <v>545</v>
      </c>
      <c r="B479" s="696" t="s">
        <v>4540</v>
      </c>
      <c r="C479" s="696" t="s">
        <v>4083</v>
      </c>
      <c r="D479" s="696" t="s">
        <v>4635</v>
      </c>
      <c r="E479" s="696" t="s">
        <v>4636</v>
      </c>
      <c r="F479" s="711"/>
      <c r="G479" s="711"/>
      <c r="H479" s="711"/>
      <c r="I479" s="711"/>
      <c r="J479" s="711"/>
      <c r="K479" s="711"/>
      <c r="L479" s="711"/>
      <c r="M479" s="711"/>
      <c r="N479" s="711">
        <v>13</v>
      </c>
      <c r="O479" s="711">
        <v>2979.08</v>
      </c>
      <c r="P479" s="701"/>
      <c r="Q479" s="712">
        <v>229.16</v>
      </c>
    </row>
    <row r="480" spans="1:17" ht="14.4" customHeight="1" x14ac:dyDescent="0.3">
      <c r="A480" s="695" t="s">
        <v>545</v>
      </c>
      <c r="B480" s="696" t="s">
        <v>4540</v>
      </c>
      <c r="C480" s="696" t="s">
        <v>4083</v>
      </c>
      <c r="D480" s="696" t="s">
        <v>4637</v>
      </c>
      <c r="E480" s="696" t="s">
        <v>1690</v>
      </c>
      <c r="F480" s="711"/>
      <c r="G480" s="711"/>
      <c r="H480" s="711"/>
      <c r="I480" s="711"/>
      <c r="J480" s="711"/>
      <c r="K480" s="711"/>
      <c r="L480" s="711"/>
      <c r="M480" s="711"/>
      <c r="N480" s="711">
        <v>0.8</v>
      </c>
      <c r="O480" s="711">
        <v>645.79999999999995</v>
      </c>
      <c r="P480" s="701"/>
      <c r="Q480" s="712">
        <v>807.24999999999989</v>
      </c>
    </row>
    <row r="481" spans="1:17" ht="14.4" customHeight="1" x14ac:dyDescent="0.3">
      <c r="A481" s="695" t="s">
        <v>545</v>
      </c>
      <c r="B481" s="696" t="s">
        <v>4540</v>
      </c>
      <c r="C481" s="696" t="s">
        <v>4083</v>
      </c>
      <c r="D481" s="696" t="s">
        <v>4638</v>
      </c>
      <c r="E481" s="696" t="s">
        <v>4639</v>
      </c>
      <c r="F481" s="711"/>
      <c r="G481" s="711"/>
      <c r="H481" s="711"/>
      <c r="I481" s="711"/>
      <c r="J481" s="711">
        <v>40.22</v>
      </c>
      <c r="K481" s="711">
        <v>145934.35</v>
      </c>
      <c r="L481" s="711"/>
      <c r="M481" s="711">
        <v>3628.4025360517157</v>
      </c>
      <c r="N481" s="711">
        <v>80.289999999999992</v>
      </c>
      <c r="O481" s="711">
        <v>291295.84999999998</v>
      </c>
      <c r="P481" s="701"/>
      <c r="Q481" s="712">
        <v>3628.0464565948437</v>
      </c>
    </row>
    <row r="482" spans="1:17" ht="14.4" customHeight="1" x14ac:dyDescent="0.3">
      <c r="A482" s="695" t="s">
        <v>545</v>
      </c>
      <c r="B482" s="696" t="s">
        <v>4540</v>
      </c>
      <c r="C482" s="696" t="s">
        <v>4083</v>
      </c>
      <c r="D482" s="696" t="s">
        <v>4640</v>
      </c>
      <c r="E482" s="696" t="s">
        <v>1791</v>
      </c>
      <c r="F482" s="711"/>
      <c r="G482" s="711"/>
      <c r="H482" s="711"/>
      <c r="I482" s="711"/>
      <c r="J482" s="711">
        <v>12</v>
      </c>
      <c r="K482" s="711">
        <v>111794.88</v>
      </c>
      <c r="L482" s="711"/>
      <c r="M482" s="711">
        <v>9316.24</v>
      </c>
      <c r="N482" s="711">
        <v>27</v>
      </c>
      <c r="O482" s="711">
        <v>291573.27</v>
      </c>
      <c r="P482" s="701"/>
      <c r="Q482" s="712">
        <v>10799.01</v>
      </c>
    </row>
    <row r="483" spans="1:17" ht="14.4" customHeight="1" x14ac:dyDescent="0.3">
      <c r="A483" s="695" t="s">
        <v>545</v>
      </c>
      <c r="B483" s="696" t="s">
        <v>4540</v>
      </c>
      <c r="C483" s="696" t="s">
        <v>4083</v>
      </c>
      <c r="D483" s="696" t="s">
        <v>1814</v>
      </c>
      <c r="E483" s="696" t="s">
        <v>1821</v>
      </c>
      <c r="F483" s="711"/>
      <c r="G483" s="711"/>
      <c r="H483" s="711"/>
      <c r="I483" s="711"/>
      <c r="J483" s="711"/>
      <c r="K483" s="711"/>
      <c r="L483" s="711"/>
      <c r="M483" s="711"/>
      <c r="N483" s="711">
        <v>6</v>
      </c>
      <c r="O483" s="711">
        <v>21020.34</v>
      </c>
      <c r="P483" s="701"/>
      <c r="Q483" s="712">
        <v>3503.39</v>
      </c>
    </row>
    <row r="484" spans="1:17" ht="14.4" customHeight="1" x14ac:dyDescent="0.3">
      <c r="A484" s="695" t="s">
        <v>545</v>
      </c>
      <c r="B484" s="696" t="s">
        <v>4540</v>
      </c>
      <c r="C484" s="696" t="s">
        <v>4083</v>
      </c>
      <c r="D484" s="696" t="s">
        <v>4641</v>
      </c>
      <c r="E484" s="696" t="s">
        <v>4642</v>
      </c>
      <c r="F484" s="711">
        <v>20</v>
      </c>
      <c r="G484" s="711">
        <v>13960</v>
      </c>
      <c r="H484" s="711">
        <v>1</v>
      </c>
      <c r="I484" s="711">
        <v>698</v>
      </c>
      <c r="J484" s="711"/>
      <c r="K484" s="711"/>
      <c r="L484" s="711"/>
      <c r="M484" s="711"/>
      <c r="N484" s="711"/>
      <c r="O484" s="711"/>
      <c r="P484" s="701"/>
      <c r="Q484" s="712"/>
    </row>
    <row r="485" spans="1:17" ht="14.4" customHeight="1" x14ac:dyDescent="0.3">
      <c r="A485" s="695" t="s">
        <v>545</v>
      </c>
      <c r="B485" s="696" t="s">
        <v>4540</v>
      </c>
      <c r="C485" s="696" t="s">
        <v>4083</v>
      </c>
      <c r="D485" s="696" t="s">
        <v>4643</v>
      </c>
      <c r="E485" s="696" t="s">
        <v>4644</v>
      </c>
      <c r="F485" s="711"/>
      <c r="G485" s="711"/>
      <c r="H485" s="711"/>
      <c r="I485" s="711"/>
      <c r="J485" s="711"/>
      <c r="K485" s="711"/>
      <c r="L485" s="711"/>
      <c r="M485" s="711"/>
      <c r="N485" s="711">
        <v>0.3</v>
      </c>
      <c r="O485" s="711">
        <v>3446.25</v>
      </c>
      <c r="P485" s="701"/>
      <c r="Q485" s="712">
        <v>11487.5</v>
      </c>
    </row>
    <row r="486" spans="1:17" ht="14.4" customHeight="1" x14ac:dyDescent="0.3">
      <c r="A486" s="695" t="s">
        <v>545</v>
      </c>
      <c r="B486" s="696" t="s">
        <v>4540</v>
      </c>
      <c r="C486" s="696" t="s">
        <v>4083</v>
      </c>
      <c r="D486" s="696" t="s">
        <v>4645</v>
      </c>
      <c r="E486" s="696" t="s">
        <v>1794</v>
      </c>
      <c r="F486" s="711"/>
      <c r="G486" s="711"/>
      <c r="H486" s="711"/>
      <c r="I486" s="711"/>
      <c r="J486" s="711"/>
      <c r="K486" s="711"/>
      <c r="L486" s="711"/>
      <c r="M486" s="711"/>
      <c r="N486" s="711">
        <v>11</v>
      </c>
      <c r="O486" s="711">
        <v>166932.37</v>
      </c>
      <c r="P486" s="701"/>
      <c r="Q486" s="712">
        <v>15175.67</v>
      </c>
    </row>
    <row r="487" spans="1:17" ht="14.4" customHeight="1" x14ac:dyDescent="0.3">
      <c r="A487" s="695" t="s">
        <v>545</v>
      </c>
      <c r="B487" s="696" t="s">
        <v>4540</v>
      </c>
      <c r="C487" s="696" t="s">
        <v>4083</v>
      </c>
      <c r="D487" s="696" t="s">
        <v>4646</v>
      </c>
      <c r="E487" s="696" t="s">
        <v>1805</v>
      </c>
      <c r="F487" s="711"/>
      <c r="G487" s="711"/>
      <c r="H487" s="711"/>
      <c r="I487" s="711"/>
      <c r="J487" s="711"/>
      <c r="K487" s="711"/>
      <c r="L487" s="711"/>
      <c r="M487" s="711"/>
      <c r="N487" s="711">
        <v>29</v>
      </c>
      <c r="O487" s="711">
        <v>315077.17</v>
      </c>
      <c r="P487" s="701"/>
      <c r="Q487" s="712">
        <v>10864.73</v>
      </c>
    </row>
    <row r="488" spans="1:17" ht="14.4" customHeight="1" x14ac:dyDescent="0.3">
      <c r="A488" s="695" t="s">
        <v>545</v>
      </c>
      <c r="B488" s="696" t="s">
        <v>4540</v>
      </c>
      <c r="C488" s="696" t="s">
        <v>4647</v>
      </c>
      <c r="D488" s="696" t="s">
        <v>4648</v>
      </c>
      <c r="E488" s="696" t="s">
        <v>4078</v>
      </c>
      <c r="F488" s="711"/>
      <c r="G488" s="711"/>
      <c r="H488" s="711"/>
      <c r="I488" s="711"/>
      <c r="J488" s="711">
        <v>1</v>
      </c>
      <c r="K488" s="711">
        <v>1215.8499999999999</v>
      </c>
      <c r="L488" s="711"/>
      <c r="M488" s="711">
        <v>1215.8499999999999</v>
      </c>
      <c r="N488" s="711"/>
      <c r="O488" s="711"/>
      <c r="P488" s="701"/>
      <c r="Q488" s="712"/>
    </row>
    <row r="489" spans="1:17" ht="14.4" customHeight="1" x14ac:dyDescent="0.3">
      <c r="A489" s="695" t="s">
        <v>545</v>
      </c>
      <c r="B489" s="696" t="s">
        <v>4540</v>
      </c>
      <c r="C489" s="696" t="s">
        <v>4647</v>
      </c>
      <c r="D489" s="696" t="s">
        <v>4649</v>
      </c>
      <c r="E489" s="696" t="s">
        <v>4078</v>
      </c>
      <c r="F489" s="711">
        <v>1</v>
      </c>
      <c r="G489" s="711">
        <v>1176.6600000000001</v>
      </c>
      <c r="H489" s="711">
        <v>1</v>
      </c>
      <c r="I489" s="711">
        <v>1176.6600000000001</v>
      </c>
      <c r="J489" s="711">
        <v>1</v>
      </c>
      <c r="K489" s="711">
        <v>1215.8499999999999</v>
      </c>
      <c r="L489" s="711">
        <v>1.0333061377118282</v>
      </c>
      <c r="M489" s="711">
        <v>1215.8499999999999</v>
      </c>
      <c r="N489" s="711"/>
      <c r="O489" s="711"/>
      <c r="P489" s="701"/>
      <c r="Q489" s="712"/>
    </row>
    <row r="490" spans="1:17" ht="14.4" customHeight="1" x14ac:dyDescent="0.3">
      <c r="A490" s="695" t="s">
        <v>545</v>
      </c>
      <c r="B490" s="696" t="s">
        <v>4540</v>
      </c>
      <c r="C490" s="696" t="s">
        <v>4647</v>
      </c>
      <c r="D490" s="696" t="s">
        <v>4650</v>
      </c>
      <c r="E490" s="696" t="s">
        <v>4078</v>
      </c>
      <c r="F490" s="711">
        <v>275</v>
      </c>
      <c r="G490" s="711">
        <v>493291.58</v>
      </c>
      <c r="H490" s="711">
        <v>1</v>
      </c>
      <c r="I490" s="711">
        <v>1793.7875636363638</v>
      </c>
      <c r="J490" s="711">
        <v>264</v>
      </c>
      <c r="K490" s="711">
        <v>486745.43999999994</v>
      </c>
      <c r="L490" s="711">
        <v>0.9867296741614765</v>
      </c>
      <c r="M490" s="711">
        <v>1843.7327272727271</v>
      </c>
      <c r="N490" s="711">
        <v>450</v>
      </c>
      <c r="O490" s="711">
        <v>839511</v>
      </c>
      <c r="P490" s="701">
        <v>1.7018555232586778</v>
      </c>
      <c r="Q490" s="712">
        <v>1865.58</v>
      </c>
    </row>
    <row r="491" spans="1:17" ht="14.4" customHeight="1" x14ac:dyDescent="0.3">
      <c r="A491" s="695" t="s">
        <v>545</v>
      </c>
      <c r="B491" s="696" t="s">
        <v>4540</v>
      </c>
      <c r="C491" s="696" t="s">
        <v>4647</v>
      </c>
      <c r="D491" s="696" t="s">
        <v>4651</v>
      </c>
      <c r="E491" s="696" t="s">
        <v>4078</v>
      </c>
      <c r="F491" s="711">
        <v>42</v>
      </c>
      <c r="G491" s="711">
        <v>108880.44</v>
      </c>
      <c r="H491" s="711">
        <v>1</v>
      </c>
      <c r="I491" s="711">
        <v>2592.3914285714286</v>
      </c>
      <c r="J491" s="711">
        <v>14</v>
      </c>
      <c r="K491" s="711">
        <v>37913.67</v>
      </c>
      <c r="L491" s="711">
        <v>0.34821378385318791</v>
      </c>
      <c r="M491" s="711">
        <v>2708.1192857142855</v>
      </c>
      <c r="N491" s="711">
        <v>24</v>
      </c>
      <c r="O491" s="711">
        <v>65489.04</v>
      </c>
      <c r="P491" s="701">
        <v>0.6014766288600597</v>
      </c>
      <c r="Q491" s="712">
        <v>2728.71</v>
      </c>
    </row>
    <row r="492" spans="1:17" ht="14.4" customHeight="1" x14ac:dyDescent="0.3">
      <c r="A492" s="695" t="s">
        <v>545</v>
      </c>
      <c r="B492" s="696" t="s">
        <v>4540</v>
      </c>
      <c r="C492" s="696" t="s">
        <v>4647</v>
      </c>
      <c r="D492" s="696" t="s">
        <v>4652</v>
      </c>
      <c r="E492" s="696" t="s">
        <v>4078</v>
      </c>
      <c r="F492" s="711">
        <v>6</v>
      </c>
      <c r="G492" s="711">
        <v>10716.3</v>
      </c>
      <c r="H492" s="711">
        <v>1</v>
      </c>
      <c r="I492" s="711">
        <v>1786.05</v>
      </c>
      <c r="J492" s="711"/>
      <c r="K492" s="711"/>
      <c r="L492" s="711"/>
      <c r="M492" s="711"/>
      <c r="N492" s="711">
        <v>2</v>
      </c>
      <c r="O492" s="711">
        <v>3731.16</v>
      </c>
      <c r="P492" s="701">
        <v>0.3481761428851376</v>
      </c>
      <c r="Q492" s="712">
        <v>1865.58</v>
      </c>
    </row>
    <row r="493" spans="1:17" ht="14.4" customHeight="1" x14ac:dyDescent="0.3">
      <c r="A493" s="695" t="s">
        <v>545</v>
      </c>
      <c r="B493" s="696" t="s">
        <v>4540</v>
      </c>
      <c r="C493" s="696" t="s">
        <v>4647</v>
      </c>
      <c r="D493" s="696" t="s">
        <v>4653</v>
      </c>
      <c r="E493" s="696" t="s">
        <v>4078</v>
      </c>
      <c r="F493" s="711">
        <v>2</v>
      </c>
      <c r="G493" s="711">
        <v>15608.42</v>
      </c>
      <c r="H493" s="711">
        <v>1</v>
      </c>
      <c r="I493" s="711">
        <v>7804.21</v>
      </c>
      <c r="J493" s="711"/>
      <c r="K493" s="711"/>
      <c r="L493" s="711"/>
      <c r="M493" s="711"/>
      <c r="N493" s="711">
        <v>1</v>
      </c>
      <c r="O493" s="711">
        <v>8191.63</v>
      </c>
      <c r="P493" s="701">
        <v>0.52482121829115314</v>
      </c>
      <c r="Q493" s="712">
        <v>8191.63</v>
      </c>
    </row>
    <row r="494" spans="1:17" ht="14.4" customHeight="1" x14ac:dyDescent="0.3">
      <c r="A494" s="695" t="s">
        <v>545</v>
      </c>
      <c r="B494" s="696" t="s">
        <v>4540</v>
      </c>
      <c r="C494" s="696" t="s">
        <v>4647</v>
      </c>
      <c r="D494" s="696" t="s">
        <v>4654</v>
      </c>
      <c r="E494" s="696" t="s">
        <v>4078</v>
      </c>
      <c r="F494" s="711">
        <v>9</v>
      </c>
      <c r="G494" s="711">
        <v>69615.61</v>
      </c>
      <c r="H494" s="711">
        <v>1</v>
      </c>
      <c r="I494" s="711">
        <v>7735.0677777777782</v>
      </c>
      <c r="J494" s="711">
        <v>15</v>
      </c>
      <c r="K494" s="711">
        <v>119634.5</v>
      </c>
      <c r="L494" s="711">
        <v>1.7185010660683717</v>
      </c>
      <c r="M494" s="711">
        <v>7975.6333333333332</v>
      </c>
      <c r="N494" s="711">
        <v>13</v>
      </c>
      <c r="O494" s="711">
        <v>104966.68</v>
      </c>
      <c r="P494" s="701">
        <v>1.5078037813645531</v>
      </c>
      <c r="Q494" s="712">
        <v>8074.36</v>
      </c>
    </row>
    <row r="495" spans="1:17" ht="14.4" customHeight="1" x14ac:dyDescent="0.3">
      <c r="A495" s="695" t="s">
        <v>545</v>
      </c>
      <c r="B495" s="696" t="s">
        <v>4540</v>
      </c>
      <c r="C495" s="696" t="s">
        <v>4647</v>
      </c>
      <c r="D495" s="696" t="s">
        <v>4655</v>
      </c>
      <c r="E495" s="696" t="s">
        <v>4078</v>
      </c>
      <c r="F495" s="711">
        <v>67</v>
      </c>
      <c r="G495" s="711">
        <v>609085.67000000004</v>
      </c>
      <c r="H495" s="711">
        <v>1</v>
      </c>
      <c r="I495" s="711">
        <v>9090.8308955223893</v>
      </c>
      <c r="J495" s="711">
        <v>31</v>
      </c>
      <c r="K495" s="711">
        <v>298118.65000000002</v>
      </c>
      <c r="L495" s="711">
        <v>0.48945273987483567</v>
      </c>
      <c r="M495" s="711">
        <v>9616.7306451612912</v>
      </c>
      <c r="N495" s="711">
        <v>42</v>
      </c>
      <c r="O495" s="711">
        <v>406816.19999999995</v>
      </c>
      <c r="P495" s="701">
        <v>0.66791293907801164</v>
      </c>
      <c r="Q495" s="712">
        <v>9686.0999999999985</v>
      </c>
    </row>
    <row r="496" spans="1:17" ht="14.4" customHeight="1" x14ac:dyDescent="0.3">
      <c r="A496" s="695" t="s">
        <v>545</v>
      </c>
      <c r="B496" s="696" t="s">
        <v>4540</v>
      </c>
      <c r="C496" s="696" t="s">
        <v>4647</v>
      </c>
      <c r="D496" s="696" t="s">
        <v>4656</v>
      </c>
      <c r="E496" s="696" t="s">
        <v>4078</v>
      </c>
      <c r="F496" s="711">
        <v>246</v>
      </c>
      <c r="G496" s="711">
        <v>214935.53999999998</v>
      </c>
      <c r="H496" s="711">
        <v>1</v>
      </c>
      <c r="I496" s="711">
        <v>873.72170731707308</v>
      </c>
      <c r="J496" s="711">
        <v>247</v>
      </c>
      <c r="K496" s="711">
        <v>225463.03</v>
      </c>
      <c r="L496" s="711">
        <v>1.0489797545813038</v>
      </c>
      <c r="M496" s="711">
        <v>912.80578947368417</v>
      </c>
      <c r="N496" s="711">
        <v>412</v>
      </c>
      <c r="O496" s="711">
        <v>381334.83999999997</v>
      </c>
      <c r="P496" s="701">
        <v>1.7741823432271835</v>
      </c>
      <c r="Q496" s="712">
        <v>925.56999999999994</v>
      </c>
    </row>
    <row r="497" spans="1:17" ht="14.4" customHeight="1" x14ac:dyDescent="0.3">
      <c r="A497" s="695" t="s">
        <v>545</v>
      </c>
      <c r="B497" s="696" t="s">
        <v>4540</v>
      </c>
      <c r="C497" s="696" t="s">
        <v>4647</v>
      </c>
      <c r="D497" s="696" t="s">
        <v>4657</v>
      </c>
      <c r="E497" s="696" t="s">
        <v>4078</v>
      </c>
      <c r="F497" s="711">
        <v>37</v>
      </c>
      <c r="G497" s="711">
        <v>7283.7800000000007</v>
      </c>
      <c r="H497" s="711">
        <v>1</v>
      </c>
      <c r="I497" s="711">
        <v>196.85891891891893</v>
      </c>
      <c r="J497" s="711">
        <v>5</v>
      </c>
      <c r="K497" s="711">
        <v>1193.4000000000001</v>
      </c>
      <c r="L497" s="711">
        <v>0.16384349884263391</v>
      </c>
      <c r="M497" s="711">
        <v>238.68</v>
      </c>
      <c r="N497" s="711">
        <v>6</v>
      </c>
      <c r="O497" s="711">
        <v>1432.08</v>
      </c>
      <c r="P497" s="701">
        <v>0.19661219861116067</v>
      </c>
      <c r="Q497" s="712">
        <v>238.67999999999998</v>
      </c>
    </row>
    <row r="498" spans="1:17" ht="14.4" customHeight="1" x14ac:dyDescent="0.3">
      <c r="A498" s="695" t="s">
        <v>545</v>
      </c>
      <c r="B498" s="696" t="s">
        <v>4540</v>
      </c>
      <c r="C498" s="696" t="s">
        <v>4103</v>
      </c>
      <c r="D498" s="696" t="s">
        <v>4658</v>
      </c>
      <c r="E498" s="696" t="s">
        <v>4659</v>
      </c>
      <c r="F498" s="711">
        <v>17</v>
      </c>
      <c r="G498" s="711">
        <v>5609.66</v>
      </c>
      <c r="H498" s="711">
        <v>1</v>
      </c>
      <c r="I498" s="711">
        <v>329.98</v>
      </c>
      <c r="J498" s="711"/>
      <c r="K498" s="711"/>
      <c r="L498" s="711"/>
      <c r="M498" s="711"/>
      <c r="N498" s="711">
        <v>2</v>
      </c>
      <c r="O498" s="711">
        <v>659.96</v>
      </c>
      <c r="P498" s="701">
        <v>0.11764705882352942</v>
      </c>
      <c r="Q498" s="712">
        <v>329.98</v>
      </c>
    </row>
    <row r="499" spans="1:17" ht="14.4" customHeight="1" x14ac:dyDescent="0.3">
      <c r="A499" s="695" t="s">
        <v>545</v>
      </c>
      <c r="B499" s="696" t="s">
        <v>4540</v>
      </c>
      <c r="C499" s="696" t="s">
        <v>4103</v>
      </c>
      <c r="D499" s="696" t="s">
        <v>4660</v>
      </c>
      <c r="E499" s="696" t="s">
        <v>4659</v>
      </c>
      <c r="F499" s="711">
        <v>2</v>
      </c>
      <c r="G499" s="711">
        <v>866.82</v>
      </c>
      <c r="H499" s="711">
        <v>1</v>
      </c>
      <c r="I499" s="711">
        <v>433.41</v>
      </c>
      <c r="J499" s="711"/>
      <c r="K499" s="711"/>
      <c r="L499" s="711"/>
      <c r="M499" s="711"/>
      <c r="N499" s="711">
        <v>1</v>
      </c>
      <c r="O499" s="711">
        <v>433.41</v>
      </c>
      <c r="P499" s="701">
        <v>0.5</v>
      </c>
      <c r="Q499" s="712">
        <v>433.41</v>
      </c>
    </row>
    <row r="500" spans="1:17" ht="14.4" customHeight="1" x14ac:dyDescent="0.3">
      <c r="A500" s="695" t="s">
        <v>545</v>
      </c>
      <c r="B500" s="696" t="s">
        <v>4540</v>
      </c>
      <c r="C500" s="696" t="s">
        <v>4103</v>
      </c>
      <c r="D500" s="696" t="s">
        <v>4661</v>
      </c>
      <c r="E500" s="696" t="s">
        <v>4662</v>
      </c>
      <c r="F500" s="711">
        <v>1</v>
      </c>
      <c r="G500" s="711">
        <v>1435.36</v>
      </c>
      <c r="H500" s="711">
        <v>1</v>
      </c>
      <c r="I500" s="711">
        <v>1435.36</v>
      </c>
      <c r="J500" s="711"/>
      <c r="K500" s="711"/>
      <c r="L500" s="711"/>
      <c r="M500" s="711"/>
      <c r="N500" s="711"/>
      <c r="O500" s="711"/>
      <c r="P500" s="701"/>
      <c r="Q500" s="712"/>
    </row>
    <row r="501" spans="1:17" ht="14.4" customHeight="1" x14ac:dyDescent="0.3">
      <c r="A501" s="695" t="s">
        <v>545</v>
      </c>
      <c r="B501" s="696" t="s">
        <v>4540</v>
      </c>
      <c r="C501" s="696" t="s">
        <v>4103</v>
      </c>
      <c r="D501" s="696" t="s">
        <v>4663</v>
      </c>
      <c r="E501" s="696" t="s">
        <v>4664</v>
      </c>
      <c r="F501" s="711">
        <v>6</v>
      </c>
      <c r="G501" s="711">
        <v>2834.88</v>
      </c>
      <c r="H501" s="711">
        <v>1</v>
      </c>
      <c r="I501" s="711">
        <v>472.48</v>
      </c>
      <c r="J501" s="711"/>
      <c r="K501" s="711"/>
      <c r="L501" s="711"/>
      <c r="M501" s="711"/>
      <c r="N501" s="711"/>
      <c r="O501" s="711"/>
      <c r="P501" s="701"/>
      <c r="Q501" s="712"/>
    </row>
    <row r="502" spans="1:17" ht="14.4" customHeight="1" x14ac:dyDescent="0.3">
      <c r="A502" s="695" t="s">
        <v>545</v>
      </c>
      <c r="B502" s="696" t="s">
        <v>4540</v>
      </c>
      <c r="C502" s="696" t="s">
        <v>4103</v>
      </c>
      <c r="D502" s="696" t="s">
        <v>4665</v>
      </c>
      <c r="E502" s="696" t="s">
        <v>4666</v>
      </c>
      <c r="F502" s="711">
        <v>1</v>
      </c>
      <c r="G502" s="711">
        <v>607.41</v>
      </c>
      <c r="H502" s="711">
        <v>1</v>
      </c>
      <c r="I502" s="711">
        <v>607.41</v>
      </c>
      <c r="J502" s="711"/>
      <c r="K502" s="711"/>
      <c r="L502" s="711"/>
      <c r="M502" s="711"/>
      <c r="N502" s="711"/>
      <c r="O502" s="711"/>
      <c r="P502" s="701"/>
      <c r="Q502" s="712"/>
    </row>
    <row r="503" spans="1:17" ht="14.4" customHeight="1" x14ac:dyDescent="0.3">
      <c r="A503" s="695" t="s">
        <v>545</v>
      </c>
      <c r="B503" s="696" t="s">
        <v>4540</v>
      </c>
      <c r="C503" s="696" t="s">
        <v>4103</v>
      </c>
      <c r="D503" s="696" t="s">
        <v>4667</v>
      </c>
      <c r="E503" s="696" t="s">
        <v>4668</v>
      </c>
      <c r="F503" s="711"/>
      <c r="G503" s="711"/>
      <c r="H503" s="711"/>
      <c r="I503" s="711"/>
      <c r="J503" s="711"/>
      <c r="K503" s="711"/>
      <c r="L503" s="711"/>
      <c r="M503" s="711"/>
      <c r="N503" s="711">
        <v>2</v>
      </c>
      <c r="O503" s="711">
        <v>174.1</v>
      </c>
      <c r="P503" s="701"/>
      <c r="Q503" s="712">
        <v>87.05</v>
      </c>
    </row>
    <row r="504" spans="1:17" ht="14.4" customHeight="1" x14ac:dyDescent="0.3">
      <c r="A504" s="695" t="s">
        <v>545</v>
      </c>
      <c r="B504" s="696" t="s">
        <v>4540</v>
      </c>
      <c r="C504" s="696" t="s">
        <v>4103</v>
      </c>
      <c r="D504" s="696" t="s">
        <v>4669</v>
      </c>
      <c r="E504" s="696" t="s">
        <v>4670</v>
      </c>
      <c r="F504" s="711">
        <v>0.4</v>
      </c>
      <c r="G504" s="711">
        <v>385.11</v>
      </c>
      <c r="H504" s="711">
        <v>1</v>
      </c>
      <c r="I504" s="711">
        <v>962.77499999999998</v>
      </c>
      <c r="J504" s="711">
        <v>0.6</v>
      </c>
      <c r="K504" s="711">
        <v>577.66</v>
      </c>
      <c r="L504" s="711">
        <v>1.4999870166965281</v>
      </c>
      <c r="M504" s="711">
        <v>962.76666666666665</v>
      </c>
      <c r="N504" s="711">
        <v>1.2</v>
      </c>
      <c r="O504" s="711">
        <v>1155.32</v>
      </c>
      <c r="P504" s="701">
        <v>2.9999740333930562</v>
      </c>
      <c r="Q504" s="712">
        <v>962.76666666666665</v>
      </c>
    </row>
    <row r="505" spans="1:17" ht="14.4" customHeight="1" x14ac:dyDescent="0.3">
      <c r="A505" s="695" t="s">
        <v>545</v>
      </c>
      <c r="B505" s="696" t="s">
        <v>4540</v>
      </c>
      <c r="C505" s="696" t="s">
        <v>4103</v>
      </c>
      <c r="D505" s="696" t="s">
        <v>4671</v>
      </c>
      <c r="E505" s="696" t="s">
        <v>4670</v>
      </c>
      <c r="F505" s="711">
        <v>1.8</v>
      </c>
      <c r="G505" s="711">
        <v>1133.26</v>
      </c>
      <c r="H505" s="711">
        <v>1</v>
      </c>
      <c r="I505" s="711">
        <v>629.58888888888885</v>
      </c>
      <c r="J505" s="711">
        <v>0.8</v>
      </c>
      <c r="K505" s="711">
        <v>503.67</v>
      </c>
      <c r="L505" s="711">
        <v>0.44444346398884638</v>
      </c>
      <c r="M505" s="711">
        <v>629.58749999999998</v>
      </c>
      <c r="N505" s="711">
        <v>2.2000000000000002</v>
      </c>
      <c r="O505" s="711">
        <v>1385.09</v>
      </c>
      <c r="P505" s="701">
        <v>1.2222173199442317</v>
      </c>
      <c r="Q505" s="712">
        <v>629.58636363636356</v>
      </c>
    </row>
    <row r="506" spans="1:17" ht="14.4" customHeight="1" x14ac:dyDescent="0.3">
      <c r="A506" s="695" t="s">
        <v>545</v>
      </c>
      <c r="B506" s="696" t="s">
        <v>4540</v>
      </c>
      <c r="C506" s="696" t="s">
        <v>4103</v>
      </c>
      <c r="D506" s="696" t="s">
        <v>4672</v>
      </c>
      <c r="E506" s="696" t="s">
        <v>4673</v>
      </c>
      <c r="F506" s="711">
        <v>1</v>
      </c>
      <c r="G506" s="711">
        <v>1169.8499999999999</v>
      </c>
      <c r="H506" s="711">
        <v>1</v>
      </c>
      <c r="I506" s="711">
        <v>1169.8499999999999</v>
      </c>
      <c r="J506" s="711"/>
      <c r="K506" s="711"/>
      <c r="L506" s="711"/>
      <c r="M506" s="711"/>
      <c r="N506" s="711"/>
      <c r="O506" s="711"/>
      <c r="P506" s="701"/>
      <c r="Q506" s="712"/>
    </row>
    <row r="507" spans="1:17" ht="14.4" customHeight="1" x14ac:dyDescent="0.3">
      <c r="A507" s="695" t="s">
        <v>545</v>
      </c>
      <c r="B507" s="696" t="s">
        <v>4540</v>
      </c>
      <c r="C507" s="696" t="s">
        <v>4103</v>
      </c>
      <c r="D507" s="696" t="s">
        <v>4674</v>
      </c>
      <c r="E507" s="696" t="s">
        <v>4675</v>
      </c>
      <c r="F507" s="711">
        <v>1</v>
      </c>
      <c r="G507" s="711">
        <v>2111.8000000000002</v>
      </c>
      <c r="H507" s="711">
        <v>1</v>
      </c>
      <c r="I507" s="711">
        <v>2111.8000000000002</v>
      </c>
      <c r="J507" s="711"/>
      <c r="K507" s="711"/>
      <c r="L507" s="711"/>
      <c r="M507" s="711"/>
      <c r="N507" s="711"/>
      <c r="O507" s="711"/>
      <c r="P507" s="701"/>
      <c r="Q507" s="712"/>
    </row>
    <row r="508" spans="1:17" ht="14.4" customHeight="1" x14ac:dyDescent="0.3">
      <c r="A508" s="695" t="s">
        <v>545</v>
      </c>
      <c r="B508" s="696" t="s">
        <v>4540</v>
      </c>
      <c r="C508" s="696" t="s">
        <v>4103</v>
      </c>
      <c r="D508" s="696" t="s">
        <v>4676</v>
      </c>
      <c r="E508" s="696" t="s">
        <v>4677</v>
      </c>
      <c r="F508" s="711">
        <v>6</v>
      </c>
      <c r="G508" s="711">
        <v>6205.74</v>
      </c>
      <c r="H508" s="711">
        <v>1</v>
      </c>
      <c r="I508" s="711">
        <v>1034.29</v>
      </c>
      <c r="J508" s="711"/>
      <c r="K508" s="711"/>
      <c r="L508" s="711"/>
      <c r="M508" s="711"/>
      <c r="N508" s="711"/>
      <c r="O508" s="711"/>
      <c r="P508" s="701"/>
      <c r="Q508" s="712"/>
    </row>
    <row r="509" spans="1:17" ht="14.4" customHeight="1" x14ac:dyDescent="0.3">
      <c r="A509" s="695" t="s">
        <v>545</v>
      </c>
      <c r="B509" s="696" t="s">
        <v>4540</v>
      </c>
      <c r="C509" s="696" t="s">
        <v>4103</v>
      </c>
      <c r="D509" s="696" t="s">
        <v>4678</v>
      </c>
      <c r="E509" s="696" t="s">
        <v>4677</v>
      </c>
      <c r="F509" s="711">
        <v>9</v>
      </c>
      <c r="G509" s="711">
        <v>9896.2200000000012</v>
      </c>
      <c r="H509" s="711">
        <v>1</v>
      </c>
      <c r="I509" s="711">
        <v>1099.5800000000002</v>
      </c>
      <c r="J509" s="711"/>
      <c r="K509" s="711"/>
      <c r="L509" s="711"/>
      <c r="M509" s="711"/>
      <c r="N509" s="711">
        <v>5</v>
      </c>
      <c r="O509" s="711">
        <v>5497.9</v>
      </c>
      <c r="P509" s="701">
        <v>0.55555555555555547</v>
      </c>
      <c r="Q509" s="712">
        <v>1099.58</v>
      </c>
    </row>
    <row r="510" spans="1:17" ht="14.4" customHeight="1" x14ac:dyDescent="0.3">
      <c r="A510" s="695" t="s">
        <v>545</v>
      </c>
      <c r="B510" s="696" t="s">
        <v>4540</v>
      </c>
      <c r="C510" s="696" t="s">
        <v>4103</v>
      </c>
      <c r="D510" s="696" t="s">
        <v>4679</v>
      </c>
      <c r="E510" s="696" t="s">
        <v>4677</v>
      </c>
      <c r="F510" s="711">
        <v>2</v>
      </c>
      <c r="G510" s="711">
        <v>2360.84</v>
      </c>
      <c r="H510" s="711">
        <v>1</v>
      </c>
      <c r="I510" s="711">
        <v>1180.42</v>
      </c>
      <c r="J510" s="711"/>
      <c r="K510" s="711"/>
      <c r="L510" s="711"/>
      <c r="M510" s="711"/>
      <c r="N510" s="711">
        <v>2</v>
      </c>
      <c r="O510" s="711">
        <v>2360.84</v>
      </c>
      <c r="P510" s="701">
        <v>1</v>
      </c>
      <c r="Q510" s="712">
        <v>1180.42</v>
      </c>
    </row>
    <row r="511" spans="1:17" ht="14.4" customHeight="1" x14ac:dyDescent="0.3">
      <c r="A511" s="695" t="s">
        <v>545</v>
      </c>
      <c r="B511" s="696" t="s">
        <v>4540</v>
      </c>
      <c r="C511" s="696" t="s">
        <v>4103</v>
      </c>
      <c r="D511" s="696" t="s">
        <v>4680</v>
      </c>
      <c r="E511" s="696" t="s">
        <v>4677</v>
      </c>
      <c r="F511" s="711">
        <v>8</v>
      </c>
      <c r="G511" s="711">
        <v>9982.24</v>
      </c>
      <c r="H511" s="711">
        <v>1</v>
      </c>
      <c r="I511" s="711">
        <v>1247.78</v>
      </c>
      <c r="J511" s="711"/>
      <c r="K511" s="711"/>
      <c r="L511" s="711"/>
      <c r="M511" s="711"/>
      <c r="N511" s="711">
        <v>2</v>
      </c>
      <c r="O511" s="711">
        <v>2495.56</v>
      </c>
      <c r="P511" s="701">
        <v>0.25</v>
      </c>
      <c r="Q511" s="712">
        <v>1247.78</v>
      </c>
    </row>
    <row r="512" spans="1:17" ht="14.4" customHeight="1" x14ac:dyDescent="0.3">
      <c r="A512" s="695" t="s">
        <v>545</v>
      </c>
      <c r="B512" s="696" t="s">
        <v>4540</v>
      </c>
      <c r="C512" s="696" t="s">
        <v>4103</v>
      </c>
      <c r="D512" s="696" t="s">
        <v>4681</v>
      </c>
      <c r="E512" s="696" t="s">
        <v>4677</v>
      </c>
      <c r="F512" s="711">
        <v>3</v>
      </c>
      <c r="G512" s="711">
        <v>4128.87</v>
      </c>
      <c r="H512" s="711">
        <v>1</v>
      </c>
      <c r="I512" s="711">
        <v>1376.29</v>
      </c>
      <c r="J512" s="711"/>
      <c r="K512" s="711"/>
      <c r="L512" s="711"/>
      <c r="M512" s="711"/>
      <c r="N512" s="711"/>
      <c r="O512" s="711"/>
      <c r="P512" s="701"/>
      <c r="Q512" s="712"/>
    </row>
    <row r="513" spans="1:17" ht="14.4" customHeight="1" x14ac:dyDescent="0.3">
      <c r="A513" s="695" t="s">
        <v>545</v>
      </c>
      <c r="B513" s="696" t="s">
        <v>4540</v>
      </c>
      <c r="C513" s="696" t="s">
        <v>4103</v>
      </c>
      <c r="D513" s="696" t="s">
        <v>4682</v>
      </c>
      <c r="E513" s="696" t="s">
        <v>4668</v>
      </c>
      <c r="F513" s="711">
        <v>6</v>
      </c>
      <c r="G513" s="711">
        <v>414.12</v>
      </c>
      <c r="H513" s="711">
        <v>1</v>
      </c>
      <c r="I513" s="711">
        <v>69.02</v>
      </c>
      <c r="J513" s="711"/>
      <c r="K513" s="711"/>
      <c r="L513" s="711"/>
      <c r="M513" s="711"/>
      <c r="N513" s="711"/>
      <c r="O513" s="711"/>
      <c r="P513" s="701"/>
      <c r="Q513" s="712"/>
    </row>
    <row r="514" spans="1:17" ht="14.4" customHeight="1" x14ac:dyDescent="0.3">
      <c r="A514" s="695" t="s">
        <v>545</v>
      </c>
      <c r="B514" s="696" t="s">
        <v>4540</v>
      </c>
      <c r="C514" s="696" t="s">
        <v>4103</v>
      </c>
      <c r="D514" s="696" t="s">
        <v>4683</v>
      </c>
      <c r="E514" s="696" t="s">
        <v>4684</v>
      </c>
      <c r="F514" s="711"/>
      <c r="G514" s="711"/>
      <c r="H514" s="711"/>
      <c r="I514" s="711"/>
      <c r="J514" s="711">
        <v>1</v>
      </c>
      <c r="K514" s="711">
        <v>4348.4799999999996</v>
      </c>
      <c r="L514" s="711"/>
      <c r="M514" s="711">
        <v>4348.4799999999996</v>
      </c>
      <c r="N514" s="711"/>
      <c r="O514" s="711"/>
      <c r="P514" s="701"/>
      <c r="Q514" s="712"/>
    </row>
    <row r="515" spans="1:17" ht="14.4" customHeight="1" x14ac:dyDescent="0.3">
      <c r="A515" s="695" t="s">
        <v>545</v>
      </c>
      <c r="B515" s="696" t="s">
        <v>4540</v>
      </c>
      <c r="C515" s="696" t="s">
        <v>4103</v>
      </c>
      <c r="D515" s="696" t="s">
        <v>4685</v>
      </c>
      <c r="E515" s="696" t="s">
        <v>4686</v>
      </c>
      <c r="F515" s="711">
        <v>1</v>
      </c>
      <c r="G515" s="711">
        <v>5440.91</v>
      </c>
      <c r="H515" s="711">
        <v>1</v>
      </c>
      <c r="I515" s="711">
        <v>5440.91</v>
      </c>
      <c r="J515" s="711">
        <v>1</v>
      </c>
      <c r="K515" s="711">
        <v>5440.91</v>
      </c>
      <c r="L515" s="711">
        <v>1</v>
      </c>
      <c r="M515" s="711">
        <v>5440.91</v>
      </c>
      <c r="N515" s="711"/>
      <c r="O515" s="711"/>
      <c r="P515" s="701"/>
      <c r="Q515" s="712"/>
    </row>
    <row r="516" spans="1:17" ht="14.4" customHeight="1" x14ac:dyDescent="0.3">
      <c r="A516" s="695" t="s">
        <v>545</v>
      </c>
      <c r="B516" s="696" t="s">
        <v>4540</v>
      </c>
      <c r="C516" s="696" t="s">
        <v>4103</v>
      </c>
      <c r="D516" s="696" t="s">
        <v>4687</v>
      </c>
      <c r="E516" s="696" t="s">
        <v>4688</v>
      </c>
      <c r="F516" s="711">
        <v>1</v>
      </c>
      <c r="G516" s="711">
        <v>6832.75</v>
      </c>
      <c r="H516" s="711">
        <v>1</v>
      </c>
      <c r="I516" s="711">
        <v>6832.75</v>
      </c>
      <c r="J516" s="711"/>
      <c r="K516" s="711"/>
      <c r="L516" s="711"/>
      <c r="M516" s="711"/>
      <c r="N516" s="711"/>
      <c r="O516" s="711"/>
      <c r="P516" s="701"/>
      <c r="Q516" s="712"/>
    </row>
    <row r="517" spans="1:17" ht="14.4" customHeight="1" x14ac:dyDescent="0.3">
      <c r="A517" s="695" t="s">
        <v>545</v>
      </c>
      <c r="B517" s="696" t="s">
        <v>4540</v>
      </c>
      <c r="C517" s="696" t="s">
        <v>4103</v>
      </c>
      <c r="D517" s="696" t="s">
        <v>4689</v>
      </c>
      <c r="E517" s="696" t="s">
        <v>4690</v>
      </c>
      <c r="F517" s="711">
        <v>3</v>
      </c>
      <c r="G517" s="711">
        <v>15250.08</v>
      </c>
      <c r="H517" s="711">
        <v>1</v>
      </c>
      <c r="I517" s="711">
        <v>5083.3599999999997</v>
      </c>
      <c r="J517" s="711"/>
      <c r="K517" s="711"/>
      <c r="L517" s="711"/>
      <c r="M517" s="711"/>
      <c r="N517" s="711"/>
      <c r="O517" s="711"/>
      <c r="P517" s="701"/>
      <c r="Q517" s="712"/>
    </row>
    <row r="518" spans="1:17" ht="14.4" customHeight="1" x14ac:dyDescent="0.3">
      <c r="A518" s="695" t="s">
        <v>545</v>
      </c>
      <c r="B518" s="696" t="s">
        <v>4540</v>
      </c>
      <c r="C518" s="696" t="s">
        <v>4103</v>
      </c>
      <c r="D518" s="696" t="s">
        <v>4691</v>
      </c>
      <c r="E518" s="696" t="s">
        <v>4692</v>
      </c>
      <c r="F518" s="711"/>
      <c r="G518" s="711"/>
      <c r="H518" s="711"/>
      <c r="I518" s="711"/>
      <c r="J518" s="711"/>
      <c r="K518" s="711"/>
      <c r="L518" s="711"/>
      <c r="M518" s="711"/>
      <c r="N518" s="711">
        <v>2</v>
      </c>
      <c r="O518" s="711">
        <v>13141.1</v>
      </c>
      <c r="P518" s="701"/>
      <c r="Q518" s="712">
        <v>6570.55</v>
      </c>
    </row>
    <row r="519" spans="1:17" ht="14.4" customHeight="1" x14ac:dyDescent="0.3">
      <c r="A519" s="695" t="s">
        <v>545</v>
      </c>
      <c r="B519" s="696" t="s">
        <v>4540</v>
      </c>
      <c r="C519" s="696" t="s">
        <v>4103</v>
      </c>
      <c r="D519" s="696" t="s">
        <v>4693</v>
      </c>
      <c r="E519" s="696" t="s">
        <v>4694</v>
      </c>
      <c r="F519" s="711">
        <v>1</v>
      </c>
      <c r="G519" s="711">
        <v>123.33</v>
      </c>
      <c r="H519" s="711">
        <v>1</v>
      </c>
      <c r="I519" s="711">
        <v>123.33</v>
      </c>
      <c r="J519" s="711"/>
      <c r="K519" s="711"/>
      <c r="L519" s="711"/>
      <c r="M519" s="711"/>
      <c r="N519" s="711"/>
      <c r="O519" s="711"/>
      <c r="P519" s="701"/>
      <c r="Q519" s="712"/>
    </row>
    <row r="520" spans="1:17" ht="14.4" customHeight="1" x14ac:dyDescent="0.3">
      <c r="A520" s="695" t="s">
        <v>545</v>
      </c>
      <c r="B520" s="696" t="s">
        <v>4540</v>
      </c>
      <c r="C520" s="696" t="s">
        <v>4103</v>
      </c>
      <c r="D520" s="696" t="s">
        <v>4695</v>
      </c>
      <c r="E520" s="696" t="s">
        <v>4696</v>
      </c>
      <c r="F520" s="711">
        <v>4</v>
      </c>
      <c r="G520" s="711">
        <v>870.56</v>
      </c>
      <c r="H520" s="711">
        <v>1</v>
      </c>
      <c r="I520" s="711">
        <v>217.64</v>
      </c>
      <c r="J520" s="711"/>
      <c r="K520" s="711"/>
      <c r="L520" s="711"/>
      <c r="M520" s="711"/>
      <c r="N520" s="711"/>
      <c r="O520" s="711"/>
      <c r="P520" s="701"/>
      <c r="Q520" s="712"/>
    </row>
    <row r="521" spans="1:17" ht="14.4" customHeight="1" x14ac:dyDescent="0.3">
      <c r="A521" s="695" t="s">
        <v>545</v>
      </c>
      <c r="B521" s="696" t="s">
        <v>4540</v>
      </c>
      <c r="C521" s="696" t="s">
        <v>4103</v>
      </c>
      <c r="D521" s="696" t="s">
        <v>4697</v>
      </c>
      <c r="E521" s="696" t="s">
        <v>4696</v>
      </c>
      <c r="F521" s="711"/>
      <c r="G521" s="711"/>
      <c r="H521" s="711"/>
      <c r="I521" s="711"/>
      <c r="J521" s="711"/>
      <c r="K521" s="711"/>
      <c r="L521" s="711"/>
      <c r="M521" s="711"/>
      <c r="N521" s="711">
        <v>1</v>
      </c>
      <c r="O521" s="711">
        <v>265.31</v>
      </c>
      <c r="P521" s="701"/>
      <c r="Q521" s="712">
        <v>265.31</v>
      </c>
    </row>
    <row r="522" spans="1:17" ht="14.4" customHeight="1" x14ac:dyDescent="0.3">
      <c r="A522" s="695" t="s">
        <v>545</v>
      </c>
      <c r="B522" s="696" t="s">
        <v>4540</v>
      </c>
      <c r="C522" s="696" t="s">
        <v>4103</v>
      </c>
      <c r="D522" s="696" t="s">
        <v>4698</v>
      </c>
      <c r="E522" s="696" t="s">
        <v>4699</v>
      </c>
      <c r="F522" s="711">
        <v>1</v>
      </c>
      <c r="G522" s="711">
        <v>518.17999999999995</v>
      </c>
      <c r="H522" s="711">
        <v>1</v>
      </c>
      <c r="I522" s="711">
        <v>518.17999999999995</v>
      </c>
      <c r="J522" s="711"/>
      <c r="K522" s="711"/>
      <c r="L522" s="711"/>
      <c r="M522" s="711"/>
      <c r="N522" s="711"/>
      <c r="O522" s="711"/>
      <c r="P522" s="701"/>
      <c r="Q522" s="712"/>
    </row>
    <row r="523" spans="1:17" ht="14.4" customHeight="1" x14ac:dyDescent="0.3">
      <c r="A523" s="695" t="s">
        <v>545</v>
      </c>
      <c r="B523" s="696" t="s">
        <v>4540</v>
      </c>
      <c r="C523" s="696" t="s">
        <v>4103</v>
      </c>
      <c r="D523" s="696" t="s">
        <v>4700</v>
      </c>
      <c r="E523" s="696" t="s">
        <v>4701</v>
      </c>
      <c r="F523" s="711">
        <v>5</v>
      </c>
      <c r="G523" s="711">
        <v>5171.45</v>
      </c>
      <c r="H523" s="711">
        <v>1</v>
      </c>
      <c r="I523" s="711">
        <v>1034.29</v>
      </c>
      <c r="J523" s="711"/>
      <c r="K523" s="711"/>
      <c r="L523" s="711"/>
      <c r="M523" s="711"/>
      <c r="N523" s="711"/>
      <c r="O523" s="711"/>
      <c r="P523" s="701"/>
      <c r="Q523" s="712"/>
    </row>
    <row r="524" spans="1:17" ht="14.4" customHeight="1" x14ac:dyDescent="0.3">
      <c r="A524" s="695" t="s">
        <v>545</v>
      </c>
      <c r="B524" s="696" t="s">
        <v>4540</v>
      </c>
      <c r="C524" s="696" t="s">
        <v>4103</v>
      </c>
      <c r="D524" s="696" t="s">
        <v>4702</v>
      </c>
      <c r="E524" s="696" t="s">
        <v>4668</v>
      </c>
      <c r="F524" s="711">
        <v>5</v>
      </c>
      <c r="G524" s="711">
        <v>481.9</v>
      </c>
      <c r="H524" s="711">
        <v>1</v>
      </c>
      <c r="I524" s="711">
        <v>96.38</v>
      </c>
      <c r="J524" s="711"/>
      <c r="K524" s="711"/>
      <c r="L524" s="711"/>
      <c r="M524" s="711"/>
      <c r="N524" s="711">
        <v>10</v>
      </c>
      <c r="O524" s="711">
        <v>963.8</v>
      </c>
      <c r="P524" s="701">
        <v>2</v>
      </c>
      <c r="Q524" s="712">
        <v>96.38</v>
      </c>
    </row>
    <row r="525" spans="1:17" ht="14.4" customHeight="1" x14ac:dyDescent="0.3">
      <c r="A525" s="695" t="s">
        <v>545</v>
      </c>
      <c r="B525" s="696" t="s">
        <v>4540</v>
      </c>
      <c r="C525" s="696" t="s">
        <v>4103</v>
      </c>
      <c r="D525" s="696" t="s">
        <v>4703</v>
      </c>
      <c r="E525" s="696" t="s">
        <v>4668</v>
      </c>
      <c r="F525" s="711">
        <v>4</v>
      </c>
      <c r="G525" s="711">
        <v>485</v>
      </c>
      <c r="H525" s="711">
        <v>1</v>
      </c>
      <c r="I525" s="711">
        <v>121.25</v>
      </c>
      <c r="J525" s="711"/>
      <c r="K525" s="711"/>
      <c r="L525" s="711"/>
      <c r="M525" s="711"/>
      <c r="N525" s="711">
        <v>5</v>
      </c>
      <c r="O525" s="711">
        <v>606.25</v>
      </c>
      <c r="P525" s="701">
        <v>1.25</v>
      </c>
      <c r="Q525" s="712">
        <v>121.25</v>
      </c>
    </row>
    <row r="526" spans="1:17" ht="14.4" customHeight="1" x14ac:dyDescent="0.3">
      <c r="A526" s="695" t="s">
        <v>545</v>
      </c>
      <c r="B526" s="696" t="s">
        <v>4540</v>
      </c>
      <c r="C526" s="696" t="s">
        <v>4103</v>
      </c>
      <c r="D526" s="696" t="s">
        <v>4704</v>
      </c>
      <c r="E526" s="696" t="s">
        <v>4668</v>
      </c>
      <c r="F526" s="711">
        <v>5</v>
      </c>
      <c r="G526" s="711">
        <v>450.8</v>
      </c>
      <c r="H526" s="711">
        <v>1</v>
      </c>
      <c r="I526" s="711">
        <v>90.16</v>
      </c>
      <c r="J526" s="711"/>
      <c r="K526" s="711"/>
      <c r="L526" s="711"/>
      <c r="M526" s="711"/>
      <c r="N526" s="711"/>
      <c r="O526" s="711"/>
      <c r="P526" s="701"/>
      <c r="Q526" s="712"/>
    </row>
    <row r="527" spans="1:17" ht="14.4" customHeight="1" x14ac:dyDescent="0.3">
      <c r="A527" s="695" t="s">
        <v>545</v>
      </c>
      <c r="B527" s="696" t="s">
        <v>4540</v>
      </c>
      <c r="C527" s="696" t="s">
        <v>4103</v>
      </c>
      <c r="D527" s="696" t="s">
        <v>4705</v>
      </c>
      <c r="E527" s="696" t="s">
        <v>4706</v>
      </c>
      <c r="F527" s="711">
        <v>2</v>
      </c>
      <c r="G527" s="711">
        <v>9980</v>
      </c>
      <c r="H527" s="711">
        <v>1</v>
      </c>
      <c r="I527" s="711">
        <v>4990</v>
      </c>
      <c r="J527" s="711"/>
      <c r="K527" s="711"/>
      <c r="L527" s="711"/>
      <c r="M527" s="711"/>
      <c r="N527" s="711"/>
      <c r="O527" s="711"/>
      <c r="P527" s="701"/>
      <c r="Q527" s="712"/>
    </row>
    <row r="528" spans="1:17" ht="14.4" customHeight="1" x14ac:dyDescent="0.3">
      <c r="A528" s="695" t="s">
        <v>545</v>
      </c>
      <c r="B528" s="696" t="s">
        <v>4540</v>
      </c>
      <c r="C528" s="696" t="s">
        <v>4103</v>
      </c>
      <c r="D528" s="696" t="s">
        <v>4251</v>
      </c>
      <c r="E528" s="696" t="s">
        <v>4252</v>
      </c>
      <c r="F528" s="711">
        <v>8</v>
      </c>
      <c r="G528" s="711">
        <v>18480</v>
      </c>
      <c r="H528" s="711">
        <v>1</v>
      </c>
      <c r="I528" s="711">
        <v>2310</v>
      </c>
      <c r="J528" s="711"/>
      <c r="K528" s="711"/>
      <c r="L528" s="711"/>
      <c r="M528" s="711"/>
      <c r="N528" s="711"/>
      <c r="O528" s="711"/>
      <c r="P528" s="701"/>
      <c r="Q528" s="712"/>
    </row>
    <row r="529" spans="1:17" ht="14.4" customHeight="1" x14ac:dyDescent="0.3">
      <c r="A529" s="695" t="s">
        <v>545</v>
      </c>
      <c r="B529" s="696" t="s">
        <v>4540</v>
      </c>
      <c r="C529" s="696" t="s">
        <v>4103</v>
      </c>
      <c r="D529" s="696" t="s">
        <v>4707</v>
      </c>
      <c r="E529" s="696" t="s">
        <v>4708</v>
      </c>
      <c r="F529" s="711">
        <v>1</v>
      </c>
      <c r="G529" s="711">
        <v>2916.33</v>
      </c>
      <c r="H529" s="711">
        <v>1</v>
      </c>
      <c r="I529" s="711">
        <v>2916.33</v>
      </c>
      <c r="J529" s="711"/>
      <c r="K529" s="711"/>
      <c r="L529" s="711"/>
      <c r="M529" s="711"/>
      <c r="N529" s="711"/>
      <c r="O529" s="711"/>
      <c r="P529" s="701"/>
      <c r="Q529" s="712"/>
    </row>
    <row r="530" spans="1:17" ht="14.4" customHeight="1" x14ac:dyDescent="0.3">
      <c r="A530" s="695" t="s">
        <v>545</v>
      </c>
      <c r="B530" s="696" t="s">
        <v>4540</v>
      </c>
      <c r="C530" s="696" t="s">
        <v>4103</v>
      </c>
      <c r="D530" s="696" t="s">
        <v>4709</v>
      </c>
      <c r="E530" s="696" t="s">
        <v>4710</v>
      </c>
      <c r="F530" s="711">
        <v>2</v>
      </c>
      <c r="G530" s="711">
        <v>5668.9</v>
      </c>
      <c r="H530" s="711">
        <v>1</v>
      </c>
      <c r="I530" s="711">
        <v>2834.45</v>
      </c>
      <c r="J530" s="711"/>
      <c r="K530" s="711"/>
      <c r="L530" s="711"/>
      <c r="M530" s="711"/>
      <c r="N530" s="711"/>
      <c r="O530" s="711"/>
      <c r="P530" s="701"/>
      <c r="Q530" s="712"/>
    </row>
    <row r="531" spans="1:17" ht="14.4" customHeight="1" x14ac:dyDescent="0.3">
      <c r="A531" s="695" t="s">
        <v>545</v>
      </c>
      <c r="B531" s="696" t="s">
        <v>4540</v>
      </c>
      <c r="C531" s="696" t="s">
        <v>4103</v>
      </c>
      <c r="D531" s="696" t="s">
        <v>4711</v>
      </c>
      <c r="E531" s="696" t="s">
        <v>4710</v>
      </c>
      <c r="F531" s="711">
        <v>1</v>
      </c>
      <c r="G531" s="711">
        <v>4301.95</v>
      </c>
      <c r="H531" s="711">
        <v>1</v>
      </c>
      <c r="I531" s="711">
        <v>4301.95</v>
      </c>
      <c r="J531" s="711"/>
      <c r="K531" s="711"/>
      <c r="L531" s="711"/>
      <c r="M531" s="711"/>
      <c r="N531" s="711"/>
      <c r="O531" s="711"/>
      <c r="P531" s="701"/>
      <c r="Q531" s="712"/>
    </row>
    <row r="532" spans="1:17" ht="14.4" customHeight="1" x14ac:dyDescent="0.3">
      <c r="A532" s="695" t="s">
        <v>545</v>
      </c>
      <c r="B532" s="696" t="s">
        <v>4540</v>
      </c>
      <c r="C532" s="696" t="s">
        <v>4103</v>
      </c>
      <c r="D532" s="696" t="s">
        <v>4712</v>
      </c>
      <c r="E532" s="696" t="s">
        <v>4713</v>
      </c>
      <c r="F532" s="711">
        <v>2</v>
      </c>
      <c r="G532" s="711">
        <v>2495.56</v>
      </c>
      <c r="H532" s="711">
        <v>1</v>
      </c>
      <c r="I532" s="711">
        <v>1247.78</v>
      </c>
      <c r="J532" s="711"/>
      <c r="K532" s="711"/>
      <c r="L532" s="711"/>
      <c r="M532" s="711"/>
      <c r="N532" s="711">
        <v>2</v>
      </c>
      <c r="O532" s="711">
        <v>2495.56</v>
      </c>
      <c r="P532" s="701">
        <v>1</v>
      </c>
      <c r="Q532" s="712">
        <v>1247.78</v>
      </c>
    </row>
    <row r="533" spans="1:17" ht="14.4" customHeight="1" x14ac:dyDescent="0.3">
      <c r="A533" s="695" t="s">
        <v>545</v>
      </c>
      <c r="B533" s="696" t="s">
        <v>4540</v>
      </c>
      <c r="C533" s="696" t="s">
        <v>4103</v>
      </c>
      <c r="D533" s="696" t="s">
        <v>4714</v>
      </c>
      <c r="E533" s="696" t="s">
        <v>4713</v>
      </c>
      <c r="F533" s="711"/>
      <c r="G533" s="711"/>
      <c r="H533" s="711"/>
      <c r="I533" s="711"/>
      <c r="J533" s="711"/>
      <c r="K533" s="711"/>
      <c r="L533" s="711"/>
      <c r="M533" s="711"/>
      <c r="N533" s="711">
        <v>3</v>
      </c>
      <c r="O533" s="711">
        <v>4265.67</v>
      </c>
      <c r="P533" s="701"/>
      <c r="Q533" s="712">
        <v>1421.89</v>
      </c>
    </row>
    <row r="534" spans="1:17" ht="14.4" customHeight="1" x14ac:dyDescent="0.3">
      <c r="A534" s="695" t="s">
        <v>545</v>
      </c>
      <c r="B534" s="696" t="s">
        <v>4540</v>
      </c>
      <c r="C534" s="696" t="s">
        <v>4103</v>
      </c>
      <c r="D534" s="696" t="s">
        <v>4715</v>
      </c>
      <c r="E534" s="696" t="s">
        <v>4713</v>
      </c>
      <c r="F534" s="711"/>
      <c r="G534" s="711"/>
      <c r="H534" s="711"/>
      <c r="I534" s="711"/>
      <c r="J534" s="711"/>
      <c r="K534" s="711"/>
      <c r="L534" s="711"/>
      <c r="M534" s="711"/>
      <c r="N534" s="711">
        <v>4</v>
      </c>
      <c r="O534" s="711">
        <v>6624.44</v>
      </c>
      <c r="P534" s="701"/>
      <c r="Q534" s="712">
        <v>1656.11</v>
      </c>
    </row>
    <row r="535" spans="1:17" ht="14.4" customHeight="1" x14ac:dyDescent="0.3">
      <c r="A535" s="695" t="s">
        <v>545</v>
      </c>
      <c r="B535" s="696" t="s">
        <v>4540</v>
      </c>
      <c r="C535" s="696" t="s">
        <v>4103</v>
      </c>
      <c r="D535" s="696" t="s">
        <v>4716</v>
      </c>
      <c r="E535" s="696" t="s">
        <v>4717</v>
      </c>
      <c r="F535" s="711">
        <v>2</v>
      </c>
      <c r="G535" s="711">
        <v>2412</v>
      </c>
      <c r="H535" s="711">
        <v>1</v>
      </c>
      <c r="I535" s="711">
        <v>1206</v>
      </c>
      <c r="J535" s="711"/>
      <c r="K535" s="711"/>
      <c r="L535" s="711"/>
      <c r="M535" s="711"/>
      <c r="N535" s="711"/>
      <c r="O535" s="711"/>
      <c r="P535" s="701"/>
      <c r="Q535" s="712"/>
    </row>
    <row r="536" spans="1:17" ht="14.4" customHeight="1" x14ac:dyDescent="0.3">
      <c r="A536" s="695" t="s">
        <v>545</v>
      </c>
      <c r="B536" s="696" t="s">
        <v>4540</v>
      </c>
      <c r="C536" s="696" t="s">
        <v>4103</v>
      </c>
      <c r="D536" s="696" t="s">
        <v>4718</v>
      </c>
      <c r="E536" s="696" t="s">
        <v>4719</v>
      </c>
      <c r="F536" s="711"/>
      <c r="G536" s="711"/>
      <c r="H536" s="711"/>
      <c r="I536" s="711"/>
      <c r="J536" s="711"/>
      <c r="K536" s="711"/>
      <c r="L536" s="711"/>
      <c r="M536" s="711"/>
      <c r="N536" s="711">
        <v>1</v>
      </c>
      <c r="O536" s="711">
        <v>10628.95</v>
      </c>
      <c r="P536" s="701"/>
      <c r="Q536" s="712">
        <v>10628.95</v>
      </c>
    </row>
    <row r="537" spans="1:17" ht="14.4" customHeight="1" x14ac:dyDescent="0.3">
      <c r="A537" s="695" t="s">
        <v>545</v>
      </c>
      <c r="B537" s="696" t="s">
        <v>4540</v>
      </c>
      <c r="C537" s="696" t="s">
        <v>4103</v>
      </c>
      <c r="D537" s="696" t="s">
        <v>4720</v>
      </c>
      <c r="E537" s="696" t="s">
        <v>4721</v>
      </c>
      <c r="F537" s="711"/>
      <c r="G537" s="711"/>
      <c r="H537" s="711"/>
      <c r="I537" s="711"/>
      <c r="J537" s="711"/>
      <c r="K537" s="711"/>
      <c r="L537" s="711"/>
      <c r="M537" s="711"/>
      <c r="N537" s="711">
        <v>2</v>
      </c>
      <c r="O537" s="711">
        <v>6848.4</v>
      </c>
      <c r="P537" s="701"/>
      <c r="Q537" s="712">
        <v>3424.2</v>
      </c>
    </row>
    <row r="538" spans="1:17" ht="14.4" customHeight="1" x14ac:dyDescent="0.3">
      <c r="A538" s="695" t="s">
        <v>545</v>
      </c>
      <c r="B538" s="696" t="s">
        <v>4540</v>
      </c>
      <c r="C538" s="696" t="s">
        <v>4103</v>
      </c>
      <c r="D538" s="696" t="s">
        <v>4722</v>
      </c>
      <c r="E538" s="696" t="s">
        <v>4723</v>
      </c>
      <c r="F538" s="711"/>
      <c r="G538" s="711"/>
      <c r="H538" s="711"/>
      <c r="I538" s="711"/>
      <c r="J538" s="711">
        <v>1</v>
      </c>
      <c r="K538" s="711">
        <v>12468</v>
      </c>
      <c r="L538" s="711"/>
      <c r="M538" s="711">
        <v>12468</v>
      </c>
      <c r="N538" s="711"/>
      <c r="O538" s="711"/>
      <c r="P538" s="701"/>
      <c r="Q538" s="712"/>
    </row>
    <row r="539" spans="1:17" ht="14.4" customHeight="1" x14ac:dyDescent="0.3">
      <c r="A539" s="695" t="s">
        <v>545</v>
      </c>
      <c r="B539" s="696" t="s">
        <v>4540</v>
      </c>
      <c r="C539" s="696" t="s">
        <v>4103</v>
      </c>
      <c r="D539" s="696" t="s">
        <v>4724</v>
      </c>
      <c r="E539" s="696" t="s">
        <v>4723</v>
      </c>
      <c r="F539" s="711"/>
      <c r="G539" s="711"/>
      <c r="H539" s="711"/>
      <c r="I539" s="711"/>
      <c r="J539" s="711"/>
      <c r="K539" s="711"/>
      <c r="L539" s="711"/>
      <c r="M539" s="711"/>
      <c r="N539" s="711">
        <v>2</v>
      </c>
      <c r="O539" s="711">
        <v>57900</v>
      </c>
      <c r="P539" s="701"/>
      <c r="Q539" s="712">
        <v>28950</v>
      </c>
    </row>
    <row r="540" spans="1:17" ht="14.4" customHeight="1" x14ac:dyDescent="0.3">
      <c r="A540" s="695" t="s">
        <v>545</v>
      </c>
      <c r="B540" s="696" t="s">
        <v>4540</v>
      </c>
      <c r="C540" s="696" t="s">
        <v>4103</v>
      </c>
      <c r="D540" s="696" t="s">
        <v>4725</v>
      </c>
      <c r="E540" s="696" t="s">
        <v>4726</v>
      </c>
      <c r="F540" s="711">
        <v>3</v>
      </c>
      <c r="G540" s="711">
        <v>1785</v>
      </c>
      <c r="H540" s="711">
        <v>1</v>
      </c>
      <c r="I540" s="711">
        <v>595</v>
      </c>
      <c r="J540" s="711">
        <v>1</v>
      </c>
      <c r="K540" s="711">
        <v>595</v>
      </c>
      <c r="L540" s="711">
        <v>0.33333333333333331</v>
      </c>
      <c r="M540" s="711">
        <v>595</v>
      </c>
      <c r="N540" s="711">
        <v>1</v>
      </c>
      <c r="O540" s="711">
        <v>595</v>
      </c>
      <c r="P540" s="701">
        <v>0.33333333333333331</v>
      </c>
      <c r="Q540" s="712">
        <v>595</v>
      </c>
    </row>
    <row r="541" spans="1:17" ht="14.4" customHeight="1" x14ac:dyDescent="0.3">
      <c r="A541" s="695" t="s">
        <v>545</v>
      </c>
      <c r="B541" s="696" t="s">
        <v>4540</v>
      </c>
      <c r="C541" s="696" t="s">
        <v>4103</v>
      </c>
      <c r="D541" s="696" t="s">
        <v>4727</v>
      </c>
      <c r="E541" s="696" t="s">
        <v>4728</v>
      </c>
      <c r="F541" s="711"/>
      <c r="G541" s="711"/>
      <c r="H541" s="711"/>
      <c r="I541" s="711"/>
      <c r="J541" s="711"/>
      <c r="K541" s="711"/>
      <c r="L541" s="711"/>
      <c r="M541" s="711"/>
      <c r="N541" s="711">
        <v>1</v>
      </c>
      <c r="O541" s="711">
        <v>15998.9</v>
      </c>
      <c r="P541" s="701"/>
      <c r="Q541" s="712">
        <v>15998.9</v>
      </c>
    </row>
    <row r="542" spans="1:17" ht="14.4" customHeight="1" x14ac:dyDescent="0.3">
      <c r="A542" s="695" t="s">
        <v>545</v>
      </c>
      <c r="B542" s="696" t="s">
        <v>4540</v>
      </c>
      <c r="C542" s="696" t="s">
        <v>4103</v>
      </c>
      <c r="D542" s="696" t="s">
        <v>4729</v>
      </c>
      <c r="E542" s="696" t="s">
        <v>4730</v>
      </c>
      <c r="F542" s="711"/>
      <c r="G542" s="711"/>
      <c r="H542" s="711"/>
      <c r="I542" s="711"/>
      <c r="J542" s="711"/>
      <c r="K542" s="711"/>
      <c r="L542" s="711"/>
      <c r="M542" s="711"/>
      <c r="N542" s="711">
        <v>1</v>
      </c>
      <c r="O542" s="711">
        <v>11201.4</v>
      </c>
      <c r="P542" s="701"/>
      <c r="Q542" s="712">
        <v>11201.4</v>
      </c>
    </row>
    <row r="543" spans="1:17" ht="14.4" customHeight="1" x14ac:dyDescent="0.3">
      <c r="A543" s="695" t="s">
        <v>545</v>
      </c>
      <c r="B543" s="696" t="s">
        <v>4540</v>
      </c>
      <c r="C543" s="696" t="s">
        <v>4103</v>
      </c>
      <c r="D543" s="696" t="s">
        <v>4731</v>
      </c>
      <c r="E543" s="696" t="s">
        <v>4732</v>
      </c>
      <c r="F543" s="711"/>
      <c r="G543" s="711"/>
      <c r="H543" s="711"/>
      <c r="I543" s="711"/>
      <c r="J543" s="711">
        <v>1</v>
      </c>
      <c r="K543" s="711">
        <v>9701</v>
      </c>
      <c r="L543" s="711"/>
      <c r="M543" s="711">
        <v>9701</v>
      </c>
      <c r="N543" s="711"/>
      <c r="O543" s="711"/>
      <c r="P543" s="701"/>
      <c r="Q543" s="712"/>
    </row>
    <row r="544" spans="1:17" ht="14.4" customHeight="1" x14ac:dyDescent="0.3">
      <c r="A544" s="695" t="s">
        <v>545</v>
      </c>
      <c r="B544" s="696" t="s">
        <v>4540</v>
      </c>
      <c r="C544" s="696" t="s">
        <v>4103</v>
      </c>
      <c r="D544" s="696" t="s">
        <v>4733</v>
      </c>
      <c r="E544" s="696" t="s">
        <v>4734</v>
      </c>
      <c r="F544" s="711">
        <v>1</v>
      </c>
      <c r="G544" s="711">
        <v>23608.2</v>
      </c>
      <c r="H544" s="711">
        <v>1</v>
      </c>
      <c r="I544" s="711">
        <v>23608.2</v>
      </c>
      <c r="J544" s="711">
        <v>1</v>
      </c>
      <c r="K544" s="711">
        <v>23608.2</v>
      </c>
      <c r="L544" s="711">
        <v>1</v>
      </c>
      <c r="M544" s="711">
        <v>23608.2</v>
      </c>
      <c r="N544" s="711">
        <v>1</v>
      </c>
      <c r="O544" s="711">
        <v>23608.2</v>
      </c>
      <c r="P544" s="701">
        <v>1</v>
      </c>
      <c r="Q544" s="712">
        <v>23608.2</v>
      </c>
    </row>
    <row r="545" spans="1:17" ht="14.4" customHeight="1" x14ac:dyDescent="0.3">
      <c r="A545" s="695" t="s">
        <v>545</v>
      </c>
      <c r="B545" s="696" t="s">
        <v>4540</v>
      </c>
      <c r="C545" s="696" t="s">
        <v>4103</v>
      </c>
      <c r="D545" s="696" t="s">
        <v>4735</v>
      </c>
      <c r="E545" s="696" t="s">
        <v>4736</v>
      </c>
      <c r="F545" s="711"/>
      <c r="G545" s="711"/>
      <c r="H545" s="711"/>
      <c r="I545" s="711"/>
      <c r="J545" s="711">
        <v>1</v>
      </c>
      <c r="K545" s="711">
        <v>223.85</v>
      </c>
      <c r="L545" s="711"/>
      <c r="M545" s="711">
        <v>223.85</v>
      </c>
      <c r="N545" s="711"/>
      <c r="O545" s="711"/>
      <c r="P545" s="701"/>
      <c r="Q545" s="712"/>
    </row>
    <row r="546" spans="1:17" ht="14.4" customHeight="1" x14ac:dyDescent="0.3">
      <c r="A546" s="695" t="s">
        <v>545</v>
      </c>
      <c r="B546" s="696" t="s">
        <v>4540</v>
      </c>
      <c r="C546" s="696" t="s">
        <v>4103</v>
      </c>
      <c r="D546" s="696" t="s">
        <v>4737</v>
      </c>
      <c r="E546" s="696" t="s">
        <v>4738</v>
      </c>
      <c r="F546" s="711"/>
      <c r="G546" s="711"/>
      <c r="H546" s="711"/>
      <c r="I546" s="711"/>
      <c r="J546" s="711">
        <v>1</v>
      </c>
      <c r="K546" s="711">
        <v>9375.98</v>
      </c>
      <c r="L546" s="711"/>
      <c r="M546" s="711">
        <v>9375.98</v>
      </c>
      <c r="N546" s="711"/>
      <c r="O546" s="711"/>
      <c r="P546" s="701"/>
      <c r="Q546" s="712"/>
    </row>
    <row r="547" spans="1:17" ht="14.4" customHeight="1" x14ac:dyDescent="0.3">
      <c r="A547" s="695" t="s">
        <v>545</v>
      </c>
      <c r="B547" s="696" t="s">
        <v>4540</v>
      </c>
      <c r="C547" s="696" t="s">
        <v>4103</v>
      </c>
      <c r="D547" s="696" t="s">
        <v>4739</v>
      </c>
      <c r="E547" s="696" t="s">
        <v>4740</v>
      </c>
      <c r="F547" s="711"/>
      <c r="G547" s="711"/>
      <c r="H547" s="711"/>
      <c r="I547" s="711"/>
      <c r="J547" s="711">
        <v>4</v>
      </c>
      <c r="K547" s="711">
        <v>26388.32</v>
      </c>
      <c r="L547" s="711"/>
      <c r="M547" s="711">
        <v>6597.08</v>
      </c>
      <c r="N547" s="711"/>
      <c r="O547" s="711"/>
      <c r="P547" s="701"/>
      <c r="Q547" s="712"/>
    </row>
    <row r="548" spans="1:17" ht="14.4" customHeight="1" x14ac:dyDescent="0.3">
      <c r="A548" s="695" t="s">
        <v>545</v>
      </c>
      <c r="B548" s="696" t="s">
        <v>4540</v>
      </c>
      <c r="C548" s="696" t="s">
        <v>4103</v>
      </c>
      <c r="D548" s="696" t="s">
        <v>4741</v>
      </c>
      <c r="E548" s="696" t="s">
        <v>4742</v>
      </c>
      <c r="F548" s="711">
        <v>1</v>
      </c>
      <c r="G548" s="711">
        <v>20061</v>
      </c>
      <c r="H548" s="711">
        <v>1</v>
      </c>
      <c r="I548" s="711">
        <v>20061</v>
      </c>
      <c r="J548" s="711"/>
      <c r="K548" s="711"/>
      <c r="L548" s="711"/>
      <c r="M548" s="711"/>
      <c r="N548" s="711"/>
      <c r="O548" s="711"/>
      <c r="P548" s="701"/>
      <c r="Q548" s="712"/>
    </row>
    <row r="549" spans="1:17" ht="14.4" customHeight="1" x14ac:dyDescent="0.3">
      <c r="A549" s="695" t="s">
        <v>545</v>
      </c>
      <c r="B549" s="696" t="s">
        <v>4540</v>
      </c>
      <c r="C549" s="696" t="s">
        <v>4103</v>
      </c>
      <c r="D549" s="696" t="s">
        <v>4743</v>
      </c>
      <c r="E549" s="696" t="s">
        <v>4744</v>
      </c>
      <c r="F549" s="711"/>
      <c r="G549" s="711"/>
      <c r="H549" s="711"/>
      <c r="I549" s="711"/>
      <c r="J549" s="711"/>
      <c r="K549" s="711"/>
      <c r="L549" s="711"/>
      <c r="M549" s="711"/>
      <c r="N549" s="711">
        <v>1</v>
      </c>
      <c r="O549" s="711">
        <v>7099.51</v>
      </c>
      <c r="P549" s="701"/>
      <c r="Q549" s="712">
        <v>7099.51</v>
      </c>
    </row>
    <row r="550" spans="1:17" ht="14.4" customHeight="1" x14ac:dyDescent="0.3">
      <c r="A550" s="695" t="s">
        <v>545</v>
      </c>
      <c r="B550" s="696" t="s">
        <v>4540</v>
      </c>
      <c r="C550" s="696" t="s">
        <v>4103</v>
      </c>
      <c r="D550" s="696" t="s">
        <v>4745</v>
      </c>
      <c r="E550" s="696" t="s">
        <v>4746</v>
      </c>
      <c r="F550" s="711">
        <v>1</v>
      </c>
      <c r="G550" s="711">
        <v>66799.899999999994</v>
      </c>
      <c r="H550" s="711">
        <v>1</v>
      </c>
      <c r="I550" s="711">
        <v>66799.899999999994</v>
      </c>
      <c r="J550" s="711">
        <v>2</v>
      </c>
      <c r="K550" s="711">
        <v>138457.98000000001</v>
      </c>
      <c r="L550" s="711">
        <v>2.0727273543822675</v>
      </c>
      <c r="M550" s="711">
        <v>69228.990000000005</v>
      </c>
      <c r="N550" s="711"/>
      <c r="O550" s="711"/>
      <c r="P550" s="701"/>
      <c r="Q550" s="712"/>
    </row>
    <row r="551" spans="1:17" ht="14.4" customHeight="1" x14ac:dyDescent="0.3">
      <c r="A551" s="695" t="s">
        <v>545</v>
      </c>
      <c r="B551" s="696" t="s">
        <v>4540</v>
      </c>
      <c r="C551" s="696" t="s">
        <v>4103</v>
      </c>
      <c r="D551" s="696" t="s">
        <v>4747</v>
      </c>
      <c r="E551" s="696" t="s">
        <v>4748</v>
      </c>
      <c r="F551" s="711"/>
      <c r="G551" s="711"/>
      <c r="H551" s="711"/>
      <c r="I551" s="711"/>
      <c r="J551" s="711"/>
      <c r="K551" s="711"/>
      <c r="L551" s="711"/>
      <c r="M551" s="711"/>
      <c r="N551" s="711">
        <v>2</v>
      </c>
      <c r="O551" s="711">
        <v>3592</v>
      </c>
      <c r="P551" s="701"/>
      <c r="Q551" s="712">
        <v>1796</v>
      </c>
    </row>
    <row r="552" spans="1:17" ht="14.4" customHeight="1" x14ac:dyDescent="0.3">
      <c r="A552" s="695" t="s">
        <v>545</v>
      </c>
      <c r="B552" s="696" t="s">
        <v>4540</v>
      </c>
      <c r="C552" s="696" t="s">
        <v>4103</v>
      </c>
      <c r="D552" s="696" t="s">
        <v>4749</v>
      </c>
      <c r="E552" s="696" t="s">
        <v>4750</v>
      </c>
      <c r="F552" s="711">
        <v>1</v>
      </c>
      <c r="G552" s="711">
        <v>1796</v>
      </c>
      <c r="H552" s="711">
        <v>1</v>
      </c>
      <c r="I552" s="711">
        <v>1796</v>
      </c>
      <c r="J552" s="711">
        <v>2</v>
      </c>
      <c r="K552" s="711">
        <v>3592</v>
      </c>
      <c r="L552" s="711">
        <v>2</v>
      </c>
      <c r="M552" s="711">
        <v>1796</v>
      </c>
      <c r="N552" s="711">
        <v>2</v>
      </c>
      <c r="O552" s="711">
        <v>3592</v>
      </c>
      <c r="P552" s="701">
        <v>2</v>
      </c>
      <c r="Q552" s="712">
        <v>1796</v>
      </c>
    </row>
    <row r="553" spans="1:17" ht="14.4" customHeight="1" x14ac:dyDescent="0.3">
      <c r="A553" s="695" t="s">
        <v>545</v>
      </c>
      <c r="B553" s="696" t="s">
        <v>4540</v>
      </c>
      <c r="C553" s="696" t="s">
        <v>4103</v>
      </c>
      <c r="D553" s="696" t="s">
        <v>4751</v>
      </c>
      <c r="E553" s="696" t="s">
        <v>4752</v>
      </c>
      <c r="F553" s="711"/>
      <c r="G553" s="711"/>
      <c r="H553" s="711"/>
      <c r="I553" s="711"/>
      <c r="J553" s="711">
        <v>1</v>
      </c>
      <c r="K553" s="711">
        <v>1796</v>
      </c>
      <c r="L553" s="711"/>
      <c r="M553" s="711">
        <v>1796</v>
      </c>
      <c r="N553" s="711"/>
      <c r="O553" s="711"/>
      <c r="P553" s="701"/>
      <c r="Q553" s="712"/>
    </row>
    <row r="554" spans="1:17" ht="14.4" customHeight="1" x14ac:dyDescent="0.3">
      <c r="A554" s="695" t="s">
        <v>545</v>
      </c>
      <c r="B554" s="696" t="s">
        <v>4540</v>
      </c>
      <c r="C554" s="696" t="s">
        <v>4103</v>
      </c>
      <c r="D554" s="696" t="s">
        <v>4753</v>
      </c>
      <c r="E554" s="696" t="s">
        <v>4754</v>
      </c>
      <c r="F554" s="711"/>
      <c r="G554" s="711"/>
      <c r="H554" s="711"/>
      <c r="I554" s="711"/>
      <c r="J554" s="711">
        <v>1</v>
      </c>
      <c r="K554" s="711">
        <v>3360</v>
      </c>
      <c r="L554" s="711"/>
      <c r="M554" s="711">
        <v>3360</v>
      </c>
      <c r="N554" s="711"/>
      <c r="O554" s="711"/>
      <c r="P554" s="701"/>
      <c r="Q554" s="712"/>
    </row>
    <row r="555" spans="1:17" ht="14.4" customHeight="1" x14ac:dyDescent="0.3">
      <c r="A555" s="695" t="s">
        <v>545</v>
      </c>
      <c r="B555" s="696" t="s">
        <v>4540</v>
      </c>
      <c r="C555" s="696" t="s">
        <v>4103</v>
      </c>
      <c r="D555" s="696" t="s">
        <v>4755</v>
      </c>
      <c r="E555" s="696" t="s">
        <v>4756</v>
      </c>
      <c r="F555" s="711"/>
      <c r="G555" s="711"/>
      <c r="H555" s="711"/>
      <c r="I555" s="711"/>
      <c r="J555" s="711"/>
      <c r="K555" s="711"/>
      <c r="L555" s="711"/>
      <c r="M555" s="711"/>
      <c r="N555" s="711">
        <v>1</v>
      </c>
      <c r="O555" s="711">
        <v>3360</v>
      </c>
      <c r="P555" s="701"/>
      <c r="Q555" s="712">
        <v>3360</v>
      </c>
    </row>
    <row r="556" spans="1:17" ht="14.4" customHeight="1" x14ac:dyDescent="0.3">
      <c r="A556" s="695" t="s">
        <v>545</v>
      </c>
      <c r="B556" s="696" t="s">
        <v>4540</v>
      </c>
      <c r="C556" s="696" t="s">
        <v>4103</v>
      </c>
      <c r="D556" s="696" t="s">
        <v>4757</v>
      </c>
      <c r="E556" s="696" t="s">
        <v>4758</v>
      </c>
      <c r="F556" s="711"/>
      <c r="G556" s="711"/>
      <c r="H556" s="711"/>
      <c r="I556" s="711"/>
      <c r="J556" s="711">
        <v>1</v>
      </c>
      <c r="K556" s="711">
        <v>10980.7</v>
      </c>
      <c r="L556" s="711"/>
      <c r="M556" s="711">
        <v>10980.7</v>
      </c>
      <c r="N556" s="711"/>
      <c r="O556" s="711"/>
      <c r="P556" s="701"/>
      <c r="Q556" s="712"/>
    </row>
    <row r="557" spans="1:17" ht="14.4" customHeight="1" x14ac:dyDescent="0.3">
      <c r="A557" s="695" t="s">
        <v>545</v>
      </c>
      <c r="B557" s="696" t="s">
        <v>4540</v>
      </c>
      <c r="C557" s="696" t="s">
        <v>4103</v>
      </c>
      <c r="D557" s="696" t="s">
        <v>4759</v>
      </c>
      <c r="E557" s="696" t="s">
        <v>4760</v>
      </c>
      <c r="F557" s="711"/>
      <c r="G557" s="711"/>
      <c r="H557" s="711"/>
      <c r="I557" s="711"/>
      <c r="J557" s="711">
        <v>10</v>
      </c>
      <c r="K557" s="711">
        <v>15082.2</v>
      </c>
      <c r="L557" s="711"/>
      <c r="M557" s="711">
        <v>1508.22</v>
      </c>
      <c r="N557" s="711"/>
      <c r="O557" s="711"/>
      <c r="P557" s="701"/>
      <c r="Q557" s="712"/>
    </row>
    <row r="558" spans="1:17" ht="14.4" customHeight="1" x14ac:dyDescent="0.3">
      <c r="A558" s="695" t="s">
        <v>545</v>
      </c>
      <c r="B558" s="696" t="s">
        <v>4540</v>
      </c>
      <c r="C558" s="696" t="s">
        <v>4103</v>
      </c>
      <c r="D558" s="696" t="s">
        <v>4761</v>
      </c>
      <c r="E558" s="696" t="s">
        <v>4762</v>
      </c>
      <c r="F558" s="711">
        <v>2</v>
      </c>
      <c r="G558" s="711">
        <v>7496</v>
      </c>
      <c r="H558" s="711">
        <v>1</v>
      </c>
      <c r="I558" s="711">
        <v>3748</v>
      </c>
      <c r="J558" s="711"/>
      <c r="K558" s="711"/>
      <c r="L558" s="711"/>
      <c r="M558" s="711"/>
      <c r="N558" s="711"/>
      <c r="O558" s="711"/>
      <c r="P558" s="701"/>
      <c r="Q558" s="712"/>
    </row>
    <row r="559" spans="1:17" ht="14.4" customHeight="1" x14ac:dyDescent="0.3">
      <c r="A559" s="695" t="s">
        <v>545</v>
      </c>
      <c r="B559" s="696" t="s">
        <v>4540</v>
      </c>
      <c r="C559" s="696" t="s">
        <v>4103</v>
      </c>
      <c r="D559" s="696" t="s">
        <v>4763</v>
      </c>
      <c r="E559" s="696" t="s">
        <v>4764</v>
      </c>
      <c r="F559" s="711">
        <v>1</v>
      </c>
      <c r="G559" s="711">
        <v>8509</v>
      </c>
      <c r="H559" s="711">
        <v>1</v>
      </c>
      <c r="I559" s="711">
        <v>8509</v>
      </c>
      <c r="J559" s="711">
        <v>3</v>
      </c>
      <c r="K559" s="711">
        <v>25527</v>
      </c>
      <c r="L559" s="711">
        <v>3</v>
      </c>
      <c r="M559" s="711">
        <v>8509</v>
      </c>
      <c r="N559" s="711"/>
      <c r="O559" s="711"/>
      <c r="P559" s="701"/>
      <c r="Q559" s="712"/>
    </row>
    <row r="560" spans="1:17" ht="14.4" customHeight="1" x14ac:dyDescent="0.3">
      <c r="A560" s="695" t="s">
        <v>545</v>
      </c>
      <c r="B560" s="696" t="s">
        <v>4540</v>
      </c>
      <c r="C560" s="696" t="s">
        <v>4103</v>
      </c>
      <c r="D560" s="696" t="s">
        <v>4765</v>
      </c>
      <c r="E560" s="696" t="s">
        <v>4766</v>
      </c>
      <c r="F560" s="711">
        <v>1</v>
      </c>
      <c r="G560" s="711">
        <v>5672</v>
      </c>
      <c r="H560" s="711">
        <v>1</v>
      </c>
      <c r="I560" s="711">
        <v>5672</v>
      </c>
      <c r="J560" s="711">
        <v>2</v>
      </c>
      <c r="K560" s="711">
        <v>11344</v>
      </c>
      <c r="L560" s="711">
        <v>2</v>
      </c>
      <c r="M560" s="711">
        <v>5672</v>
      </c>
      <c r="N560" s="711"/>
      <c r="O560" s="711"/>
      <c r="P560" s="701"/>
      <c r="Q560" s="712"/>
    </row>
    <row r="561" spans="1:17" ht="14.4" customHeight="1" x14ac:dyDescent="0.3">
      <c r="A561" s="695" t="s">
        <v>545</v>
      </c>
      <c r="B561" s="696" t="s">
        <v>4540</v>
      </c>
      <c r="C561" s="696" t="s">
        <v>4103</v>
      </c>
      <c r="D561" s="696" t="s">
        <v>4767</v>
      </c>
      <c r="E561" s="696" t="s">
        <v>4768</v>
      </c>
      <c r="F561" s="711"/>
      <c r="G561" s="711"/>
      <c r="H561" s="711"/>
      <c r="I561" s="711"/>
      <c r="J561" s="711">
        <v>1</v>
      </c>
      <c r="K561" s="711">
        <v>4959</v>
      </c>
      <c r="L561" s="711"/>
      <c r="M561" s="711">
        <v>4959</v>
      </c>
      <c r="N561" s="711"/>
      <c r="O561" s="711"/>
      <c r="P561" s="701"/>
      <c r="Q561" s="712"/>
    </row>
    <row r="562" spans="1:17" ht="14.4" customHeight="1" x14ac:dyDescent="0.3">
      <c r="A562" s="695" t="s">
        <v>545</v>
      </c>
      <c r="B562" s="696" t="s">
        <v>4540</v>
      </c>
      <c r="C562" s="696" t="s">
        <v>4103</v>
      </c>
      <c r="D562" s="696" t="s">
        <v>4769</v>
      </c>
      <c r="E562" s="696" t="s">
        <v>4770</v>
      </c>
      <c r="F562" s="711"/>
      <c r="G562" s="711"/>
      <c r="H562" s="711"/>
      <c r="I562" s="711"/>
      <c r="J562" s="711">
        <v>8</v>
      </c>
      <c r="K562" s="711">
        <v>49306</v>
      </c>
      <c r="L562" s="711"/>
      <c r="M562" s="711">
        <v>6163.25</v>
      </c>
      <c r="N562" s="711"/>
      <c r="O562" s="711"/>
      <c r="P562" s="701"/>
      <c r="Q562" s="712"/>
    </row>
    <row r="563" spans="1:17" ht="14.4" customHeight="1" x14ac:dyDescent="0.3">
      <c r="A563" s="695" t="s">
        <v>545</v>
      </c>
      <c r="B563" s="696" t="s">
        <v>4540</v>
      </c>
      <c r="C563" s="696" t="s">
        <v>4103</v>
      </c>
      <c r="D563" s="696" t="s">
        <v>4771</v>
      </c>
      <c r="E563" s="696" t="s">
        <v>4770</v>
      </c>
      <c r="F563" s="711"/>
      <c r="G563" s="711"/>
      <c r="H563" s="711"/>
      <c r="I563" s="711"/>
      <c r="J563" s="711">
        <v>10</v>
      </c>
      <c r="K563" s="711">
        <v>10716</v>
      </c>
      <c r="L563" s="711"/>
      <c r="M563" s="711">
        <v>1071.5999999999999</v>
      </c>
      <c r="N563" s="711"/>
      <c r="O563" s="711"/>
      <c r="P563" s="701"/>
      <c r="Q563" s="712"/>
    </row>
    <row r="564" spans="1:17" ht="14.4" customHeight="1" x14ac:dyDescent="0.3">
      <c r="A564" s="695" t="s">
        <v>545</v>
      </c>
      <c r="B564" s="696" t="s">
        <v>4540</v>
      </c>
      <c r="C564" s="696" t="s">
        <v>4103</v>
      </c>
      <c r="D564" s="696" t="s">
        <v>4772</v>
      </c>
      <c r="E564" s="696" t="s">
        <v>4773</v>
      </c>
      <c r="F564" s="711">
        <v>1</v>
      </c>
      <c r="G564" s="711">
        <v>556.5</v>
      </c>
      <c r="H564" s="711">
        <v>1</v>
      </c>
      <c r="I564" s="711">
        <v>556.5</v>
      </c>
      <c r="J564" s="711"/>
      <c r="K564" s="711"/>
      <c r="L564" s="711"/>
      <c r="M564" s="711"/>
      <c r="N564" s="711">
        <v>1</v>
      </c>
      <c r="O564" s="711">
        <v>556.5</v>
      </c>
      <c r="P564" s="701">
        <v>1</v>
      </c>
      <c r="Q564" s="712">
        <v>556.5</v>
      </c>
    </row>
    <row r="565" spans="1:17" ht="14.4" customHeight="1" x14ac:dyDescent="0.3">
      <c r="A565" s="695" t="s">
        <v>545</v>
      </c>
      <c r="B565" s="696" t="s">
        <v>4540</v>
      </c>
      <c r="C565" s="696" t="s">
        <v>4103</v>
      </c>
      <c r="D565" s="696" t="s">
        <v>4774</v>
      </c>
      <c r="E565" s="696" t="s">
        <v>4775</v>
      </c>
      <c r="F565" s="711">
        <v>8</v>
      </c>
      <c r="G565" s="711">
        <v>6818.48</v>
      </c>
      <c r="H565" s="711">
        <v>1</v>
      </c>
      <c r="I565" s="711">
        <v>852.31</v>
      </c>
      <c r="J565" s="711"/>
      <c r="K565" s="711"/>
      <c r="L565" s="711"/>
      <c r="M565" s="711"/>
      <c r="N565" s="711"/>
      <c r="O565" s="711"/>
      <c r="P565" s="701"/>
      <c r="Q565" s="712"/>
    </row>
    <row r="566" spans="1:17" ht="14.4" customHeight="1" x14ac:dyDescent="0.3">
      <c r="A566" s="695" t="s">
        <v>545</v>
      </c>
      <c r="B566" s="696" t="s">
        <v>4540</v>
      </c>
      <c r="C566" s="696" t="s">
        <v>4103</v>
      </c>
      <c r="D566" s="696" t="s">
        <v>4776</v>
      </c>
      <c r="E566" s="696" t="s">
        <v>4777</v>
      </c>
      <c r="F566" s="711">
        <v>2</v>
      </c>
      <c r="G566" s="711">
        <v>25746.58</v>
      </c>
      <c r="H566" s="711">
        <v>1</v>
      </c>
      <c r="I566" s="711">
        <v>12873.29</v>
      </c>
      <c r="J566" s="711"/>
      <c r="K566" s="711"/>
      <c r="L566" s="711"/>
      <c r="M566" s="711"/>
      <c r="N566" s="711"/>
      <c r="O566" s="711"/>
      <c r="P566" s="701"/>
      <c r="Q566" s="712"/>
    </row>
    <row r="567" spans="1:17" ht="14.4" customHeight="1" x14ac:dyDescent="0.3">
      <c r="A567" s="695" t="s">
        <v>545</v>
      </c>
      <c r="B567" s="696" t="s">
        <v>4540</v>
      </c>
      <c r="C567" s="696" t="s">
        <v>4103</v>
      </c>
      <c r="D567" s="696" t="s">
        <v>4778</v>
      </c>
      <c r="E567" s="696" t="s">
        <v>4779</v>
      </c>
      <c r="F567" s="711">
        <v>2</v>
      </c>
      <c r="G567" s="711">
        <v>1500.66</v>
      </c>
      <c r="H567" s="711">
        <v>1</v>
      </c>
      <c r="I567" s="711">
        <v>750.33</v>
      </c>
      <c r="J567" s="711"/>
      <c r="K567" s="711"/>
      <c r="L567" s="711"/>
      <c r="M567" s="711"/>
      <c r="N567" s="711"/>
      <c r="O567" s="711"/>
      <c r="P567" s="701"/>
      <c r="Q567" s="712"/>
    </row>
    <row r="568" spans="1:17" ht="14.4" customHeight="1" x14ac:dyDescent="0.3">
      <c r="A568" s="695" t="s">
        <v>545</v>
      </c>
      <c r="B568" s="696" t="s">
        <v>4540</v>
      </c>
      <c r="C568" s="696" t="s">
        <v>4103</v>
      </c>
      <c r="D568" s="696" t="s">
        <v>4780</v>
      </c>
      <c r="E568" s="696" t="s">
        <v>4781</v>
      </c>
      <c r="F568" s="711"/>
      <c r="G568" s="711"/>
      <c r="H568" s="711"/>
      <c r="I568" s="711"/>
      <c r="J568" s="711"/>
      <c r="K568" s="711"/>
      <c r="L568" s="711"/>
      <c r="M568" s="711"/>
      <c r="N568" s="711">
        <v>0.2</v>
      </c>
      <c r="O568" s="711">
        <v>490.76</v>
      </c>
      <c r="P568" s="701"/>
      <c r="Q568" s="712">
        <v>2453.7999999999997</v>
      </c>
    </row>
    <row r="569" spans="1:17" ht="14.4" customHeight="1" x14ac:dyDescent="0.3">
      <c r="A569" s="695" t="s">
        <v>545</v>
      </c>
      <c r="B569" s="696" t="s">
        <v>4540</v>
      </c>
      <c r="C569" s="696" t="s">
        <v>4103</v>
      </c>
      <c r="D569" s="696" t="s">
        <v>4782</v>
      </c>
      <c r="E569" s="696" t="s">
        <v>4781</v>
      </c>
      <c r="F569" s="711"/>
      <c r="G569" s="711"/>
      <c r="H569" s="711"/>
      <c r="I569" s="711"/>
      <c r="J569" s="711"/>
      <c r="K569" s="711"/>
      <c r="L569" s="711"/>
      <c r="M569" s="711"/>
      <c r="N569" s="711">
        <v>0.1</v>
      </c>
      <c r="O569" s="711">
        <v>70.36</v>
      </c>
      <c r="P569" s="701"/>
      <c r="Q569" s="712">
        <v>703.59999999999991</v>
      </c>
    </row>
    <row r="570" spans="1:17" ht="14.4" customHeight="1" x14ac:dyDescent="0.3">
      <c r="A570" s="695" t="s">
        <v>545</v>
      </c>
      <c r="B570" s="696" t="s">
        <v>4540</v>
      </c>
      <c r="C570" s="696" t="s">
        <v>4103</v>
      </c>
      <c r="D570" s="696" t="s">
        <v>4783</v>
      </c>
      <c r="E570" s="696" t="s">
        <v>4781</v>
      </c>
      <c r="F570" s="711"/>
      <c r="G570" s="711"/>
      <c r="H570" s="711"/>
      <c r="I570" s="711"/>
      <c r="J570" s="711"/>
      <c r="K570" s="711"/>
      <c r="L570" s="711"/>
      <c r="M570" s="711"/>
      <c r="N570" s="711">
        <v>0.4</v>
      </c>
      <c r="O570" s="711">
        <v>615.6</v>
      </c>
      <c r="P570" s="701"/>
      <c r="Q570" s="712">
        <v>1539</v>
      </c>
    </row>
    <row r="571" spans="1:17" ht="14.4" customHeight="1" x14ac:dyDescent="0.3">
      <c r="A571" s="695" t="s">
        <v>545</v>
      </c>
      <c r="B571" s="696" t="s">
        <v>4540</v>
      </c>
      <c r="C571" s="696" t="s">
        <v>4103</v>
      </c>
      <c r="D571" s="696" t="s">
        <v>4784</v>
      </c>
      <c r="E571" s="696" t="s">
        <v>4781</v>
      </c>
      <c r="F571" s="711"/>
      <c r="G571" s="711"/>
      <c r="H571" s="711"/>
      <c r="I571" s="711"/>
      <c r="J571" s="711"/>
      <c r="K571" s="711"/>
      <c r="L571" s="711"/>
      <c r="M571" s="711"/>
      <c r="N571" s="711">
        <v>0.3</v>
      </c>
      <c r="O571" s="711">
        <v>531.92999999999995</v>
      </c>
      <c r="P571" s="701"/>
      <c r="Q571" s="712">
        <v>1773.1</v>
      </c>
    </row>
    <row r="572" spans="1:17" ht="14.4" customHeight="1" x14ac:dyDescent="0.3">
      <c r="A572" s="695" t="s">
        <v>545</v>
      </c>
      <c r="B572" s="696" t="s">
        <v>4540</v>
      </c>
      <c r="C572" s="696" t="s">
        <v>4103</v>
      </c>
      <c r="D572" s="696" t="s">
        <v>4785</v>
      </c>
      <c r="E572" s="696" t="s">
        <v>4670</v>
      </c>
      <c r="F572" s="711">
        <v>1</v>
      </c>
      <c r="G572" s="711">
        <v>252.04</v>
      </c>
      <c r="H572" s="711">
        <v>1</v>
      </c>
      <c r="I572" s="711">
        <v>252.04</v>
      </c>
      <c r="J572" s="711">
        <v>0.8</v>
      </c>
      <c r="K572" s="711">
        <v>201.63</v>
      </c>
      <c r="L572" s="711">
        <v>0.79999206475162676</v>
      </c>
      <c r="M572" s="711">
        <v>252.03749999999999</v>
      </c>
      <c r="N572" s="711">
        <v>1.6</v>
      </c>
      <c r="O572" s="711">
        <v>403.25</v>
      </c>
      <c r="P572" s="701">
        <v>1.5999444532613871</v>
      </c>
      <c r="Q572" s="712">
        <v>252.03125</v>
      </c>
    </row>
    <row r="573" spans="1:17" ht="14.4" customHeight="1" x14ac:dyDescent="0.3">
      <c r="A573" s="695" t="s">
        <v>545</v>
      </c>
      <c r="B573" s="696" t="s">
        <v>4540</v>
      </c>
      <c r="C573" s="696" t="s">
        <v>4103</v>
      </c>
      <c r="D573" s="696" t="s">
        <v>4786</v>
      </c>
      <c r="E573" s="696" t="s">
        <v>4787</v>
      </c>
      <c r="F573" s="711">
        <v>1</v>
      </c>
      <c r="G573" s="711">
        <v>3816.93</v>
      </c>
      <c r="H573" s="711">
        <v>1</v>
      </c>
      <c r="I573" s="711">
        <v>3816.93</v>
      </c>
      <c r="J573" s="711"/>
      <c r="K573" s="711"/>
      <c r="L573" s="711"/>
      <c r="M573" s="711"/>
      <c r="N573" s="711"/>
      <c r="O573" s="711"/>
      <c r="P573" s="701"/>
      <c r="Q573" s="712"/>
    </row>
    <row r="574" spans="1:17" ht="14.4" customHeight="1" x14ac:dyDescent="0.3">
      <c r="A574" s="695" t="s">
        <v>545</v>
      </c>
      <c r="B574" s="696" t="s">
        <v>4540</v>
      </c>
      <c r="C574" s="696" t="s">
        <v>4103</v>
      </c>
      <c r="D574" s="696" t="s">
        <v>4788</v>
      </c>
      <c r="E574" s="696" t="s">
        <v>4670</v>
      </c>
      <c r="F574" s="711"/>
      <c r="G574" s="711"/>
      <c r="H574" s="711"/>
      <c r="I574" s="711"/>
      <c r="J574" s="711">
        <v>4</v>
      </c>
      <c r="K574" s="711">
        <v>2188.8000000000002</v>
      </c>
      <c r="L574" s="711"/>
      <c r="M574" s="711">
        <v>547.20000000000005</v>
      </c>
      <c r="N574" s="711"/>
      <c r="O574" s="711"/>
      <c r="P574" s="701"/>
      <c r="Q574" s="712"/>
    </row>
    <row r="575" spans="1:17" ht="14.4" customHeight="1" x14ac:dyDescent="0.3">
      <c r="A575" s="695" t="s">
        <v>545</v>
      </c>
      <c r="B575" s="696" t="s">
        <v>4540</v>
      </c>
      <c r="C575" s="696" t="s">
        <v>4103</v>
      </c>
      <c r="D575" s="696" t="s">
        <v>4789</v>
      </c>
      <c r="E575" s="696" t="s">
        <v>4670</v>
      </c>
      <c r="F575" s="711">
        <v>9</v>
      </c>
      <c r="G575" s="711">
        <v>16639.830000000002</v>
      </c>
      <c r="H575" s="711">
        <v>1</v>
      </c>
      <c r="I575" s="711">
        <v>1848.8700000000001</v>
      </c>
      <c r="J575" s="711"/>
      <c r="K575" s="711"/>
      <c r="L575" s="711"/>
      <c r="M575" s="711"/>
      <c r="N575" s="711">
        <v>9</v>
      </c>
      <c r="O575" s="711">
        <v>16639.830000000002</v>
      </c>
      <c r="P575" s="701">
        <v>1</v>
      </c>
      <c r="Q575" s="712">
        <v>1848.8700000000001</v>
      </c>
    </row>
    <row r="576" spans="1:17" ht="14.4" customHeight="1" x14ac:dyDescent="0.3">
      <c r="A576" s="695" t="s">
        <v>545</v>
      </c>
      <c r="B576" s="696" t="s">
        <v>4540</v>
      </c>
      <c r="C576" s="696" t="s">
        <v>4103</v>
      </c>
      <c r="D576" s="696" t="s">
        <v>4790</v>
      </c>
      <c r="E576" s="696" t="s">
        <v>4791</v>
      </c>
      <c r="F576" s="711"/>
      <c r="G576" s="711"/>
      <c r="H576" s="711"/>
      <c r="I576" s="711"/>
      <c r="J576" s="711">
        <v>2</v>
      </c>
      <c r="K576" s="711">
        <v>21558.44</v>
      </c>
      <c r="L576" s="711"/>
      <c r="M576" s="711">
        <v>10779.22</v>
      </c>
      <c r="N576" s="711"/>
      <c r="O576" s="711"/>
      <c r="P576" s="701"/>
      <c r="Q576" s="712"/>
    </row>
    <row r="577" spans="1:17" ht="14.4" customHeight="1" x14ac:dyDescent="0.3">
      <c r="A577" s="695" t="s">
        <v>545</v>
      </c>
      <c r="B577" s="696" t="s">
        <v>4540</v>
      </c>
      <c r="C577" s="696" t="s">
        <v>4103</v>
      </c>
      <c r="D577" s="696" t="s">
        <v>4792</v>
      </c>
      <c r="E577" s="696" t="s">
        <v>4793</v>
      </c>
      <c r="F577" s="711"/>
      <c r="G577" s="711"/>
      <c r="H577" s="711"/>
      <c r="I577" s="711"/>
      <c r="J577" s="711">
        <v>4</v>
      </c>
      <c r="K577" s="711">
        <v>4899.92</v>
      </c>
      <c r="L577" s="711"/>
      <c r="M577" s="711">
        <v>1224.98</v>
      </c>
      <c r="N577" s="711"/>
      <c r="O577" s="711"/>
      <c r="P577" s="701"/>
      <c r="Q577" s="712"/>
    </row>
    <row r="578" spans="1:17" ht="14.4" customHeight="1" x14ac:dyDescent="0.3">
      <c r="A578" s="695" t="s">
        <v>545</v>
      </c>
      <c r="B578" s="696" t="s">
        <v>4540</v>
      </c>
      <c r="C578" s="696" t="s">
        <v>4103</v>
      </c>
      <c r="D578" s="696" t="s">
        <v>4794</v>
      </c>
      <c r="E578" s="696" t="s">
        <v>4793</v>
      </c>
      <c r="F578" s="711"/>
      <c r="G578" s="711"/>
      <c r="H578" s="711"/>
      <c r="I578" s="711"/>
      <c r="J578" s="711">
        <v>7</v>
      </c>
      <c r="K578" s="711">
        <v>13312.11</v>
      </c>
      <c r="L578" s="711"/>
      <c r="M578" s="711">
        <v>1901.73</v>
      </c>
      <c r="N578" s="711"/>
      <c r="O578" s="711"/>
      <c r="P578" s="701"/>
      <c r="Q578" s="712"/>
    </row>
    <row r="579" spans="1:17" ht="14.4" customHeight="1" x14ac:dyDescent="0.3">
      <c r="A579" s="695" t="s">
        <v>545</v>
      </c>
      <c r="B579" s="696" t="s">
        <v>4540</v>
      </c>
      <c r="C579" s="696" t="s">
        <v>4103</v>
      </c>
      <c r="D579" s="696" t="s">
        <v>4795</v>
      </c>
      <c r="E579" s="696" t="s">
        <v>4796</v>
      </c>
      <c r="F579" s="711">
        <v>1</v>
      </c>
      <c r="G579" s="711">
        <v>1380</v>
      </c>
      <c r="H579" s="711">
        <v>1</v>
      </c>
      <c r="I579" s="711">
        <v>1380</v>
      </c>
      <c r="J579" s="711">
        <v>2</v>
      </c>
      <c r="K579" s="711">
        <v>2760</v>
      </c>
      <c r="L579" s="711">
        <v>2</v>
      </c>
      <c r="M579" s="711">
        <v>1380</v>
      </c>
      <c r="N579" s="711">
        <v>1</v>
      </c>
      <c r="O579" s="711">
        <v>1380</v>
      </c>
      <c r="P579" s="701">
        <v>1</v>
      </c>
      <c r="Q579" s="712">
        <v>1380</v>
      </c>
    </row>
    <row r="580" spans="1:17" ht="14.4" customHeight="1" x14ac:dyDescent="0.3">
      <c r="A580" s="695" t="s">
        <v>545</v>
      </c>
      <c r="B580" s="696" t="s">
        <v>4540</v>
      </c>
      <c r="C580" s="696" t="s">
        <v>4103</v>
      </c>
      <c r="D580" s="696" t="s">
        <v>4797</v>
      </c>
      <c r="E580" s="696" t="s">
        <v>4798</v>
      </c>
      <c r="F580" s="711">
        <v>1</v>
      </c>
      <c r="G580" s="711">
        <v>1038</v>
      </c>
      <c r="H580" s="711">
        <v>1</v>
      </c>
      <c r="I580" s="711">
        <v>1038</v>
      </c>
      <c r="J580" s="711">
        <v>1</v>
      </c>
      <c r="K580" s="711">
        <v>1038</v>
      </c>
      <c r="L580" s="711">
        <v>1</v>
      </c>
      <c r="M580" s="711">
        <v>1038</v>
      </c>
      <c r="N580" s="711"/>
      <c r="O580" s="711"/>
      <c r="P580" s="701"/>
      <c r="Q580" s="712"/>
    </row>
    <row r="581" spans="1:17" ht="14.4" customHeight="1" x14ac:dyDescent="0.3">
      <c r="A581" s="695" t="s">
        <v>545</v>
      </c>
      <c r="B581" s="696" t="s">
        <v>4540</v>
      </c>
      <c r="C581" s="696" t="s">
        <v>4103</v>
      </c>
      <c r="D581" s="696" t="s">
        <v>4799</v>
      </c>
      <c r="E581" s="696" t="s">
        <v>4800</v>
      </c>
      <c r="F581" s="711">
        <v>1</v>
      </c>
      <c r="G581" s="711">
        <v>1312</v>
      </c>
      <c r="H581" s="711">
        <v>1</v>
      </c>
      <c r="I581" s="711">
        <v>1312</v>
      </c>
      <c r="J581" s="711">
        <v>4</v>
      </c>
      <c r="K581" s="711">
        <v>5248</v>
      </c>
      <c r="L581" s="711">
        <v>4</v>
      </c>
      <c r="M581" s="711">
        <v>1312</v>
      </c>
      <c r="N581" s="711">
        <v>1</v>
      </c>
      <c r="O581" s="711">
        <v>1312</v>
      </c>
      <c r="P581" s="701">
        <v>1</v>
      </c>
      <c r="Q581" s="712">
        <v>1312</v>
      </c>
    </row>
    <row r="582" spans="1:17" ht="14.4" customHeight="1" x14ac:dyDescent="0.3">
      <c r="A582" s="695" t="s">
        <v>545</v>
      </c>
      <c r="B582" s="696" t="s">
        <v>4540</v>
      </c>
      <c r="C582" s="696" t="s">
        <v>4103</v>
      </c>
      <c r="D582" s="696" t="s">
        <v>4801</v>
      </c>
      <c r="E582" s="696" t="s">
        <v>4802</v>
      </c>
      <c r="F582" s="711">
        <v>1</v>
      </c>
      <c r="G582" s="711">
        <v>1560</v>
      </c>
      <c r="H582" s="711">
        <v>1</v>
      </c>
      <c r="I582" s="711">
        <v>1560</v>
      </c>
      <c r="J582" s="711">
        <v>2</v>
      </c>
      <c r="K582" s="711">
        <v>3120</v>
      </c>
      <c r="L582" s="711">
        <v>2</v>
      </c>
      <c r="M582" s="711">
        <v>1560</v>
      </c>
      <c r="N582" s="711">
        <v>3</v>
      </c>
      <c r="O582" s="711">
        <v>4680</v>
      </c>
      <c r="P582" s="701">
        <v>3</v>
      </c>
      <c r="Q582" s="712">
        <v>1560</v>
      </c>
    </row>
    <row r="583" spans="1:17" ht="14.4" customHeight="1" x14ac:dyDescent="0.3">
      <c r="A583" s="695" t="s">
        <v>545</v>
      </c>
      <c r="B583" s="696" t="s">
        <v>4540</v>
      </c>
      <c r="C583" s="696" t="s">
        <v>4103</v>
      </c>
      <c r="D583" s="696" t="s">
        <v>4803</v>
      </c>
      <c r="E583" s="696" t="s">
        <v>4804</v>
      </c>
      <c r="F583" s="711">
        <v>3</v>
      </c>
      <c r="G583" s="711">
        <v>4842</v>
      </c>
      <c r="H583" s="711">
        <v>1</v>
      </c>
      <c r="I583" s="711">
        <v>1614</v>
      </c>
      <c r="J583" s="711"/>
      <c r="K583" s="711"/>
      <c r="L583" s="711"/>
      <c r="M583" s="711"/>
      <c r="N583" s="711"/>
      <c r="O583" s="711"/>
      <c r="P583" s="701"/>
      <c r="Q583" s="712"/>
    </row>
    <row r="584" spans="1:17" ht="14.4" customHeight="1" x14ac:dyDescent="0.3">
      <c r="A584" s="695" t="s">
        <v>545</v>
      </c>
      <c r="B584" s="696" t="s">
        <v>4540</v>
      </c>
      <c r="C584" s="696" t="s">
        <v>4103</v>
      </c>
      <c r="D584" s="696" t="s">
        <v>4805</v>
      </c>
      <c r="E584" s="696" t="s">
        <v>4078</v>
      </c>
      <c r="F584" s="711">
        <v>3</v>
      </c>
      <c r="G584" s="711">
        <v>210</v>
      </c>
      <c r="H584" s="711">
        <v>1</v>
      </c>
      <c r="I584" s="711">
        <v>70</v>
      </c>
      <c r="J584" s="711">
        <v>1</v>
      </c>
      <c r="K584" s="711">
        <v>70</v>
      </c>
      <c r="L584" s="711">
        <v>0.33333333333333331</v>
      </c>
      <c r="M584" s="711">
        <v>70</v>
      </c>
      <c r="N584" s="711"/>
      <c r="O584" s="711"/>
      <c r="P584" s="701"/>
      <c r="Q584" s="712"/>
    </row>
    <row r="585" spans="1:17" ht="14.4" customHeight="1" x14ac:dyDescent="0.3">
      <c r="A585" s="695" t="s">
        <v>545</v>
      </c>
      <c r="B585" s="696" t="s">
        <v>4540</v>
      </c>
      <c r="C585" s="696" t="s">
        <v>4103</v>
      </c>
      <c r="D585" s="696" t="s">
        <v>4806</v>
      </c>
      <c r="E585" s="696" t="s">
        <v>4078</v>
      </c>
      <c r="F585" s="711">
        <v>3</v>
      </c>
      <c r="G585" s="711">
        <v>441</v>
      </c>
      <c r="H585" s="711">
        <v>1</v>
      </c>
      <c r="I585" s="711">
        <v>147</v>
      </c>
      <c r="J585" s="711"/>
      <c r="K585" s="711"/>
      <c r="L585" s="711"/>
      <c r="M585" s="711"/>
      <c r="N585" s="711"/>
      <c r="O585" s="711"/>
      <c r="P585" s="701"/>
      <c r="Q585" s="712"/>
    </row>
    <row r="586" spans="1:17" ht="14.4" customHeight="1" x14ac:dyDescent="0.3">
      <c r="A586" s="695" t="s">
        <v>545</v>
      </c>
      <c r="B586" s="696" t="s">
        <v>4540</v>
      </c>
      <c r="C586" s="696" t="s">
        <v>4103</v>
      </c>
      <c r="D586" s="696" t="s">
        <v>4807</v>
      </c>
      <c r="E586" s="696" t="s">
        <v>4078</v>
      </c>
      <c r="F586" s="711">
        <v>1</v>
      </c>
      <c r="G586" s="711">
        <v>149</v>
      </c>
      <c r="H586" s="711">
        <v>1</v>
      </c>
      <c r="I586" s="711">
        <v>149</v>
      </c>
      <c r="J586" s="711"/>
      <c r="K586" s="711"/>
      <c r="L586" s="711"/>
      <c r="M586" s="711"/>
      <c r="N586" s="711"/>
      <c r="O586" s="711"/>
      <c r="P586" s="701"/>
      <c r="Q586" s="712"/>
    </row>
    <row r="587" spans="1:17" ht="14.4" customHeight="1" x14ac:dyDescent="0.3">
      <c r="A587" s="695" t="s">
        <v>545</v>
      </c>
      <c r="B587" s="696" t="s">
        <v>4540</v>
      </c>
      <c r="C587" s="696" t="s">
        <v>4103</v>
      </c>
      <c r="D587" s="696" t="s">
        <v>4808</v>
      </c>
      <c r="E587" s="696" t="s">
        <v>4809</v>
      </c>
      <c r="F587" s="711">
        <v>3</v>
      </c>
      <c r="G587" s="711">
        <v>9834.06</v>
      </c>
      <c r="H587" s="711">
        <v>1</v>
      </c>
      <c r="I587" s="711">
        <v>3278.02</v>
      </c>
      <c r="J587" s="711"/>
      <c r="K587" s="711"/>
      <c r="L587" s="711"/>
      <c r="M587" s="711"/>
      <c r="N587" s="711"/>
      <c r="O587" s="711"/>
      <c r="P587" s="701"/>
      <c r="Q587" s="712"/>
    </row>
    <row r="588" spans="1:17" ht="14.4" customHeight="1" x14ac:dyDescent="0.3">
      <c r="A588" s="695" t="s">
        <v>545</v>
      </c>
      <c r="B588" s="696" t="s">
        <v>4540</v>
      </c>
      <c r="C588" s="696" t="s">
        <v>4103</v>
      </c>
      <c r="D588" s="696" t="s">
        <v>4810</v>
      </c>
      <c r="E588" s="696" t="s">
        <v>4811</v>
      </c>
      <c r="F588" s="711"/>
      <c r="G588" s="711"/>
      <c r="H588" s="711"/>
      <c r="I588" s="711"/>
      <c r="J588" s="711"/>
      <c r="K588" s="711"/>
      <c r="L588" s="711"/>
      <c r="M588" s="711"/>
      <c r="N588" s="711">
        <v>1</v>
      </c>
      <c r="O588" s="711">
        <v>11384.45</v>
      </c>
      <c r="P588" s="701"/>
      <c r="Q588" s="712">
        <v>11384.45</v>
      </c>
    </row>
    <row r="589" spans="1:17" ht="14.4" customHeight="1" x14ac:dyDescent="0.3">
      <c r="A589" s="695" t="s">
        <v>545</v>
      </c>
      <c r="B589" s="696" t="s">
        <v>4540</v>
      </c>
      <c r="C589" s="696" t="s">
        <v>4103</v>
      </c>
      <c r="D589" s="696" t="s">
        <v>4812</v>
      </c>
      <c r="E589" s="696" t="s">
        <v>4811</v>
      </c>
      <c r="F589" s="711">
        <v>1</v>
      </c>
      <c r="G589" s="711">
        <v>10320.11</v>
      </c>
      <c r="H589" s="711">
        <v>1</v>
      </c>
      <c r="I589" s="711">
        <v>10320.11</v>
      </c>
      <c r="J589" s="711"/>
      <c r="K589" s="711"/>
      <c r="L589" s="711"/>
      <c r="M589" s="711"/>
      <c r="N589" s="711"/>
      <c r="O589" s="711"/>
      <c r="P589" s="701"/>
      <c r="Q589" s="712"/>
    </row>
    <row r="590" spans="1:17" ht="14.4" customHeight="1" x14ac:dyDescent="0.3">
      <c r="A590" s="695" t="s">
        <v>545</v>
      </c>
      <c r="B590" s="696" t="s">
        <v>4540</v>
      </c>
      <c r="C590" s="696" t="s">
        <v>4103</v>
      </c>
      <c r="D590" s="696" t="s">
        <v>4813</v>
      </c>
      <c r="E590" s="696" t="s">
        <v>4814</v>
      </c>
      <c r="F590" s="711">
        <v>1</v>
      </c>
      <c r="G590" s="711">
        <v>6277.47</v>
      </c>
      <c r="H590" s="711">
        <v>1</v>
      </c>
      <c r="I590" s="711">
        <v>6277.47</v>
      </c>
      <c r="J590" s="711"/>
      <c r="K590" s="711"/>
      <c r="L590" s="711"/>
      <c r="M590" s="711"/>
      <c r="N590" s="711"/>
      <c r="O590" s="711"/>
      <c r="P590" s="701"/>
      <c r="Q590" s="712"/>
    </row>
    <row r="591" spans="1:17" ht="14.4" customHeight="1" x14ac:dyDescent="0.3">
      <c r="A591" s="695" t="s">
        <v>545</v>
      </c>
      <c r="B591" s="696" t="s">
        <v>4540</v>
      </c>
      <c r="C591" s="696" t="s">
        <v>4103</v>
      </c>
      <c r="D591" s="696" t="s">
        <v>4815</v>
      </c>
      <c r="E591" s="696" t="s">
        <v>4816</v>
      </c>
      <c r="F591" s="711"/>
      <c r="G591" s="711"/>
      <c r="H591" s="711"/>
      <c r="I591" s="711"/>
      <c r="J591" s="711">
        <v>1</v>
      </c>
      <c r="K591" s="711">
        <v>15980.73</v>
      </c>
      <c r="L591" s="711"/>
      <c r="M591" s="711">
        <v>15980.73</v>
      </c>
      <c r="N591" s="711"/>
      <c r="O591" s="711"/>
      <c r="P591" s="701"/>
      <c r="Q591" s="712"/>
    </row>
    <row r="592" spans="1:17" ht="14.4" customHeight="1" x14ac:dyDescent="0.3">
      <c r="A592" s="695" t="s">
        <v>545</v>
      </c>
      <c r="B592" s="696" t="s">
        <v>4540</v>
      </c>
      <c r="C592" s="696" t="s">
        <v>4103</v>
      </c>
      <c r="D592" s="696" t="s">
        <v>4817</v>
      </c>
      <c r="E592" s="696" t="s">
        <v>4816</v>
      </c>
      <c r="F592" s="711"/>
      <c r="G592" s="711"/>
      <c r="H592" s="711"/>
      <c r="I592" s="711"/>
      <c r="J592" s="711">
        <v>4</v>
      </c>
      <c r="K592" s="711">
        <v>3283.2</v>
      </c>
      <c r="L592" s="711"/>
      <c r="M592" s="711">
        <v>820.8</v>
      </c>
      <c r="N592" s="711"/>
      <c r="O592" s="711"/>
      <c r="P592" s="701"/>
      <c r="Q592" s="712"/>
    </row>
    <row r="593" spans="1:17" ht="14.4" customHeight="1" x14ac:dyDescent="0.3">
      <c r="A593" s="695" t="s">
        <v>545</v>
      </c>
      <c r="B593" s="696" t="s">
        <v>4540</v>
      </c>
      <c r="C593" s="696" t="s">
        <v>4103</v>
      </c>
      <c r="D593" s="696" t="s">
        <v>4818</v>
      </c>
      <c r="E593" s="696" t="s">
        <v>4816</v>
      </c>
      <c r="F593" s="711"/>
      <c r="G593" s="711"/>
      <c r="H593" s="711"/>
      <c r="I593" s="711"/>
      <c r="J593" s="711">
        <v>2</v>
      </c>
      <c r="K593" s="711">
        <v>13630.26</v>
      </c>
      <c r="L593" s="711"/>
      <c r="M593" s="711">
        <v>6815.13</v>
      </c>
      <c r="N593" s="711"/>
      <c r="O593" s="711"/>
      <c r="P593" s="701"/>
      <c r="Q593" s="712"/>
    </row>
    <row r="594" spans="1:17" ht="14.4" customHeight="1" x14ac:dyDescent="0.3">
      <c r="A594" s="695" t="s">
        <v>545</v>
      </c>
      <c r="B594" s="696" t="s">
        <v>4540</v>
      </c>
      <c r="C594" s="696" t="s">
        <v>4103</v>
      </c>
      <c r="D594" s="696" t="s">
        <v>4819</v>
      </c>
      <c r="E594" s="696" t="s">
        <v>4820</v>
      </c>
      <c r="F594" s="711">
        <v>1</v>
      </c>
      <c r="G594" s="711">
        <v>11338</v>
      </c>
      <c r="H594" s="711">
        <v>1</v>
      </c>
      <c r="I594" s="711">
        <v>11338</v>
      </c>
      <c r="J594" s="711"/>
      <c r="K594" s="711"/>
      <c r="L594" s="711"/>
      <c r="M594" s="711"/>
      <c r="N594" s="711"/>
      <c r="O594" s="711"/>
      <c r="P594" s="701"/>
      <c r="Q594" s="712"/>
    </row>
    <row r="595" spans="1:17" ht="14.4" customHeight="1" x14ac:dyDescent="0.3">
      <c r="A595" s="695" t="s">
        <v>545</v>
      </c>
      <c r="B595" s="696" t="s">
        <v>4540</v>
      </c>
      <c r="C595" s="696" t="s">
        <v>4103</v>
      </c>
      <c r="D595" s="696" t="s">
        <v>4821</v>
      </c>
      <c r="E595" s="696" t="s">
        <v>4822</v>
      </c>
      <c r="F595" s="711">
        <v>1</v>
      </c>
      <c r="G595" s="711">
        <v>4608</v>
      </c>
      <c r="H595" s="711">
        <v>1</v>
      </c>
      <c r="I595" s="711">
        <v>4608</v>
      </c>
      <c r="J595" s="711"/>
      <c r="K595" s="711"/>
      <c r="L595" s="711"/>
      <c r="M595" s="711"/>
      <c r="N595" s="711"/>
      <c r="O595" s="711"/>
      <c r="P595" s="701"/>
      <c r="Q595" s="712"/>
    </row>
    <row r="596" spans="1:17" ht="14.4" customHeight="1" x14ac:dyDescent="0.3">
      <c r="A596" s="695" t="s">
        <v>545</v>
      </c>
      <c r="B596" s="696" t="s">
        <v>4540</v>
      </c>
      <c r="C596" s="696" t="s">
        <v>4103</v>
      </c>
      <c r="D596" s="696" t="s">
        <v>4823</v>
      </c>
      <c r="E596" s="696" t="s">
        <v>4824</v>
      </c>
      <c r="F596" s="711">
        <v>1</v>
      </c>
      <c r="G596" s="711">
        <v>6187.2</v>
      </c>
      <c r="H596" s="711">
        <v>1</v>
      </c>
      <c r="I596" s="711">
        <v>6187.2</v>
      </c>
      <c r="J596" s="711"/>
      <c r="K596" s="711"/>
      <c r="L596" s="711"/>
      <c r="M596" s="711"/>
      <c r="N596" s="711"/>
      <c r="O596" s="711"/>
      <c r="P596" s="701"/>
      <c r="Q596" s="712"/>
    </row>
    <row r="597" spans="1:17" ht="14.4" customHeight="1" x14ac:dyDescent="0.3">
      <c r="A597" s="695" t="s">
        <v>545</v>
      </c>
      <c r="B597" s="696" t="s">
        <v>4540</v>
      </c>
      <c r="C597" s="696" t="s">
        <v>4103</v>
      </c>
      <c r="D597" s="696" t="s">
        <v>4825</v>
      </c>
      <c r="E597" s="696" t="s">
        <v>4826</v>
      </c>
      <c r="F597" s="711">
        <v>6</v>
      </c>
      <c r="G597" s="711">
        <v>3541.2</v>
      </c>
      <c r="H597" s="711">
        <v>1</v>
      </c>
      <c r="I597" s="711">
        <v>590.19999999999993</v>
      </c>
      <c r="J597" s="711"/>
      <c r="K597" s="711"/>
      <c r="L597" s="711"/>
      <c r="M597" s="711"/>
      <c r="N597" s="711"/>
      <c r="O597" s="711"/>
      <c r="P597" s="701"/>
      <c r="Q597" s="712"/>
    </row>
    <row r="598" spans="1:17" ht="14.4" customHeight="1" x14ac:dyDescent="0.3">
      <c r="A598" s="695" t="s">
        <v>545</v>
      </c>
      <c r="B598" s="696" t="s">
        <v>4540</v>
      </c>
      <c r="C598" s="696" t="s">
        <v>4103</v>
      </c>
      <c r="D598" s="696" t="s">
        <v>4827</v>
      </c>
      <c r="E598" s="696" t="s">
        <v>4828</v>
      </c>
      <c r="F598" s="711">
        <v>6</v>
      </c>
      <c r="G598" s="711">
        <v>7524</v>
      </c>
      <c r="H598" s="711">
        <v>1</v>
      </c>
      <c r="I598" s="711">
        <v>1254</v>
      </c>
      <c r="J598" s="711"/>
      <c r="K598" s="711"/>
      <c r="L598" s="711"/>
      <c r="M598" s="711"/>
      <c r="N598" s="711"/>
      <c r="O598" s="711"/>
      <c r="P598" s="701"/>
      <c r="Q598" s="712"/>
    </row>
    <row r="599" spans="1:17" ht="14.4" customHeight="1" x14ac:dyDescent="0.3">
      <c r="A599" s="695" t="s">
        <v>545</v>
      </c>
      <c r="B599" s="696" t="s">
        <v>4540</v>
      </c>
      <c r="C599" s="696" t="s">
        <v>4103</v>
      </c>
      <c r="D599" s="696" t="s">
        <v>4829</v>
      </c>
      <c r="E599" s="696" t="s">
        <v>4830</v>
      </c>
      <c r="F599" s="711">
        <v>1</v>
      </c>
      <c r="G599" s="711">
        <v>6901.15</v>
      </c>
      <c r="H599" s="711">
        <v>1</v>
      </c>
      <c r="I599" s="711">
        <v>6901.15</v>
      </c>
      <c r="J599" s="711"/>
      <c r="K599" s="711"/>
      <c r="L599" s="711"/>
      <c r="M599" s="711"/>
      <c r="N599" s="711"/>
      <c r="O599" s="711"/>
      <c r="P599" s="701"/>
      <c r="Q599" s="712"/>
    </row>
    <row r="600" spans="1:17" ht="14.4" customHeight="1" x14ac:dyDescent="0.3">
      <c r="A600" s="695" t="s">
        <v>545</v>
      </c>
      <c r="B600" s="696" t="s">
        <v>4540</v>
      </c>
      <c r="C600" s="696" t="s">
        <v>4103</v>
      </c>
      <c r="D600" s="696" t="s">
        <v>4831</v>
      </c>
      <c r="E600" s="696" t="s">
        <v>4832</v>
      </c>
      <c r="F600" s="711"/>
      <c r="G600" s="711"/>
      <c r="H600" s="711"/>
      <c r="I600" s="711"/>
      <c r="J600" s="711">
        <v>4</v>
      </c>
      <c r="K600" s="711">
        <v>50827.4</v>
      </c>
      <c r="L600" s="711"/>
      <c r="M600" s="711">
        <v>12706.85</v>
      </c>
      <c r="N600" s="711"/>
      <c r="O600" s="711"/>
      <c r="P600" s="701"/>
      <c r="Q600" s="712"/>
    </row>
    <row r="601" spans="1:17" ht="14.4" customHeight="1" x14ac:dyDescent="0.3">
      <c r="A601" s="695" t="s">
        <v>545</v>
      </c>
      <c r="B601" s="696" t="s">
        <v>4540</v>
      </c>
      <c r="C601" s="696" t="s">
        <v>4103</v>
      </c>
      <c r="D601" s="696" t="s">
        <v>4833</v>
      </c>
      <c r="E601" s="696" t="s">
        <v>4832</v>
      </c>
      <c r="F601" s="711"/>
      <c r="G601" s="711"/>
      <c r="H601" s="711"/>
      <c r="I601" s="711"/>
      <c r="J601" s="711">
        <v>2</v>
      </c>
      <c r="K601" s="711">
        <v>18391.3</v>
      </c>
      <c r="L601" s="711"/>
      <c r="M601" s="711">
        <v>9195.65</v>
      </c>
      <c r="N601" s="711"/>
      <c r="O601" s="711"/>
      <c r="P601" s="701"/>
      <c r="Q601" s="712"/>
    </row>
    <row r="602" spans="1:17" ht="14.4" customHeight="1" x14ac:dyDescent="0.3">
      <c r="A602" s="695" t="s">
        <v>545</v>
      </c>
      <c r="B602" s="696" t="s">
        <v>4540</v>
      </c>
      <c r="C602" s="696" t="s">
        <v>4103</v>
      </c>
      <c r="D602" s="696" t="s">
        <v>4834</v>
      </c>
      <c r="E602" s="696" t="s">
        <v>4835</v>
      </c>
      <c r="F602" s="711"/>
      <c r="G602" s="711"/>
      <c r="H602" s="711"/>
      <c r="I602" s="711"/>
      <c r="J602" s="711">
        <v>53</v>
      </c>
      <c r="K602" s="711">
        <v>44326.55</v>
      </c>
      <c r="L602" s="711"/>
      <c r="M602" s="711">
        <v>836.35</v>
      </c>
      <c r="N602" s="711"/>
      <c r="O602" s="711"/>
      <c r="P602" s="701"/>
      <c r="Q602" s="712"/>
    </row>
    <row r="603" spans="1:17" ht="14.4" customHeight="1" x14ac:dyDescent="0.3">
      <c r="A603" s="695" t="s">
        <v>545</v>
      </c>
      <c r="B603" s="696" t="s">
        <v>4540</v>
      </c>
      <c r="C603" s="696" t="s">
        <v>4103</v>
      </c>
      <c r="D603" s="696" t="s">
        <v>4836</v>
      </c>
      <c r="E603" s="696" t="s">
        <v>4837</v>
      </c>
      <c r="F603" s="711">
        <v>1</v>
      </c>
      <c r="G603" s="711">
        <v>8669.48</v>
      </c>
      <c r="H603" s="711">
        <v>1</v>
      </c>
      <c r="I603" s="711">
        <v>8669.48</v>
      </c>
      <c r="J603" s="711"/>
      <c r="K603" s="711"/>
      <c r="L603" s="711"/>
      <c r="M603" s="711"/>
      <c r="N603" s="711"/>
      <c r="O603" s="711"/>
      <c r="P603" s="701"/>
      <c r="Q603" s="712"/>
    </row>
    <row r="604" spans="1:17" ht="14.4" customHeight="1" x14ac:dyDescent="0.3">
      <c r="A604" s="695" t="s">
        <v>545</v>
      </c>
      <c r="B604" s="696" t="s">
        <v>4540</v>
      </c>
      <c r="C604" s="696" t="s">
        <v>4103</v>
      </c>
      <c r="D604" s="696" t="s">
        <v>4838</v>
      </c>
      <c r="E604" s="696" t="s">
        <v>4726</v>
      </c>
      <c r="F604" s="711">
        <v>5</v>
      </c>
      <c r="G604" s="711">
        <v>86646</v>
      </c>
      <c r="H604" s="711">
        <v>1</v>
      </c>
      <c r="I604" s="711">
        <v>17329.2</v>
      </c>
      <c r="J604" s="711">
        <v>1</v>
      </c>
      <c r="K604" s="711">
        <v>17329.2</v>
      </c>
      <c r="L604" s="711">
        <v>0.2</v>
      </c>
      <c r="M604" s="711">
        <v>17329.2</v>
      </c>
      <c r="N604" s="711">
        <v>1</v>
      </c>
      <c r="O604" s="711">
        <v>17329.2</v>
      </c>
      <c r="P604" s="701">
        <v>0.2</v>
      </c>
      <c r="Q604" s="712">
        <v>17329.2</v>
      </c>
    </row>
    <row r="605" spans="1:17" ht="14.4" customHeight="1" x14ac:dyDescent="0.3">
      <c r="A605" s="695" t="s">
        <v>545</v>
      </c>
      <c r="B605" s="696" t="s">
        <v>4540</v>
      </c>
      <c r="C605" s="696" t="s">
        <v>4103</v>
      </c>
      <c r="D605" s="696" t="s">
        <v>4839</v>
      </c>
      <c r="E605" s="696" t="s">
        <v>4840</v>
      </c>
      <c r="F605" s="711">
        <v>26</v>
      </c>
      <c r="G605" s="711">
        <v>4068.74</v>
      </c>
      <c r="H605" s="711">
        <v>1</v>
      </c>
      <c r="I605" s="711">
        <v>156.48999999999998</v>
      </c>
      <c r="J605" s="711"/>
      <c r="K605" s="711"/>
      <c r="L605" s="711"/>
      <c r="M605" s="711"/>
      <c r="N605" s="711"/>
      <c r="O605" s="711"/>
      <c r="P605" s="701"/>
      <c r="Q605" s="712"/>
    </row>
    <row r="606" spans="1:17" ht="14.4" customHeight="1" x14ac:dyDescent="0.3">
      <c r="A606" s="695" t="s">
        <v>545</v>
      </c>
      <c r="B606" s="696" t="s">
        <v>4540</v>
      </c>
      <c r="C606" s="696" t="s">
        <v>4103</v>
      </c>
      <c r="D606" s="696" t="s">
        <v>4841</v>
      </c>
      <c r="E606" s="696" t="s">
        <v>4840</v>
      </c>
      <c r="F606" s="711">
        <v>19</v>
      </c>
      <c r="G606" s="711">
        <v>3268.76</v>
      </c>
      <c r="H606" s="711">
        <v>1</v>
      </c>
      <c r="I606" s="711">
        <v>172.04000000000002</v>
      </c>
      <c r="J606" s="711"/>
      <c r="K606" s="711"/>
      <c r="L606" s="711"/>
      <c r="M606" s="711"/>
      <c r="N606" s="711"/>
      <c r="O606" s="711"/>
      <c r="P606" s="701"/>
      <c r="Q606" s="712"/>
    </row>
    <row r="607" spans="1:17" ht="14.4" customHeight="1" x14ac:dyDescent="0.3">
      <c r="A607" s="695" t="s">
        <v>545</v>
      </c>
      <c r="B607" s="696" t="s">
        <v>4540</v>
      </c>
      <c r="C607" s="696" t="s">
        <v>4103</v>
      </c>
      <c r="D607" s="696" t="s">
        <v>4842</v>
      </c>
      <c r="E607" s="696" t="s">
        <v>4840</v>
      </c>
      <c r="F607" s="711">
        <v>6</v>
      </c>
      <c r="G607" s="711">
        <v>1181.46</v>
      </c>
      <c r="H607" s="711">
        <v>1</v>
      </c>
      <c r="I607" s="711">
        <v>196.91</v>
      </c>
      <c r="J607" s="711"/>
      <c r="K607" s="711"/>
      <c r="L607" s="711"/>
      <c r="M607" s="711"/>
      <c r="N607" s="711">
        <v>1</v>
      </c>
      <c r="O607" s="711">
        <v>196.91</v>
      </c>
      <c r="P607" s="701">
        <v>0.16666666666666666</v>
      </c>
      <c r="Q607" s="712">
        <v>196.91</v>
      </c>
    </row>
    <row r="608" spans="1:17" ht="14.4" customHeight="1" x14ac:dyDescent="0.3">
      <c r="A608" s="695" t="s">
        <v>545</v>
      </c>
      <c r="B608" s="696" t="s">
        <v>4540</v>
      </c>
      <c r="C608" s="696" t="s">
        <v>4103</v>
      </c>
      <c r="D608" s="696" t="s">
        <v>4843</v>
      </c>
      <c r="E608" s="696" t="s">
        <v>4840</v>
      </c>
      <c r="F608" s="711">
        <v>2</v>
      </c>
      <c r="G608" s="711">
        <v>625.96</v>
      </c>
      <c r="H608" s="711">
        <v>1</v>
      </c>
      <c r="I608" s="711">
        <v>312.98</v>
      </c>
      <c r="J608" s="711"/>
      <c r="K608" s="711"/>
      <c r="L608" s="711"/>
      <c r="M608" s="711"/>
      <c r="N608" s="711"/>
      <c r="O608" s="711"/>
      <c r="P608" s="701"/>
      <c r="Q608" s="712"/>
    </row>
    <row r="609" spans="1:17" ht="14.4" customHeight="1" x14ac:dyDescent="0.3">
      <c r="A609" s="695" t="s">
        <v>545</v>
      </c>
      <c r="B609" s="696" t="s">
        <v>4540</v>
      </c>
      <c r="C609" s="696" t="s">
        <v>4103</v>
      </c>
      <c r="D609" s="696" t="s">
        <v>4844</v>
      </c>
      <c r="E609" s="696" t="s">
        <v>4840</v>
      </c>
      <c r="F609" s="711">
        <v>1</v>
      </c>
      <c r="G609" s="711">
        <v>375.16</v>
      </c>
      <c r="H609" s="711">
        <v>1</v>
      </c>
      <c r="I609" s="711">
        <v>375.16</v>
      </c>
      <c r="J609" s="711"/>
      <c r="K609" s="711"/>
      <c r="L609" s="711"/>
      <c r="M609" s="711"/>
      <c r="N609" s="711"/>
      <c r="O609" s="711"/>
      <c r="P609" s="701"/>
      <c r="Q609" s="712"/>
    </row>
    <row r="610" spans="1:17" ht="14.4" customHeight="1" x14ac:dyDescent="0.3">
      <c r="A610" s="695" t="s">
        <v>545</v>
      </c>
      <c r="B610" s="696" t="s">
        <v>4540</v>
      </c>
      <c r="C610" s="696" t="s">
        <v>4103</v>
      </c>
      <c r="D610" s="696" t="s">
        <v>4845</v>
      </c>
      <c r="E610" s="696" t="s">
        <v>4840</v>
      </c>
      <c r="F610" s="711">
        <v>1</v>
      </c>
      <c r="G610" s="711">
        <v>536.84</v>
      </c>
      <c r="H610" s="711">
        <v>1</v>
      </c>
      <c r="I610" s="711">
        <v>536.84</v>
      </c>
      <c r="J610" s="711"/>
      <c r="K610" s="711"/>
      <c r="L610" s="711"/>
      <c r="M610" s="711"/>
      <c r="N610" s="711"/>
      <c r="O610" s="711"/>
      <c r="P610" s="701"/>
      <c r="Q610" s="712"/>
    </row>
    <row r="611" spans="1:17" ht="14.4" customHeight="1" x14ac:dyDescent="0.3">
      <c r="A611" s="695" t="s">
        <v>545</v>
      </c>
      <c r="B611" s="696" t="s">
        <v>4540</v>
      </c>
      <c r="C611" s="696" t="s">
        <v>4103</v>
      </c>
      <c r="D611" s="696" t="s">
        <v>4846</v>
      </c>
      <c r="E611" s="696" t="s">
        <v>4840</v>
      </c>
      <c r="F611" s="711">
        <v>2</v>
      </c>
      <c r="G611" s="711">
        <v>835.3</v>
      </c>
      <c r="H611" s="711">
        <v>1</v>
      </c>
      <c r="I611" s="711">
        <v>417.65</v>
      </c>
      <c r="J611" s="711"/>
      <c r="K611" s="711"/>
      <c r="L611" s="711"/>
      <c r="M611" s="711"/>
      <c r="N611" s="711"/>
      <c r="O611" s="711"/>
      <c r="P611" s="701"/>
      <c r="Q611" s="712"/>
    </row>
    <row r="612" spans="1:17" ht="14.4" customHeight="1" x14ac:dyDescent="0.3">
      <c r="A612" s="695" t="s">
        <v>545</v>
      </c>
      <c r="B612" s="696" t="s">
        <v>4540</v>
      </c>
      <c r="C612" s="696" t="s">
        <v>4103</v>
      </c>
      <c r="D612" s="696" t="s">
        <v>4847</v>
      </c>
      <c r="E612" s="696" t="s">
        <v>4840</v>
      </c>
      <c r="F612" s="711">
        <v>2</v>
      </c>
      <c r="G612" s="711">
        <v>1038.44</v>
      </c>
      <c r="H612" s="711">
        <v>1</v>
      </c>
      <c r="I612" s="711">
        <v>519.22</v>
      </c>
      <c r="J612" s="711"/>
      <c r="K612" s="711"/>
      <c r="L612" s="711"/>
      <c r="M612" s="711"/>
      <c r="N612" s="711"/>
      <c r="O612" s="711"/>
      <c r="P612" s="701"/>
      <c r="Q612" s="712"/>
    </row>
    <row r="613" spans="1:17" ht="14.4" customHeight="1" x14ac:dyDescent="0.3">
      <c r="A613" s="695" t="s">
        <v>545</v>
      </c>
      <c r="B613" s="696" t="s">
        <v>4540</v>
      </c>
      <c r="C613" s="696" t="s">
        <v>4103</v>
      </c>
      <c r="D613" s="696" t="s">
        <v>4848</v>
      </c>
      <c r="E613" s="696" t="s">
        <v>4673</v>
      </c>
      <c r="F613" s="711">
        <v>3</v>
      </c>
      <c r="G613" s="711">
        <v>2813.73</v>
      </c>
      <c r="H613" s="711">
        <v>1</v>
      </c>
      <c r="I613" s="711">
        <v>937.91</v>
      </c>
      <c r="J613" s="711"/>
      <c r="K613" s="711"/>
      <c r="L613" s="711"/>
      <c r="M613" s="711"/>
      <c r="N613" s="711"/>
      <c r="O613" s="711"/>
      <c r="P613" s="701"/>
      <c r="Q613" s="712"/>
    </row>
    <row r="614" spans="1:17" ht="14.4" customHeight="1" x14ac:dyDescent="0.3">
      <c r="A614" s="695" t="s">
        <v>545</v>
      </c>
      <c r="B614" s="696" t="s">
        <v>4540</v>
      </c>
      <c r="C614" s="696" t="s">
        <v>4103</v>
      </c>
      <c r="D614" s="696" t="s">
        <v>4849</v>
      </c>
      <c r="E614" s="696" t="s">
        <v>4850</v>
      </c>
      <c r="F614" s="711">
        <v>1</v>
      </c>
      <c r="G614" s="711">
        <v>5486</v>
      </c>
      <c r="H614" s="711">
        <v>1</v>
      </c>
      <c r="I614" s="711">
        <v>5486</v>
      </c>
      <c r="J614" s="711"/>
      <c r="K614" s="711"/>
      <c r="L614" s="711"/>
      <c r="M614" s="711"/>
      <c r="N614" s="711"/>
      <c r="O614" s="711"/>
      <c r="P614" s="701"/>
      <c r="Q614" s="712"/>
    </row>
    <row r="615" spans="1:17" ht="14.4" customHeight="1" x14ac:dyDescent="0.3">
      <c r="A615" s="695" t="s">
        <v>545</v>
      </c>
      <c r="B615" s="696" t="s">
        <v>4540</v>
      </c>
      <c r="C615" s="696" t="s">
        <v>4103</v>
      </c>
      <c r="D615" s="696" t="s">
        <v>4851</v>
      </c>
      <c r="E615" s="696" t="s">
        <v>4852</v>
      </c>
      <c r="F615" s="711">
        <v>1</v>
      </c>
      <c r="G615" s="711">
        <v>23608.2</v>
      </c>
      <c r="H615" s="711">
        <v>1</v>
      </c>
      <c r="I615" s="711">
        <v>23608.2</v>
      </c>
      <c r="J615" s="711"/>
      <c r="K615" s="711"/>
      <c r="L615" s="711"/>
      <c r="M615" s="711"/>
      <c r="N615" s="711"/>
      <c r="O615" s="711"/>
      <c r="P615" s="701"/>
      <c r="Q615" s="712"/>
    </row>
    <row r="616" spans="1:17" ht="14.4" customHeight="1" x14ac:dyDescent="0.3">
      <c r="A616" s="695" t="s">
        <v>545</v>
      </c>
      <c r="B616" s="696" t="s">
        <v>4540</v>
      </c>
      <c r="C616" s="696" t="s">
        <v>4103</v>
      </c>
      <c r="D616" s="696" t="s">
        <v>4853</v>
      </c>
      <c r="E616" s="696" t="s">
        <v>4854</v>
      </c>
      <c r="F616" s="711"/>
      <c r="G616" s="711"/>
      <c r="H616" s="711"/>
      <c r="I616" s="711"/>
      <c r="J616" s="711">
        <v>2</v>
      </c>
      <c r="K616" s="711">
        <v>14538.8</v>
      </c>
      <c r="L616" s="711"/>
      <c r="M616" s="711">
        <v>7269.4</v>
      </c>
      <c r="N616" s="711"/>
      <c r="O616" s="711"/>
      <c r="P616" s="701"/>
      <c r="Q616" s="712"/>
    </row>
    <row r="617" spans="1:17" ht="14.4" customHeight="1" x14ac:dyDescent="0.3">
      <c r="A617" s="695" t="s">
        <v>545</v>
      </c>
      <c r="B617" s="696" t="s">
        <v>4540</v>
      </c>
      <c r="C617" s="696" t="s">
        <v>4114</v>
      </c>
      <c r="D617" s="696" t="s">
        <v>4855</v>
      </c>
      <c r="E617" s="696" t="s">
        <v>4856</v>
      </c>
      <c r="F617" s="711">
        <v>186</v>
      </c>
      <c r="G617" s="711">
        <v>5944680</v>
      </c>
      <c r="H617" s="711">
        <v>1</v>
      </c>
      <c r="I617" s="711">
        <v>31960.645161290322</v>
      </c>
      <c r="J617" s="711">
        <v>143</v>
      </c>
      <c r="K617" s="711">
        <v>4571114</v>
      </c>
      <c r="L617" s="711">
        <v>0.76894197837394107</v>
      </c>
      <c r="M617" s="711">
        <v>31965.832167832166</v>
      </c>
      <c r="N617" s="711">
        <v>176</v>
      </c>
      <c r="O617" s="711">
        <v>5626016</v>
      </c>
      <c r="P617" s="701">
        <v>0.94639509611955563</v>
      </c>
      <c r="Q617" s="712">
        <v>31966</v>
      </c>
    </row>
    <row r="618" spans="1:17" ht="14.4" customHeight="1" x14ac:dyDescent="0.3">
      <c r="A618" s="695" t="s">
        <v>545</v>
      </c>
      <c r="B618" s="696" t="s">
        <v>4540</v>
      </c>
      <c r="C618" s="696" t="s">
        <v>4114</v>
      </c>
      <c r="D618" s="696" t="s">
        <v>4857</v>
      </c>
      <c r="E618" s="696" t="s">
        <v>4858</v>
      </c>
      <c r="F618" s="711">
        <v>51</v>
      </c>
      <c r="G618" s="711">
        <v>606461</v>
      </c>
      <c r="H618" s="711">
        <v>1</v>
      </c>
      <c r="I618" s="711">
        <v>11891.392156862745</v>
      </c>
      <c r="J618" s="711">
        <v>40</v>
      </c>
      <c r="K618" s="711">
        <v>475874</v>
      </c>
      <c r="L618" s="711">
        <v>0.78467370531658265</v>
      </c>
      <c r="M618" s="711">
        <v>11896.85</v>
      </c>
      <c r="N618" s="711">
        <v>60</v>
      </c>
      <c r="O618" s="711">
        <v>713820</v>
      </c>
      <c r="P618" s="701">
        <v>1.1770253981706986</v>
      </c>
      <c r="Q618" s="712">
        <v>11897</v>
      </c>
    </row>
    <row r="619" spans="1:17" ht="14.4" customHeight="1" x14ac:dyDescent="0.3">
      <c r="A619" s="695" t="s">
        <v>545</v>
      </c>
      <c r="B619" s="696" t="s">
        <v>4540</v>
      </c>
      <c r="C619" s="696" t="s">
        <v>4114</v>
      </c>
      <c r="D619" s="696" t="s">
        <v>4859</v>
      </c>
      <c r="E619" s="696" t="s">
        <v>4860</v>
      </c>
      <c r="F619" s="711"/>
      <c r="G619" s="711"/>
      <c r="H619" s="711"/>
      <c r="I619" s="711"/>
      <c r="J619" s="711"/>
      <c r="K619" s="711"/>
      <c r="L619" s="711"/>
      <c r="M619" s="711"/>
      <c r="N619" s="711">
        <v>2</v>
      </c>
      <c r="O619" s="711">
        <v>4588</v>
      </c>
      <c r="P619" s="701"/>
      <c r="Q619" s="712">
        <v>2294</v>
      </c>
    </row>
    <row r="620" spans="1:17" ht="14.4" customHeight="1" x14ac:dyDescent="0.3">
      <c r="A620" s="695" t="s">
        <v>545</v>
      </c>
      <c r="B620" s="696" t="s">
        <v>4540</v>
      </c>
      <c r="C620" s="696" t="s">
        <v>4114</v>
      </c>
      <c r="D620" s="696" t="s">
        <v>4288</v>
      </c>
      <c r="E620" s="696" t="s">
        <v>4289</v>
      </c>
      <c r="F620" s="711">
        <v>24</v>
      </c>
      <c r="G620" s="711">
        <v>19196</v>
      </c>
      <c r="H620" s="711">
        <v>1</v>
      </c>
      <c r="I620" s="711">
        <v>799.83333333333337</v>
      </c>
      <c r="J620" s="711">
        <v>17</v>
      </c>
      <c r="K620" s="711">
        <v>13702</v>
      </c>
      <c r="L620" s="711">
        <v>0.71379454052927693</v>
      </c>
      <c r="M620" s="711">
        <v>806</v>
      </c>
      <c r="N620" s="711">
        <v>24</v>
      </c>
      <c r="O620" s="711">
        <v>19434</v>
      </c>
      <c r="P620" s="701">
        <v>1.0123984163367368</v>
      </c>
      <c r="Q620" s="712">
        <v>809.75</v>
      </c>
    </row>
    <row r="621" spans="1:17" ht="14.4" customHeight="1" x14ac:dyDescent="0.3">
      <c r="A621" s="695" t="s">
        <v>545</v>
      </c>
      <c r="B621" s="696" t="s">
        <v>4540</v>
      </c>
      <c r="C621" s="696" t="s">
        <v>4114</v>
      </c>
      <c r="D621" s="696" t="s">
        <v>4127</v>
      </c>
      <c r="E621" s="696" t="s">
        <v>4128</v>
      </c>
      <c r="F621" s="711">
        <v>181</v>
      </c>
      <c r="G621" s="711">
        <v>41811</v>
      </c>
      <c r="H621" s="711">
        <v>1</v>
      </c>
      <c r="I621" s="711">
        <v>231</v>
      </c>
      <c r="J621" s="711">
        <v>184</v>
      </c>
      <c r="K621" s="711">
        <v>42686</v>
      </c>
      <c r="L621" s="711">
        <v>1.0209275071153525</v>
      </c>
      <c r="M621" s="711">
        <v>231.9891304347826</v>
      </c>
      <c r="N621" s="711">
        <v>145</v>
      </c>
      <c r="O621" s="711">
        <v>33770</v>
      </c>
      <c r="P621" s="701">
        <v>0.80768218889765853</v>
      </c>
      <c r="Q621" s="712">
        <v>232.89655172413794</v>
      </c>
    </row>
    <row r="622" spans="1:17" ht="14.4" customHeight="1" x14ac:dyDescent="0.3">
      <c r="A622" s="695" t="s">
        <v>545</v>
      </c>
      <c r="B622" s="696" t="s">
        <v>4540</v>
      </c>
      <c r="C622" s="696" t="s">
        <v>4114</v>
      </c>
      <c r="D622" s="696" t="s">
        <v>4861</v>
      </c>
      <c r="E622" s="696" t="s">
        <v>4862</v>
      </c>
      <c r="F622" s="711">
        <v>114</v>
      </c>
      <c r="G622" s="711">
        <v>1062480</v>
      </c>
      <c r="H622" s="711">
        <v>1</v>
      </c>
      <c r="I622" s="711">
        <v>9320</v>
      </c>
      <c r="J622" s="711">
        <v>46</v>
      </c>
      <c r="K622" s="711">
        <v>428720</v>
      </c>
      <c r="L622" s="711">
        <v>0.40350877192982454</v>
      </c>
      <c r="M622" s="711">
        <v>9320</v>
      </c>
      <c r="N622" s="711">
        <v>61</v>
      </c>
      <c r="O622" s="711">
        <v>568520</v>
      </c>
      <c r="P622" s="701">
        <v>0.53508771929824561</v>
      </c>
      <c r="Q622" s="712">
        <v>9320</v>
      </c>
    </row>
    <row r="623" spans="1:17" ht="14.4" customHeight="1" x14ac:dyDescent="0.3">
      <c r="A623" s="695" t="s">
        <v>545</v>
      </c>
      <c r="B623" s="696" t="s">
        <v>4540</v>
      </c>
      <c r="C623" s="696" t="s">
        <v>4114</v>
      </c>
      <c r="D623" s="696" t="s">
        <v>4863</v>
      </c>
      <c r="E623" s="696" t="s">
        <v>4864</v>
      </c>
      <c r="F623" s="711">
        <v>0</v>
      </c>
      <c r="G623" s="711">
        <v>0</v>
      </c>
      <c r="H623" s="711"/>
      <c r="I623" s="711"/>
      <c r="J623" s="711">
        <v>0</v>
      </c>
      <c r="K623" s="711">
        <v>0</v>
      </c>
      <c r="L623" s="711"/>
      <c r="M623" s="711"/>
      <c r="N623" s="711">
        <v>0</v>
      </c>
      <c r="O623" s="711">
        <v>0</v>
      </c>
      <c r="P623" s="701"/>
      <c r="Q623" s="712"/>
    </row>
    <row r="624" spans="1:17" ht="14.4" customHeight="1" x14ac:dyDescent="0.3">
      <c r="A624" s="695" t="s">
        <v>545</v>
      </c>
      <c r="B624" s="696" t="s">
        <v>4540</v>
      </c>
      <c r="C624" s="696" t="s">
        <v>4114</v>
      </c>
      <c r="D624" s="696" t="s">
        <v>4865</v>
      </c>
      <c r="E624" s="696" t="s">
        <v>4866</v>
      </c>
      <c r="F624" s="711">
        <v>192</v>
      </c>
      <c r="G624" s="711">
        <v>0</v>
      </c>
      <c r="H624" s="711"/>
      <c r="I624" s="711">
        <v>0</v>
      </c>
      <c r="J624" s="711">
        <v>176</v>
      </c>
      <c r="K624" s="711">
        <v>0</v>
      </c>
      <c r="L624" s="711"/>
      <c r="M624" s="711">
        <v>0</v>
      </c>
      <c r="N624" s="711">
        <v>173</v>
      </c>
      <c r="O624" s="711">
        <v>0</v>
      </c>
      <c r="P624" s="701"/>
      <c r="Q624" s="712">
        <v>0</v>
      </c>
    </row>
    <row r="625" spans="1:17" ht="14.4" customHeight="1" x14ac:dyDescent="0.3">
      <c r="A625" s="695" t="s">
        <v>545</v>
      </c>
      <c r="B625" s="696" t="s">
        <v>4540</v>
      </c>
      <c r="C625" s="696" t="s">
        <v>4114</v>
      </c>
      <c r="D625" s="696" t="s">
        <v>4151</v>
      </c>
      <c r="E625" s="696" t="s">
        <v>4152</v>
      </c>
      <c r="F625" s="711">
        <v>1</v>
      </c>
      <c r="G625" s="711">
        <v>0</v>
      </c>
      <c r="H625" s="711"/>
      <c r="I625" s="711">
        <v>0</v>
      </c>
      <c r="J625" s="711"/>
      <c r="K625" s="711"/>
      <c r="L625" s="711"/>
      <c r="M625" s="711"/>
      <c r="N625" s="711"/>
      <c r="O625" s="711"/>
      <c r="P625" s="701"/>
      <c r="Q625" s="712"/>
    </row>
    <row r="626" spans="1:17" ht="14.4" customHeight="1" x14ac:dyDescent="0.3">
      <c r="A626" s="695" t="s">
        <v>545</v>
      </c>
      <c r="B626" s="696" t="s">
        <v>4540</v>
      </c>
      <c r="C626" s="696" t="s">
        <v>4114</v>
      </c>
      <c r="D626" s="696" t="s">
        <v>4867</v>
      </c>
      <c r="E626" s="696" t="s">
        <v>4868</v>
      </c>
      <c r="F626" s="711">
        <v>28</v>
      </c>
      <c r="G626" s="711">
        <v>0</v>
      </c>
      <c r="H626" s="711"/>
      <c r="I626" s="711">
        <v>0</v>
      </c>
      <c r="J626" s="711">
        <v>47</v>
      </c>
      <c r="K626" s="711">
        <v>0</v>
      </c>
      <c r="L626" s="711"/>
      <c r="M626" s="711">
        <v>0</v>
      </c>
      <c r="N626" s="711">
        <v>36</v>
      </c>
      <c r="O626" s="711">
        <v>0</v>
      </c>
      <c r="P626" s="701"/>
      <c r="Q626" s="712">
        <v>0</v>
      </c>
    </row>
    <row r="627" spans="1:17" ht="14.4" customHeight="1" x14ac:dyDescent="0.3">
      <c r="A627" s="695" t="s">
        <v>545</v>
      </c>
      <c r="B627" s="696" t="s">
        <v>4540</v>
      </c>
      <c r="C627" s="696" t="s">
        <v>4114</v>
      </c>
      <c r="D627" s="696" t="s">
        <v>4869</v>
      </c>
      <c r="E627" s="696" t="s">
        <v>4870</v>
      </c>
      <c r="F627" s="711">
        <v>68</v>
      </c>
      <c r="G627" s="711">
        <v>0</v>
      </c>
      <c r="H627" s="711"/>
      <c r="I627" s="711">
        <v>0</v>
      </c>
      <c r="J627" s="711">
        <v>59</v>
      </c>
      <c r="K627" s="711">
        <v>0</v>
      </c>
      <c r="L627" s="711"/>
      <c r="M627" s="711">
        <v>0</v>
      </c>
      <c r="N627" s="711">
        <v>42</v>
      </c>
      <c r="O627" s="711">
        <v>0</v>
      </c>
      <c r="P627" s="701"/>
      <c r="Q627" s="712">
        <v>0</v>
      </c>
    </row>
    <row r="628" spans="1:17" ht="14.4" customHeight="1" x14ac:dyDescent="0.3">
      <c r="A628" s="695" t="s">
        <v>545</v>
      </c>
      <c r="B628" s="696" t="s">
        <v>4540</v>
      </c>
      <c r="C628" s="696" t="s">
        <v>4114</v>
      </c>
      <c r="D628" s="696" t="s">
        <v>4871</v>
      </c>
      <c r="E628" s="696" t="s">
        <v>4872</v>
      </c>
      <c r="F628" s="711">
        <v>1</v>
      </c>
      <c r="G628" s="711">
        <v>0</v>
      </c>
      <c r="H628" s="711"/>
      <c r="I628" s="711">
        <v>0</v>
      </c>
      <c r="J628" s="711">
        <v>1</v>
      </c>
      <c r="K628" s="711">
        <v>0</v>
      </c>
      <c r="L628" s="711"/>
      <c r="M628" s="711">
        <v>0</v>
      </c>
      <c r="N628" s="711">
        <v>6</v>
      </c>
      <c r="O628" s="711">
        <v>0</v>
      </c>
      <c r="P628" s="701"/>
      <c r="Q628" s="712">
        <v>0</v>
      </c>
    </row>
    <row r="629" spans="1:17" ht="14.4" customHeight="1" x14ac:dyDescent="0.3">
      <c r="A629" s="695" t="s">
        <v>545</v>
      </c>
      <c r="B629" s="696" t="s">
        <v>4540</v>
      </c>
      <c r="C629" s="696" t="s">
        <v>4114</v>
      </c>
      <c r="D629" s="696" t="s">
        <v>4873</v>
      </c>
      <c r="E629" s="696" t="s">
        <v>4870</v>
      </c>
      <c r="F629" s="711">
        <v>1</v>
      </c>
      <c r="G629" s="711">
        <v>0</v>
      </c>
      <c r="H629" s="711"/>
      <c r="I629" s="711">
        <v>0</v>
      </c>
      <c r="J629" s="711"/>
      <c r="K629" s="711"/>
      <c r="L629" s="711"/>
      <c r="M629" s="711"/>
      <c r="N629" s="711"/>
      <c r="O629" s="711"/>
      <c r="P629" s="701"/>
      <c r="Q629" s="712"/>
    </row>
    <row r="630" spans="1:17" ht="14.4" customHeight="1" x14ac:dyDescent="0.3">
      <c r="A630" s="695" t="s">
        <v>545</v>
      </c>
      <c r="B630" s="696" t="s">
        <v>4540</v>
      </c>
      <c r="C630" s="696" t="s">
        <v>4114</v>
      </c>
      <c r="D630" s="696" t="s">
        <v>4247</v>
      </c>
      <c r="E630" s="696" t="s">
        <v>4248</v>
      </c>
      <c r="F630" s="711">
        <v>604</v>
      </c>
      <c r="G630" s="711">
        <v>0</v>
      </c>
      <c r="H630" s="711"/>
      <c r="I630" s="711">
        <v>0</v>
      </c>
      <c r="J630" s="711">
        <v>567</v>
      </c>
      <c r="K630" s="711">
        <v>0</v>
      </c>
      <c r="L630" s="711"/>
      <c r="M630" s="711">
        <v>0</v>
      </c>
      <c r="N630" s="711"/>
      <c r="O630" s="711"/>
      <c r="P630" s="701"/>
      <c r="Q630" s="712"/>
    </row>
    <row r="631" spans="1:17" ht="14.4" customHeight="1" x14ac:dyDescent="0.3">
      <c r="A631" s="695" t="s">
        <v>545</v>
      </c>
      <c r="B631" s="696" t="s">
        <v>4540</v>
      </c>
      <c r="C631" s="696" t="s">
        <v>4114</v>
      </c>
      <c r="D631" s="696" t="s">
        <v>4874</v>
      </c>
      <c r="E631" s="696" t="s">
        <v>4870</v>
      </c>
      <c r="F631" s="711">
        <v>47</v>
      </c>
      <c r="G631" s="711">
        <v>0</v>
      </c>
      <c r="H631" s="711"/>
      <c r="I631" s="711">
        <v>0</v>
      </c>
      <c r="J631" s="711">
        <v>41</v>
      </c>
      <c r="K631" s="711">
        <v>0</v>
      </c>
      <c r="L631" s="711"/>
      <c r="M631" s="711">
        <v>0</v>
      </c>
      <c r="N631" s="711">
        <v>47</v>
      </c>
      <c r="O631" s="711">
        <v>0</v>
      </c>
      <c r="P631" s="701"/>
      <c r="Q631" s="712">
        <v>0</v>
      </c>
    </row>
    <row r="632" spans="1:17" ht="14.4" customHeight="1" x14ac:dyDescent="0.3">
      <c r="A632" s="695" t="s">
        <v>545</v>
      </c>
      <c r="B632" s="696" t="s">
        <v>4540</v>
      </c>
      <c r="C632" s="696" t="s">
        <v>4114</v>
      </c>
      <c r="D632" s="696" t="s">
        <v>4875</v>
      </c>
      <c r="E632" s="696" t="s">
        <v>4876</v>
      </c>
      <c r="F632" s="711">
        <v>1</v>
      </c>
      <c r="G632" s="711">
        <v>0</v>
      </c>
      <c r="H632" s="711"/>
      <c r="I632" s="711">
        <v>0</v>
      </c>
      <c r="J632" s="711"/>
      <c r="K632" s="711"/>
      <c r="L632" s="711"/>
      <c r="M632" s="711"/>
      <c r="N632" s="711"/>
      <c r="O632" s="711"/>
      <c r="P632" s="701"/>
      <c r="Q632" s="712"/>
    </row>
    <row r="633" spans="1:17" ht="14.4" customHeight="1" x14ac:dyDescent="0.3">
      <c r="A633" s="695" t="s">
        <v>545</v>
      </c>
      <c r="B633" s="696" t="s">
        <v>4540</v>
      </c>
      <c r="C633" s="696" t="s">
        <v>4114</v>
      </c>
      <c r="D633" s="696" t="s">
        <v>4877</v>
      </c>
      <c r="E633" s="696" t="s">
        <v>4878</v>
      </c>
      <c r="F633" s="711">
        <v>274</v>
      </c>
      <c r="G633" s="711">
        <v>6564960</v>
      </c>
      <c r="H633" s="711">
        <v>1</v>
      </c>
      <c r="I633" s="711">
        <v>23959.708029197081</v>
      </c>
      <c r="J633" s="711">
        <v>403</v>
      </c>
      <c r="K633" s="711">
        <v>9658174</v>
      </c>
      <c r="L633" s="711">
        <v>1.4711702736954986</v>
      </c>
      <c r="M633" s="711">
        <v>23965.692307692309</v>
      </c>
      <c r="N633" s="711">
        <v>320</v>
      </c>
      <c r="O633" s="711">
        <v>7669120</v>
      </c>
      <c r="P633" s="701">
        <v>1.168189905193634</v>
      </c>
      <c r="Q633" s="712">
        <v>23966</v>
      </c>
    </row>
    <row r="634" spans="1:17" ht="14.4" customHeight="1" x14ac:dyDescent="0.3">
      <c r="A634" s="695" t="s">
        <v>545</v>
      </c>
      <c r="B634" s="696" t="s">
        <v>4540</v>
      </c>
      <c r="C634" s="696" t="s">
        <v>4114</v>
      </c>
      <c r="D634" s="696" t="s">
        <v>4879</v>
      </c>
      <c r="E634" s="696" t="s">
        <v>4880</v>
      </c>
      <c r="F634" s="711">
        <v>1</v>
      </c>
      <c r="G634" s="711">
        <v>6666</v>
      </c>
      <c r="H634" s="711">
        <v>1</v>
      </c>
      <c r="I634" s="711">
        <v>6666</v>
      </c>
      <c r="J634" s="711">
        <v>14</v>
      </c>
      <c r="K634" s="711">
        <v>93446</v>
      </c>
      <c r="L634" s="711">
        <v>14.018301830183018</v>
      </c>
      <c r="M634" s="711">
        <v>6674.7142857142853</v>
      </c>
      <c r="N634" s="711">
        <v>3</v>
      </c>
      <c r="O634" s="711">
        <v>20028</v>
      </c>
      <c r="P634" s="701">
        <v>3.0045004500450045</v>
      </c>
      <c r="Q634" s="712">
        <v>6676</v>
      </c>
    </row>
    <row r="635" spans="1:17" ht="14.4" customHeight="1" x14ac:dyDescent="0.3">
      <c r="A635" s="695" t="s">
        <v>545</v>
      </c>
      <c r="B635" s="696" t="s">
        <v>4540</v>
      </c>
      <c r="C635" s="696" t="s">
        <v>4114</v>
      </c>
      <c r="D635" s="696" t="s">
        <v>4881</v>
      </c>
      <c r="E635" s="696" t="s">
        <v>4870</v>
      </c>
      <c r="F635" s="711">
        <v>18</v>
      </c>
      <c r="G635" s="711">
        <v>0</v>
      </c>
      <c r="H635" s="711"/>
      <c r="I635" s="711">
        <v>0</v>
      </c>
      <c r="J635" s="711">
        <v>21</v>
      </c>
      <c r="K635" s="711">
        <v>0</v>
      </c>
      <c r="L635" s="711"/>
      <c r="M635" s="711">
        <v>0</v>
      </c>
      <c r="N635" s="711">
        <v>25</v>
      </c>
      <c r="O635" s="711">
        <v>0</v>
      </c>
      <c r="P635" s="701"/>
      <c r="Q635" s="712">
        <v>0</v>
      </c>
    </row>
    <row r="636" spans="1:17" ht="14.4" customHeight="1" x14ac:dyDescent="0.3">
      <c r="A636" s="695" t="s">
        <v>545</v>
      </c>
      <c r="B636" s="696" t="s">
        <v>4540</v>
      </c>
      <c r="C636" s="696" t="s">
        <v>4114</v>
      </c>
      <c r="D636" s="696" t="s">
        <v>4882</v>
      </c>
      <c r="E636" s="696" t="s">
        <v>4883</v>
      </c>
      <c r="F636" s="711">
        <v>490</v>
      </c>
      <c r="G636" s="711">
        <v>13700120</v>
      </c>
      <c r="H636" s="711">
        <v>1</v>
      </c>
      <c r="I636" s="711">
        <v>27959.428571428572</v>
      </c>
      <c r="J636" s="711">
        <v>513</v>
      </c>
      <c r="K636" s="711">
        <v>14346376</v>
      </c>
      <c r="L636" s="711">
        <v>1.0471715576213931</v>
      </c>
      <c r="M636" s="711">
        <v>27965.645224171541</v>
      </c>
      <c r="N636" s="711">
        <v>566</v>
      </c>
      <c r="O636" s="711">
        <v>15828756</v>
      </c>
      <c r="P636" s="701">
        <v>1.1553735295749235</v>
      </c>
      <c r="Q636" s="712">
        <v>27966</v>
      </c>
    </row>
    <row r="637" spans="1:17" ht="14.4" customHeight="1" x14ac:dyDescent="0.3">
      <c r="A637" s="695" t="s">
        <v>545</v>
      </c>
      <c r="B637" s="696" t="s">
        <v>4540</v>
      </c>
      <c r="C637" s="696" t="s">
        <v>4114</v>
      </c>
      <c r="D637" s="696" t="s">
        <v>4344</v>
      </c>
      <c r="E637" s="696" t="s">
        <v>4345</v>
      </c>
      <c r="F637" s="711">
        <v>1</v>
      </c>
      <c r="G637" s="711">
        <v>14860</v>
      </c>
      <c r="H637" s="711">
        <v>1</v>
      </c>
      <c r="I637" s="711">
        <v>14860</v>
      </c>
      <c r="J637" s="711"/>
      <c r="K637" s="711"/>
      <c r="L637" s="711"/>
      <c r="M637" s="711"/>
      <c r="N637" s="711"/>
      <c r="O637" s="711"/>
      <c r="P637" s="701"/>
      <c r="Q637" s="712"/>
    </row>
    <row r="638" spans="1:17" ht="14.4" customHeight="1" x14ac:dyDescent="0.3">
      <c r="A638" s="695" t="s">
        <v>545</v>
      </c>
      <c r="B638" s="696" t="s">
        <v>4540</v>
      </c>
      <c r="C638" s="696" t="s">
        <v>4114</v>
      </c>
      <c r="D638" s="696" t="s">
        <v>4884</v>
      </c>
      <c r="E638" s="696" t="s">
        <v>4885</v>
      </c>
      <c r="F638" s="711">
        <v>37</v>
      </c>
      <c r="G638" s="711">
        <v>34373</v>
      </c>
      <c r="H638" s="711">
        <v>1</v>
      </c>
      <c r="I638" s="711">
        <v>929</v>
      </c>
      <c r="J638" s="711">
        <v>21</v>
      </c>
      <c r="K638" s="711">
        <v>23310</v>
      </c>
      <c r="L638" s="711">
        <v>0.67814854682454251</v>
      </c>
      <c r="M638" s="711">
        <v>1110</v>
      </c>
      <c r="N638" s="711">
        <v>46</v>
      </c>
      <c r="O638" s="711">
        <v>51340</v>
      </c>
      <c r="P638" s="701">
        <v>1.4936141739155733</v>
      </c>
      <c r="Q638" s="712">
        <v>1116.0869565217392</v>
      </c>
    </row>
    <row r="639" spans="1:17" ht="14.4" customHeight="1" x14ac:dyDescent="0.3">
      <c r="A639" s="695" t="s">
        <v>545</v>
      </c>
      <c r="B639" s="696" t="s">
        <v>4540</v>
      </c>
      <c r="C639" s="696" t="s">
        <v>4114</v>
      </c>
      <c r="D639" s="696" t="s">
        <v>4886</v>
      </c>
      <c r="E639" s="696" t="s">
        <v>4887</v>
      </c>
      <c r="F639" s="711">
        <v>16</v>
      </c>
      <c r="G639" s="711">
        <v>0</v>
      </c>
      <c r="H639" s="711"/>
      <c r="I639" s="711">
        <v>0</v>
      </c>
      <c r="J639" s="711">
        <v>11</v>
      </c>
      <c r="K639" s="711">
        <v>0</v>
      </c>
      <c r="L639" s="711"/>
      <c r="M639" s="711">
        <v>0</v>
      </c>
      <c r="N639" s="711">
        <v>15</v>
      </c>
      <c r="O639" s="711">
        <v>0</v>
      </c>
      <c r="P639" s="701"/>
      <c r="Q639" s="712">
        <v>0</v>
      </c>
    </row>
    <row r="640" spans="1:17" ht="14.4" customHeight="1" x14ac:dyDescent="0.3">
      <c r="A640" s="695" t="s">
        <v>545</v>
      </c>
      <c r="B640" s="696" t="s">
        <v>4540</v>
      </c>
      <c r="C640" s="696" t="s">
        <v>4114</v>
      </c>
      <c r="D640" s="696" t="s">
        <v>4888</v>
      </c>
      <c r="E640" s="696" t="s">
        <v>4889</v>
      </c>
      <c r="F640" s="711">
        <v>151</v>
      </c>
      <c r="G640" s="711">
        <v>51635</v>
      </c>
      <c r="H640" s="711">
        <v>1</v>
      </c>
      <c r="I640" s="711">
        <v>341.95364238410593</v>
      </c>
      <c r="J640" s="711">
        <v>151</v>
      </c>
      <c r="K640" s="711">
        <v>51932</v>
      </c>
      <c r="L640" s="711">
        <v>1.005751912462477</v>
      </c>
      <c r="M640" s="711">
        <v>343.92052980132451</v>
      </c>
      <c r="N640" s="711">
        <v>129</v>
      </c>
      <c r="O640" s="711">
        <v>44616</v>
      </c>
      <c r="P640" s="701">
        <v>0.8640650721409896</v>
      </c>
      <c r="Q640" s="712">
        <v>345.86046511627904</v>
      </c>
    </row>
    <row r="641" spans="1:17" ht="14.4" customHeight="1" x14ac:dyDescent="0.3">
      <c r="A641" s="695" t="s">
        <v>545</v>
      </c>
      <c r="B641" s="696" t="s">
        <v>4540</v>
      </c>
      <c r="C641" s="696" t="s">
        <v>4114</v>
      </c>
      <c r="D641" s="696" t="s">
        <v>4245</v>
      </c>
      <c r="E641" s="696" t="s">
        <v>4241</v>
      </c>
      <c r="F641" s="711">
        <v>6</v>
      </c>
      <c r="G641" s="711">
        <v>3624</v>
      </c>
      <c r="H641" s="711">
        <v>1</v>
      </c>
      <c r="I641" s="711">
        <v>604</v>
      </c>
      <c r="J641" s="711">
        <v>11</v>
      </c>
      <c r="K641" s="711">
        <v>6666</v>
      </c>
      <c r="L641" s="711">
        <v>1.8394039735099337</v>
      </c>
      <c r="M641" s="711">
        <v>606</v>
      </c>
      <c r="N641" s="711">
        <v>9</v>
      </c>
      <c r="O641" s="711">
        <v>5474</v>
      </c>
      <c r="P641" s="701">
        <v>1.510485651214128</v>
      </c>
      <c r="Q641" s="712">
        <v>608.22222222222217</v>
      </c>
    </row>
    <row r="642" spans="1:17" ht="14.4" customHeight="1" x14ac:dyDescent="0.3">
      <c r="A642" s="695" t="s">
        <v>545</v>
      </c>
      <c r="B642" s="696" t="s">
        <v>4540</v>
      </c>
      <c r="C642" s="696" t="s">
        <v>4114</v>
      </c>
      <c r="D642" s="696" t="s">
        <v>4240</v>
      </c>
      <c r="E642" s="696" t="s">
        <v>4241</v>
      </c>
      <c r="F642" s="711">
        <v>2</v>
      </c>
      <c r="G642" s="711">
        <v>1036</v>
      </c>
      <c r="H642" s="711">
        <v>1</v>
      </c>
      <c r="I642" s="711">
        <v>518</v>
      </c>
      <c r="J642" s="711"/>
      <c r="K642" s="711"/>
      <c r="L642" s="711"/>
      <c r="M642" s="711"/>
      <c r="N642" s="711">
        <v>1</v>
      </c>
      <c r="O642" s="711">
        <v>524</v>
      </c>
      <c r="P642" s="701">
        <v>0.50579150579150578</v>
      </c>
      <c r="Q642" s="712">
        <v>524</v>
      </c>
    </row>
    <row r="643" spans="1:17" ht="14.4" customHeight="1" x14ac:dyDescent="0.3">
      <c r="A643" s="695" t="s">
        <v>545</v>
      </c>
      <c r="B643" s="696" t="s">
        <v>4540</v>
      </c>
      <c r="C643" s="696" t="s">
        <v>4114</v>
      </c>
      <c r="D643" s="696" t="s">
        <v>4890</v>
      </c>
      <c r="E643" s="696" t="s">
        <v>4870</v>
      </c>
      <c r="F643" s="711">
        <v>2</v>
      </c>
      <c r="G643" s="711">
        <v>0</v>
      </c>
      <c r="H643" s="711"/>
      <c r="I643" s="711">
        <v>0</v>
      </c>
      <c r="J643" s="711">
        <v>5</v>
      </c>
      <c r="K643" s="711">
        <v>0</v>
      </c>
      <c r="L643" s="711"/>
      <c r="M643" s="711">
        <v>0</v>
      </c>
      <c r="N643" s="711">
        <v>5</v>
      </c>
      <c r="O643" s="711">
        <v>0</v>
      </c>
      <c r="P643" s="701"/>
      <c r="Q643" s="712">
        <v>0</v>
      </c>
    </row>
    <row r="644" spans="1:17" ht="14.4" customHeight="1" x14ac:dyDescent="0.3">
      <c r="A644" s="695" t="s">
        <v>545</v>
      </c>
      <c r="B644" s="696" t="s">
        <v>4891</v>
      </c>
      <c r="C644" s="696" t="s">
        <v>4114</v>
      </c>
      <c r="D644" s="696" t="s">
        <v>4155</v>
      </c>
      <c r="E644" s="696" t="s">
        <v>4156</v>
      </c>
      <c r="F644" s="711"/>
      <c r="G644" s="711"/>
      <c r="H644" s="711"/>
      <c r="I644" s="711"/>
      <c r="J644" s="711">
        <v>1</v>
      </c>
      <c r="K644" s="711">
        <v>742</v>
      </c>
      <c r="L644" s="711"/>
      <c r="M644" s="711">
        <v>742</v>
      </c>
      <c r="N644" s="711"/>
      <c r="O644" s="711"/>
      <c r="P644" s="701"/>
      <c r="Q644" s="712"/>
    </row>
    <row r="645" spans="1:17" ht="14.4" customHeight="1" x14ac:dyDescent="0.3">
      <c r="A645" s="695" t="s">
        <v>4892</v>
      </c>
      <c r="B645" s="696" t="s">
        <v>4082</v>
      </c>
      <c r="C645" s="696" t="s">
        <v>4103</v>
      </c>
      <c r="D645" s="696" t="s">
        <v>4228</v>
      </c>
      <c r="E645" s="696" t="s">
        <v>4229</v>
      </c>
      <c r="F645" s="711"/>
      <c r="G645" s="711"/>
      <c r="H645" s="711"/>
      <c r="I645" s="711"/>
      <c r="J645" s="711">
        <v>45</v>
      </c>
      <c r="K645" s="711">
        <v>40713.75</v>
      </c>
      <c r="L645" s="711"/>
      <c r="M645" s="711">
        <v>904.75</v>
      </c>
      <c r="N645" s="711">
        <v>153</v>
      </c>
      <c r="O645" s="711">
        <v>138426.75</v>
      </c>
      <c r="P645" s="701"/>
      <c r="Q645" s="712">
        <v>904.75</v>
      </c>
    </row>
    <row r="646" spans="1:17" ht="14.4" customHeight="1" x14ac:dyDescent="0.3">
      <c r="A646" s="695" t="s">
        <v>4892</v>
      </c>
      <c r="B646" s="696" t="s">
        <v>4082</v>
      </c>
      <c r="C646" s="696" t="s">
        <v>4114</v>
      </c>
      <c r="D646" s="696" t="s">
        <v>4230</v>
      </c>
      <c r="E646" s="696" t="s">
        <v>4231</v>
      </c>
      <c r="F646" s="711">
        <v>6</v>
      </c>
      <c r="G646" s="711">
        <v>1110</v>
      </c>
      <c r="H646" s="711">
        <v>1</v>
      </c>
      <c r="I646" s="711">
        <v>185</v>
      </c>
      <c r="J646" s="711">
        <v>1</v>
      </c>
      <c r="K646" s="711">
        <v>185</v>
      </c>
      <c r="L646" s="711">
        <v>0.16666666666666666</v>
      </c>
      <c r="M646" s="711">
        <v>185</v>
      </c>
      <c r="N646" s="711"/>
      <c r="O646" s="711"/>
      <c r="P646" s="701"/>
      <c r="Q646" s="712"/>
    </row>
    <row r="647" spans="1:17" ht="14.4" customHeight="1" x14ac:dyDescent="0.3">
      <c r="A647" s="695" t="s">
        <v>4892</v>
      </c>
      <c r="B647" s="696" t="s">
        <v>4082</v>
      </c>
      <c r="C647" s="696" t="s">
        <v>4114</v>
      </c>
      <c r="D647" s="696" t="s">
        <v>4125</v>
      </c>
      <c r="E647" s="696" t="s">
        <v>4078</v>
      </c>
      <c r="F647" s="711">
        <v>37</v>
      </c>
      <c r="G647" s="711">
        <v>5772</v>
      </c>
      <c r="H647" s="711">
        <v>1</v>
      </c>
      <c r="I647" s="711">
        <v>156</v>
      </c>
      <c r="J647" s="711"/>
      <c r="K647" s="711"/>
      <c r="L647" s="711"/>
      <c r="M647" s="711"/>
      <c r="N647" s="711"/>
      <c r="O647" s="711"/>
      <c r="P647" s="701"/>
      <c r="Q647" s="712"/>
    </row>
    <row r="648" spans="1:17" ht="14.4" customHeight="1" x14ac:dyDescent="0.3">
      <c r="A648" s="695" t="s">
        <v>4892</v>
      </c>
      <c r="B648" s="696" t="s">
        <v>4082</v>
      </c>
      <c r="C648" s="696" t="s">
        <v>4114</v>
      </c>
      <c r="D648" s="696" t="s">
        <v>4126</v>
      </c>
      <c r="E648" s="696" t="s">
        <v>4078</v>
      </c>
      <c r="F648" s="711">
        <v>59</v>
      </c>
      <c r="G648" s="711">
        <v>4602</v>
      </c>
      <c r="H648" s="711">
        <v>1</v>
      </c>
      <c r="I648" s="711">
        <v>78</v>
      </c>
      <c r="J648" s="711"/>
      <c r="K648" s="711"/>
      <c r="L648" s="711"/>
      <c r="M648" s="711"/>
      <c r="N648" s="711"/>
      <c r="O648" s="711"/>
      <c r="P648" s="701"/>
      <c r="Q648" s="712"/>
    </row>
    <row r="649" spans="1:17" ht="14.4" customHeight="1" x14ac:dyDescent="0.3">
      <c r="A649" s="695" t="s">
        <v>4892</v>
      </c>
      <c r="B649" s="696" t="s">
        <v>4082</v>
      </c>
      <c r="C649" s="696" t="s">
        <v>4114</v>
      </c>
      <c r="D649" s="696" t="s">
        <v>4127</v>
      </c>
      <c r="E649" s="696" t="s">
        <v>4128</v>
      </c>
      <c r="F649" s="711">
        <v>1211</v>
      </c>
      <c r="G649" s="711">
        <v>279741</v>
      </c>
      <c r="H649" s="711">
        <v>1</v>
      </c>
      <c r="I649" s="711">
        <v>231</v>
      </c>
      <c r="J649" s="711">
        <v>1082</v>
      </c>
      <c r="K649" s="711">
        <v>251024</v>
      </c>
      <c r="L649" s="711">
        <v>0.89734432921881313</v>
      </c>
      <c r="M649" s="711">
        <v>232</v>
      </c>
      <c r="N649" s="711">
        <v>1379</v>
      </c>
      <c r="O649" s="711">
        <v>321106</v>
      </c>
      <c r="P649" s="701">
        <v>1.1478689216096318</v>
      </c>
      <c r="Q649" s="712">
        <v>232.85424220449602</v>
      </c>
    </row>
    <row r="650" spans="1:17" ht="14.4" customHeight="1" x14ac:dyDescent="0.3">
      <c r="A650" s="695" t="s">
        <v>4892</v>
      </c>
      <c r="B650" s="696" t="s">
        <v>4082</v>
      </c>
      <c r="C650" s="696" t="s">
        <v>4114</v>
      </c>
      <c r="D650" s="696" t="s">
        <v>4129</v>
      </c>
      <c r="E650" s="696" t="s">
        <v>4130</v>
      </c>
      <c r="F650" s="711">
        <v>529</v>
      </c>
      <c r="G650" s="711">
        <v>61364</v>
      </c>
      <c r="H650" s="711">
        <v>1</v>
      </c>
      <c r="I650" s="711">
        <v>116</v>
      </c>
      <c r="J650" s="711">
        <v>741</v>
      </c>
      <c r="K650" s="711">
        <v>85956</v>
      </c>
      <c r="L650" s="711">
        <v>1.4007561436672968</v>
      </c>
      <c r="M650" s="711">
        <v>116</v>
      </c>
      <c r="N650" s="711">
        <v>738</v>
      </c>
      <c r="O650" s="711">
        <v>86208</v>
      </c>
      <c r="P650" s="701">
        <v>1.4048627859983052</v>
      </c>
      <c r="Q650" s="712">
        <v>116.8130081300813</v>
      </c>
    </row>
    <row r="651" spans="1:17" ht="14.4" customHeight="1" x14ac:dyDescent="0.3">
      <c r="A651" s="695" t="s">
        <v>4892</v>
      </c>
      <c r="B651" s="696" t="s">
        <v>4082</v>
      </c>
      <c r="C651" s="696" t="s">
        <v>4114</v>
      </c>
      <c r="D651" s="696" t="s">
        <v>4131</v>
      </c>
      <c r="E651" s="696" t="s">
        <v>4132</v>
      </c>
      <c r="F651" s="711">
        <v>2</v>
      </c>
      <c r="G651" s="711">
        <v>638</v>
      </c>
      <c r="H651" s="711">
        <v>1</v>
      </c>
      <c r="I651" s="711">
        <v>319</v>
      </c>
      <c r="J651" s="711">
        <v>1</v>
      </c>
      <c r="K651" s="711">
        <v>320</v>
      </c>
      <c r="L651" s="711">
        <v>0.50156739811912221</v>
      </c>
      <c r="M651" s="711">
        <v>320</v>
      </c>
      <c r="N651" s="711"/>
      <c r="O651" s="711"/>
      <c r="P651" s="701"/>
      <c r="Q651" s="712"/>
    </row>
    <row r="652" spans="1:17" ht="14.4" customHeight="1" x14ac:dyDescent="0.3">
      <c r="A652" s="695" t="s">
        <v>4892</v>
      </c>
      <c r="B652" s="696" t="s">
        <v>4082</v>
      </c>
      <c r="C652" s="696" t="s">
        <v>4114</v>
      </c>
      <c r="D652" s="696" t="s">
        <v>4133</v>
      </c>
      <c r="E652" s="696" t="s">
        <v>4134</v>
      </c>
      <c r="F652" s="711">
        <v>152</v>
      </c>
      <c r="G652" s="711">
        <v>73416</v>
      </c>
      <c r="H652" s="711">
        <v>1</v>
      </c>
      <c r="I652" s="711">
        <v>483</v>
      </c>
      <c r="J652" s="711">
        <v>89</v>
      </c>
      <c r="K652" s="711">
        <v>43076</v>
      </c>
      <c r="L652" s="711">
        <v>0.58673858559442083</v>
      </c>
      <c r="M652" s="711">
        <v>484</v>
      </c>
      <c r="N652" s="711">
        <v>53</v>
      </c>
      <c r="O652" s="711">
        <v>25698</v>
      </c>
      <c r="P652" s="701">
        <v>0.35003269042170643</v>
      </c>
      <c r="Q652" s="712">
        <v>484.8679245283019</v>
      </c>
    </row>
    <row r="653" spans="1:17" ht="14.4" customHeight="1" x14ac:dyDescent="0.3">
      <c r="A653" s="695" t="s">
        <v>4892</v>
      </c>
      <c r="B653" s="696" t="s">
        <v>4082</v>
      </c>
      <c r="C653" s="696" t="s">
        <v>4114</v>
      </c>
      <c r="D653" s="696" t="s">
        <v>4135</v>
      </c>
      <c r="E653" s="696" t="s">
        <v>4136</v>
      </c>
      <c r="F653" s="711">
        <v>28</v>
      </c>
      <c r="G653" s="711">
        <v>18928</v>
      </c>
      <c r="H653" s="711">
        <v>1</v>
      </c>
      <c r="I653" s="711">
        <v>676</v>
      </c>
      <c r="J653" s="711">
        <v>27</v>
      </c>
      <c r="K653" s="711">
        <v>18279</v>
      </c>
      <c r="L653" s="711">
        <v>0.96571217244294172</v>
      </c>
      <c r="M653" s="711">
        <v>677</v>
      </c>
      <c r="N653" s="711">
        <v>31</v>
      </c>
      <c r="O653" s="711">
        <v>21041</v>
      </c>
      <c r="P653" s="701">
        <v>1.1116335587489434</v>
      </c>
      <c r="Q653" s="712">
        <v>678.74193548387098</v>
      </c>
    </row>
    <row r="654" spans="1:17" ht="14.4" customHeight="1" x14ac:dyDescent="0.3">
      <c r="A654" s="695" t="s">
        <v>4892</v>
      </c>
      <c r="B654" s="696" t="s">
        <v>4082</v>
      </c>
      <c r="C654" s="696" t="s">
        <v>4114</v>
      </c>
      <c r="D654" s="696" t="s">
        <v>4893</v>
      </c>
      <c r="E654" s="696" t="s">
        <v>4189</v>
      </c>
      <c r="F654" s="711">
        <v>5</v>
      </c>
      <c r="G654" s="711">
        <v>3905</v>
      </c>
      <c r="H654" s="711">
        <v>1</v>
      </c>
      <c r="I654" s="711">
        <v>781</v>
      </c>
      <c r="J654" s="711"/>
      <c r="K654" s="711"/>
      <c r="L654" s="711"/>
      <c r="M654" s="711"/>
      <c r="N654" s="711"/>
      <c r="O654" s="711"/>
      <c r="P654" s="701"/>
      <c r="Q654" s="712"/>
    </row>
    <row r="655" spans="1:17" ht="14.4" customHeight="1" x14ac:dyDescent="0.3">
      <c r="A655" s="695" t="s">
        <v>4892</v>
      </c>
      <c r="B655" s="696" t="s">
        <v>4082</v>
      </c>
      <c r="C655" s="696" t="s">
        <v>4114</v>
      </c>
      <c r="D655" s="696" t="s">
        <v>4137</v>
      </c>
      <c r="E655" s="696" t="s">
        <v>4138</v>
      </c>
      <c r="F655" s="711">
        <v>118</v>
      </c>
      <c r="G655" s="711">
        <v>88264</v>
      </c>
      <c r="H655" s="711">
        <v>1</v>
      </c>
      <c r="I655" s="711">
        <v>748</v>
      </c>
      <c r="J655" s="711">
        <v>105</v>
      </c>
      <c r="K655" s="711">
        <v>78645</v>
      </c>
      <c r="L655" s="711">
        <v>0.89102012145382037</v>
      </c>
      <c r="M655" s="711">
        <v>749</v>
      </c>
      <c r="N655" s="711">
        <v>176</v>
      </c>
      <c r="O655" s="711">
        <v>132004</v>
      </c>
      <c r="P655" s="701">
        <v>1.4955587782108222</v>
      </c>
      <c r="Q655" s="712">
        <v>750.02272727272725</v>
      </c>
    </row>
    <row r="656" spans="1:17" ht="14.4" customHeight="1" x14ac:dyDescent="0.3">
      <c r="A656" s="695" t="s">
        <v>4892</v>
      </c>
      <c r="B656" s="696" t="s">
        <v>4082</v>
      </c>
      <c r="C656" s="696" t="s">
        <v>4114</v>
      </c>
      <c r="D656" s="696" t="s">
        <v>4139</v>
      </c>
      <c r="E656" s="696" t="s">
        <v>4134</v>
      </c>
      <c r="F656" s="711">
        <v>395</v>
      </c>
      <c r="G656" s="711">
        <v>217250</v>
      </c>
      <c r="H656" s="711">
        <v>1</v>
      </c>
      <c r="I656" s="711">
        <v>550</v>
      </c>
      <c r="J656" s="711">
        <v>297</v>
      </c>
      <c r="K656" s="711">
        <v>164241</v>
      </c>
      <c r="L656" s="711">
        <v>0.75600000000000001</v>
      </c>
      <c r="M656" s="711">
        <v>553</v>
      </c>
      <c r="N656" s="711">
        <v>253</v>
      </c>
      <c r="O656" s="711">
        <v>140293</v>
      </c>
      <c r="P656" s="701">
        <v>0.64576754890678945</v>
      </c>
      <c r="Q656" s="712">
        <v>554.51778656126487</v>
      </c>
    </row>
    <row r="657" spans="1:17" ht="14.4" customHeight="1" x14ac:dyDescent="0.3">
      <c r="A657" s="695" t="s">
        <v>4892</v>
      </c>
      <c r="B657" s="696" t="s">
        <v>4082</v>
      </c>
      <c r="C657" s="696" t="s">
        <v>4114</v>
      </c>
      <c r="D657" s="696" t="s">
        <v>4140</v>
      </c>
      <c r="E657" s="696" t="s">
        <v>4136</v>
      </c>
      <c r="F657" s="711">
        <v>35</v>
      </c>
      <c r="G657" s="711">
        <v>26005</v>
      </c>
      <c r="H657" s="711">
        <v>1</v>
      </c>
      <c r="I657" s="711">
        <v>743</v>
      </c>
      <c r="J657" s="711">
        <v>32</v>
      </c>
      <c r="K657" s="711">
        <v>23872</v>
      </c>
      <c r="L657" s="711">
        <v>0.91797731205537392</v>
      </c>
      <c r="M657" s="711">
        <v>746</v>
      </c>
      <c r="N657" s="711">
        <v>34</v>
      </c>
      <c r="O657" s="711">
        <v>25404</v>
      </c>
      <c r="P657" s="701">
        <v>0.976889059796193</v>
      </c>
      <c r="Q657" s="712">
        <v>747.17647058823525</v>
      </c>
    </row>
    <row r="658" spans="1:17" ht="14.4" customHeight="1" x14ac:dyDescent="0.3">
      <c r="A658" s="695" t="s">
        <v>4892</v>
      </c>
      <c r="B658" s="696" t="s">
        <v>4082</v>
      </c>
      <c r="C658" s="696" t="s">
        <v>4114</v>
      </c>
      <c r="D658" s="696" t="s">
        <v>4232</v>
      </c>
      <c r="E658" s="696" t="s">
        <v>4233</v>
      </c>
      <c r="F658" s="711">
        <v>1038</v>
      </c>
      <c r="G658" s="711">
        <v>830400</v>
      </c>
      <c r="H658" s="711">
        <v>1</v>
      </c>
      <c r="I658" s="711">
        <v>800</v>
      </c>
      <c r="J658" s="711">
        <v>809</v>
      </c>
      <c r="K658" s="711">
        <v>649627</v>
      </c>
      <c r="L658" s="711">
        <v>0.7823061175337187</v>
      </c>
      <c r="M658" s="711">
        <v>803</v>
      </c>
      <c r="N658" s="711">
        <v>1095</v>
      </c>
      <c r="O658" s="711">
        <v>880885</v>
      </c>
      <c r="P658" s="701">
        <v>1.0607960019267824</v>
      </c>
      <c r="Q658" s="712">
        <v>804.46118721461187</v>
      </c>
    </row>
    <row r="659" spans="1:17" ht="14.4" customHeight="1" x14ac:dyDescent="0.3">
      <c r="A659" s="695" t="s">
        <v>4892</v>
      </c>
      <c r="B659" s="696" t="s">
        <v>4082</v>
      </c>
      <c r="C659" s="696" t="s">
        <v>4114</v>
      </c>
      <c r="D659" s="696" t="s">
        <v>4141</v>
      </c>
      <c r="E659" s="696" t="s">
        <v>4142</v>
      </c>
      <c r="F659" s="711">
        <v>3</v>
      </c>
      <c r="G659" s="711">
        <v>1305</v>
      </c>
      <c r="H659" s="711">
        <v>1</v>
      </c>
      <c r="I659" s="711">
        <v>435</v>
      </c>
      <c r="J659" s="711">
        <v>7</v>
      </c>
      <c r="K659" s="711">
        <v>3073</v>
      </c>
      <c r="L659" s="711">
        <v>2.3547892720306511</v>
      </c>
      <c r="M659" s="711">
        <v>439</v>
      </c>
      <c r="N659" s="711">
        <v>2</v>
      </c>
      <c r="O659" s="711">
        <v>892</v>
      </c>
      <c r="P659" s="701">
        <v>0.68352490421455936</v>
      </c>
      <c r="Q659" s="712">
        <v>446</v>
      </c>
    </row>
    <row r="660" spans="1:17" ht="14.4" customHeight="1" x14ac:dyDescent="0.3">
      <c r="A660" s="695" t="s">
        <v>4892</v>
      </c>
      <c r="B660" s="696" t="s">
        <v>4082</v>
      </c>
      <c r="C660" s="696" t="s">
        <v>4114</v>
      </c>
      <c r="D660" s="696" t="s">
        <v>4143</v>
      </c>
      <c r="E660" s="696" t="s">
        <v>4144</v>
      </c>
      <c r="F660" s="711"/>
      <c r="G660" s="711"/>
      <c r="H660" s="711"/>
      <c r="I660" s="711"/>
      <c r="J660" s="711">
        <v>3</v>
      </c>
      <c r="K660" s="711">
        <v>1293</v>
      </c>
      <c r="L660" s="711"/>
      <c r="M660" s="711">
        <v>431</v>
      </c>
      <c r="N660" s="711"/>
      <c r="O660" s="711"/>
      <c r="P660" s="701"/>
      <c r="Q660" s="712"/>
    </row>
    <row r="661" spans="1:17" ht="14.4" customHeight="1" x14ac:dyDescent="0.3">
      <c r="A661" s="695" t="s">
        <v>4892</v>
      </c>
      <c r="B661" s="696" t="s">
        <v>4082</v>
      </c>
      <c r="C661" s="696" t="s">
        <v>4114</v>
      </c>
      <c r="D661" s="696" t="s">
        <v>4255</v>
      </c>
      <c r="E661" s="696" t="s">
        <v>4181</v>
      </c>
      <c r="F661" s="711">
        <v>95</v>
      </c>
      <c r="G661" s="711">
        <v>66595</v>
      </c>
      <c r="H661" s="711">
        <v>1</v>
      </c>
      <c r="I661" s="711">
        <v>701</v>
      </c>
      <c r="J661" s="711">
        <v>119</v>
      </c>
      <c r="K661" s="711">
        <v>83895</v>
      </c>
      <c r="L661" s="711">
        <v>1.2597792627074105</v>
      </c>
      <c r="M661" s="711">
        <v>705</v>
      </c>
      <c r="N661" s="711">
        <v>109</v>
      </c>
      <c r="O661" s="711">
        <v>77244</v>
      </c>
      <c r="P661" s="701">
        <v>1.1599068999174111</v>
      </c>
      <c r="Q661" s="712">
        <v>708.66055045871565</v>
      </c>
    </row>
    <row r="662" spans="1:17" ht="14.4" customHeight="1" x14ac:dyDescent="0.3">
      <c r="A662" s="695" t="s">
        <v>4892</v>
      </c>
      <c r="B662" s="696" t="s">
        <v>4082</v>
      </c>
      <c r="C662" s="696" t="s">
        <v>4114</v>
      </c>
      <c r="D662" s="696" t="s">
        <v>4256</v>
      </c>
      <c r="E662" s="696" t="s">
        <v>4138</v>
      </c>
      <c r="F662" s="711"/>
      <c r="G662" s="711"/>
      <c r="H662" s="711"/>
      <c r="I662" s="711"/>
      <c r="J662" s="711">
        <v>3</v>
      </c>
      <c r="K662" s="711">
        <v>2454</v>
      </c>
      <c r="L662" s="711"/>
      <c r="M662" s="711">
        <v>818</v>
      </c>
      <c r="N662" s="711">
        <v>2</v>
      </c>
      <c r="O662" s="711">
        <v>1640</v>
      </c>
      <c r="P662" s="701"/>
      <c r="Q662" s="712">
        <v>820</v>
      </c>
    </row>
    <row r="663" spans="1:17" ht="14.4" customHeight="1" x14ac:dyDescent="0.3">
      <c r="A663" s="695" t="s">
        <v>4892</v>
      </c>
      <c r="B663" s="696" t="s">
        <v>4082</v>
      </c>
      <c r="C663" s="696" t="s">
        <v>4114</v>
      </c>
      <c r="D663" s="696" t="s">
        <v>4145</v>
      </c>
      <c r="E663" s="696" t="s">
        <v>4146</v>
      </c>
      <c r="F663" s="711">
        <v>427</v>
      </c>
      <c r="G663" s="711">
        <v>87962</v>
      </c>
      <c r="H663" s="711">
        <v>1</v>
      </c>
      <c r="I663" s="711">
        <v>206</v>
      </c>
      <c r="J663" s="711">
        <v>351</v>
      </c>
      <c r="K663" s="711">
        <v>72657</v>
      </c>
      <c r="L663" s="711">
        <v>0.82600441099565725</v>
      </c>
      <c r="M663" s="711">
        <v>207</v>
      </c>
      <c r="N663" s="711">
        <v>439</v>
      </c>
      <c r="O663" s="711">
        <v>91225</v>
      </c>
      <c r="P663" s="701">
        <v>1.0370955639935426</v>
      </c>
      <c r="Q663" s="712">
        <v>207.8018223234624</v>
      </c>
    </row>
    <row r="664" spans="1:17" ht="14.4" customHeight="1" x14ac:dyDescent="0.3">
      <c r="A664" s="695" t="s">
        <v>4892</v>
      </c>
      <c r="B664" s="696" t="s">
        <v>4082</v>
      </c>
      <c r="C664" s="696" t="s">
        <v>4114</v>
      </c>
      <c r="D664" s="696" t="s">
        <v>4149</v>
      </c>
      <c r="E664" s="696" t="s">
        <v>4150</v>
      </c>
      <c r="F664" s="711"/>
      <c r="G664" s="711"/>
      <c r="H664" s="711"/>
      <c r="I664" s="711"/>
      <c r="J664" s="711">
        <v>1</v>
      </c>
      <c r="K664" s="711">
        <v>327</v>
      </c>
      <c r="L664" s="711"/>
      <c r="M664" s="711">
        <v>327</v>
      </c>
      <c r="N664" s="711">
        <v>1</v>
      </c>
      <c r="O664" s="711">
        <v>330</v>
      </c>
      <c r="P664" s="701"/>
      <c r="Q664" s="712">
        <v>330</v>
      </c>
    </row>
    <row r="665" spans="1:17" ht="14.4" customHeight="1" x14ac:dyDescent="0.3">
      <c r="A665" s="695" t="s">
        <v>4892</v>
      </c>
      <c r="B665" s="696" t="s">
        <v>4082</v>
      </c>
      <c r="C665" s="696" t="s">
        <v>4114</v>
      </c>
      <c r="D665" s="696" t="s">
        <v>4153</v>
      </c>
      <c r="E665" s="696" t="s">
        <v>4154</v>
      </c>
      <c r="F665" s="711">
        <v>2250</v>
      </c>
      <c r="G665" s="711">
        <v>182250</v>
      </c>
      <c r="H665" s="711">
        <v>1</v>
      </c>
      <c r="I665" s="711">
        <v>81</v>
      </c>
      <c r="J665" s="711">
        <v>1771</v>
      </c>
      <c r="K665" s="711">
        <v>145222</v>
      </c>
      <c r="L665" s="711">
        <v>0.79682853223593963</v>
      </c>
      <c r="M665" s="711">
        <v>82</v>
      </c>
      <c r="N665" s="711">
        <v>2249</v>
      </c>
      <c r="O665" s="711">
        <v>186276</v>
      </c>
      <c r="P665" s="701">
        <v>1.0220905349794238</v>
      </c>
      <c r="Q665" s="712">
        <v>82.826144953312578</v>
      </c>
    </row>
    <row r="666" spans="1:17" ht="14.4" customHeight="1" x14ac:dyDescent="0.3">
      <c r="A666" s="695" t="s">
        <v>4892</v>
      </c>
      <c r="B666" s="696" t="s">
        <v>4082</v>
      </c>
      <c r="C666" s="696" t="s">
        <v>4114</v>
      </c>
      <c r="D666" s="696" t="s">
        <v>4157</v>
      </c>
      <c r="E666" s="696" t="s">
        <v>4158</v>
      </c>
      <c r="F666" s="711">
        <v>1</v>
      </c>
      <c r="G666" s="711">
        <v>852</v>
      </c>
      <c r="H666" s="711">
        <v>1</v>
      </c>
      <c r="I666" s="711">
        <v>852</v>
      </c>
      <c r="J666" s="711"/>
      <c r="K666" s="711"/>
      <c r="L666" s="711"/>
      <c r="M666" s="711"/>
      <c r="N666" s="711"/>
      <c r="O666" s="711"/>
      <c r="P666" s="701"/>
      <c r="Q666" s="712"/>
    </row>
    <row r="667" spans="1:17" ht="14.4" customHeight="1" x14ac:dyDescent="0.3">
      <c r="A667" s="695" t="s">
        <v>4892</v>
      </c>
      <c r="B667" s="696" t="s">
        <v>4082</v>
      </c>
      <c r="C667" s="696" t="s">
        <v>4114</v>
      </c>
      <c r="D667" s="696" t="s">
        <v>4159</v>
      </c>
      <c r="E667" s="696" t="s">
        <v>4160</v>
      </c>
      <c r="F667" s="711">
        <v>3</v>
      </c>
      <c r="G667" s="711">
        <v>0</v>
      </c>
      <c r="H667" s="711"/>
      <c r="I667" s="711">
        <v>0</v>
      </c>
      <c r="J667" s="711">
        <v>7</v>
      </c>
      <c r="K667" s="711">
        <v>0</v>
      </c>
      <c r="L667" s="711"/>
      <c r="M667" s="711">
        <v>0</v>
      </c>
      <c r="N667" s="711"/>
      <c r="O667" s="711"/>
      <c r="P667" s="701"/>
      <c r="Q667" s="712"/>
    </row>
    <row r="668" spans="1:17" ht="14.4" customHeight="1" x14ac:dyDescent="0.3">
      <c r="A668" s="695" t="s">
        <v>4892</v>
      </c>
      <c r="B668" s="696" t="s">
        <v>4082</v>
      </c>
      <c r="C668" s="696" t="s">
        <v>4114</v>
      </c>
      <c r="D668" s="696" t="s">
        <v>4234</v>
      </c>
      <c r="E668" s="696" t="s">
        <v>4233</v>
      </c>
      <c r="F668" s="711">
        <v>952</v>
      </c>
      <c r="G668" s="711">
        <v>881552</v>
      </c>
      <c r="H668" s="711">
        <v>1</v>
      </c>
      <c r="I668" s="711">
        <v>926</v>
      </c>
      <c r="J668" s="711">
        <v>728</v>
      </c>
      <c r="K668" s="711">
        <v>676312</v>
      </c>
      <c r="L668" s="711">
        <v>0.76718333121585569</v>
      </c>
      <c r="M668" s="711">
        <v>929</v>
      </c>
      <c r="N668" s="711">
        <v>842</v>
      </c>
      <c r="O668" s="711">
        <v>783618</v>
      </c>
      <c r="P668" s="701">
        <v>0.88890729077808228</v>
      </c>
      <c r="Q668" s="712">
        <v>930.66270783847983</v>
      </c>
    </row>
    <row r="669" spans="1:17" ht="14.4" customHeight="1" x14ac:dyDescent="0.3">
      <c r="A669" s="695" t="s">
        <v>4892</v>
      </c>
      <c r="B669" s="696" t="s">
        <v>4082</v>
      </c>
      <c r="C669" s="696" t="s">
        <v>4114</v>
      </c>
      <c r="D669" s="696" t="s">
        <v>4161</v>
      </c>
      <c r="E669" s="696" t="s">
        <v>4162</v>
      </c>
      <c r="F669" s="711"/>
      <c r="G669" s="711"/>
      <c r="H669" s="711"/>
      <c r="I669" s="711"/>
      <c r="J669" s="711">
        <v>27</v>
      </c>
      <c r="K669" s="711">
        <v>0</v>
      </c>
      <c r="L669" s="711"/>
      <c r="M669" s="711">
        <v>0</v>
      </c>
      <c r="N669" s="711"/>
      <c r="O669" s="711"/>
      <c r="P669" s="701"/>
      <c r="Q669" s="712"/>
    </row>
    <row r="670" spans="1:17" ht="14.4" customHeight="1" x14ac:dyDescent="0.3">
      <c r="A670" s="695" t="s">
        <v>4892</v>
      </c>
      <c r="B670" s="696" t="s">
        <v>4082</v>
      </c>
      <c r="C670" s="696" t="s">
        <v>4114</v>
      </c>
      <c r="D670" s="696" t="s">
        <v>4163</v>
      </c>
      <c r="E670" s="696" t="s">
        <v>4164</v>
      </c>
      <c r="F670" s="711"/>
      <c r="G670" s="711"/>
      <c r="H670" s="711"/>
      <c r="I670" s="711"/>
      <c r="J670" s="711">
        <v>1</v>
      </c>
      <c r="K670" s="711">
        <v>112</v>
      </c>
      <c r="L670" s="711"/>
      <c r="M670" s="711">
        <v>112</v>
      </c>
      <c r="N670" s="711">
        <v>8</v>
      </c>
      <c r="O670" s="711">
        <v>896</v>
      </c>
      <c r="P670" s="701"/>
      <c r="Q670" s="712">
        <v>112</v>
      </c>
    </row>
    <row r="671" spans="1:17" ht="14.4" customHeight="1" x14ac:dyDescent="0.3">
      <c r="A671" s="695" t="s">
        <v>4892</v>
      </c>
      <c r="B671" s="696" t="s">
        <v>4082</v>
      </c>
      <c r="C671" s="696" t="s">
        <v>4114</v>
      </c>
      <c r="D671" s="696" t="s">
        <v>4235</v>
      </c>
      <c r="E671" s="696" t="s">
        <v>4233</v>
      </c>
      <c r="F671" s="711">
        <v>145</v>
      </c>
      <c r="G671" s="711">
        <v>106285</v>
      </c>
      <c r="H671" s="711">
        <v>1</v>
      </c>
      <c r="I671" s="711">
        <v>733</v>
      </c>
      <c r="J671" s="711">
        <v>50</v>
      </c>
      <c r="K671" s="711">
        <v>36700</v>
      </c>
      <c r="L671" s="711">
        <v>0.34529801947593736</v>
      </c>
      <c r="M671" s="711">
        <v>734</v>
      </c>
      <c r="N671" s="711">
        <v>114</v>
      </c>
      <c r="O671" s="711">
        <v>83836</v>
      </c>
      <c r="P671" s="701">
        <v>0.78878487086606763</v>
      </c>
      <c r="Q671" s="712">
        <v>735.40350877192986</v>
      </c>
    </row>
    <row r="672" spans="1:17" ht="14.4" customHeight="1" x14ac:dyDescent="0.3">
      <c r="A672" s="695" t="s">
        <v>4892</v>
      </c>
      <c r="B672" s="696" t="s">
        <v>4082</v>
      </c>
      <c r="C672" s="696" t="s">
        <v>4114</v>
      </c>
      <c r="D672" s="696" t="s">
        <v>4243</v>
      </c>
      <c r="E672" s="696" t="s">
        <v>4244</v>
      </c>
      <c r="F672" s="711"/>
      <c r="G672" s="711"/>
      <c r="H672" s="711"/>
      <c r="I672" s="711"/>
      <c r="J672" s="711">
        <v>1</v>
      </c>
      <c r="K672" s="711">
        <v>56</v>
      </c>
      <c r="L672" s="711"/>
      <c r="M672" s="711">
        <v>56</v>
      </c>
      <c r="N672" s="711"/>
      <c r="O672" s="711"/>
      <c r="P672" s="701"/>
      <c r="Q672" s="712"/>
    </row>
    <row r="673" spans="1:17" ht="14.4" customHeight="1" x14ac:dyDescent="0.3">
      <c r="A673" s="695" t="s">
        <v>4892</v>
      </c>
      <c r="B673" s="696" t="s">
        <v>4082</v>
      </c>
      <c r="C673" s="696" t="s">
        <v>4114</v>
      </c>
      <c r="D673" s="696" t="s">
        <v>4236</v>
      </c>
      <c r="E673" s="696" t="s">
        <v>4237</v>
      </c>
      <c r="F673" s="711">
        <v>30</v>
      </c>
      <c r="G673" s="711">
        <v>15690</v>
      </c>
      <c r="H673" s="711">
        <v>1</v>
      </c>
      <c r="I673" s="711">
        <v>523</v>
      </c>
      <c r="J673" s="711">
        <v>10</v>
      </c>
      <c r="K673" s="711">
        <v>5240</v>
      </c>
      <c r="L673" s="711">
        <v>0.33397068196303376</v>
      </c>
      <c r="M673" s="711">
        <v>524</v>
      </c>
      <c r="N673" s="711">
        <v>4</v>
      </c>
      <c r="O673" s="711">
        <v>2100</v>
      </c>
      <c r="P673" s="701">
        <v>0.13384321223709369</v>
      </c>
      <c r="Q673" s="712">
        <v>525</v>
      </c>
    </row>
    <row r="674" spans="1:17" ht="14.4" customHeight="1" x14ac:dyDescent="0.3">
      <c r="A674" s="695" t="s">
        <v>4892</v>
      </c>
      <c r="B674" s="696" t="s">
        <v>4082</v>
      </c>
      <c r="C674" s="696" t="s">
        <v>4114</v>
      </c>
      <c r="D674" s="696" t="s">
        <v>4171</v>
      </c>
      <c r="E674" s="696" t="s">
        <v>4172</v>
      </c>
      <c r="F674" s="711">
        <v>131</v>
      </c>
      <c r="G674" s="711">
        <v>38645</v>
      </c>
      <c r="H674" s="711">
        <v>1</v>
      </c>
      <c r="I674" s="711">
        <v>295</v>
      </c>
      <c r="J674" s="711">
        <v>119</v>
      </c>
      <c r="K674" s="711">
        <v>35224</v>
      </c>
      <c r="L674" s="711">
        <v>0.91147625824815626</v>
      </c>
      <c r="M674" s="711">
        <v>296</v>
      </c>
      <c r="N674" s="711">
        <v>80</v>
      </c>
      <c r="O674" s="711">
        <v>23738</v>
      </c>
      <c r="P674" s="701">
        <v>0.61425798939060683</v>
      </c>
      <c r="Q674" s="712">
        <v>296.72500000000002</v>
      </c>
    </row>
    <row r="675" spans="1:17" ht="14.4" customHeight="1" x14ac:dyDescent="0.3">
      <c r="A675" s="695" t="s">
        <v>4892</v>
      </c>
      <c r="B675" s="696" t="s">
        <v>4082</v>
      </c>
      <c r="C675" s="696" t="s">
        <v>4114</v>
      </c>
      <c r="D675" s="696" t="s">
        <v>4238</v>
      </c>
      <c r="E675" s="696" t="s">
        <v>4146</v>
      </c>
      <c r="F675" s="711">
        <v>46</v>
      </c>
      <c r="G675" s="711">
        <v>7912</v>
      </c>
      <c r="H675" s="711">
        <v>1</v>
      </c>
      <c r="I675" s="711">
        <v>172</v>
      </c>
      <c r="J675" s="711">
        <v>23</v>
      </c>
      <c r="K675" s="711">
        <v>3956</v>
      </c>
      <c r="L675" s="711">
        <v>0.5</v>
      </c>
      <c r="M675" s="711">
        <v>172</v>
      </c>
      <c r="N675" s="711">
        <v>38</v>
      </c>
      <c r="O675" s="711">
        <v>6584</v>
      </c>
      <c r="P675" s="701">
        <v>0.83215369059656219</v>
      </c>
      <c r="Q675" s="712">
        <v>173.26315789473685</v>
      </c>
    </row>
    <row r="676" spans="1:17" ht="14.4" customHeight="1" x14ac:dyDescent="0.3">
      <c r="A676" s="695" t="s">
        <v>4892</v>
      </c>
      <c r="B676" s="696" t="s">
        <v>4082</v>
      </c>
      <c r="C676" s="696" t="s">
        <v>4114</v>
      </c>
      <c r="D676" s="696" t="s">
        <v>4175</v>
      </c>
      <c r="E676" s="696" t="s">
        <v>4172</v>
      </c>
      <c r="F676" s="711">
        <v>40</v>
      </c>
      <c r="G676" s="711">
        <v>14480</v>
      </c>
      <c r="H676" s="711">
        <v>1</v>
      </c>
      <c r="I676" s="711">
        <v>362</v>
      </c>
      <c r="J676" s="711">
        <v>93</v>
      </c>
      <c r="K676" s="711">
        <v>33945</v>
      </c>
      <c r="L676" s="711">
        <v>2.3442679558011048</v>
      </c>
      <c r="M676" s="711">
        <v>365</v>
      </c>
      <c r="N676" s="711">
        <v>73</v>
      </c>
      <c r="O676" s="711">
        <v>26769</v>
      </c>
      <c r="P676" s="701">
        <v>1.8486878453038673</v>
      </c>
      <c r="Q676" s="712">
        <v>366.69863013698631</v>
      </c>
    </row>
    <row r="677" spans="1:17" ht="14.4" customHeight="1" x14ac:dyDescent="0.3">
      <c r="A677" s="695" t="s">
        <v>4892</v>
      </c>
      <c r="B677" s="696" t="s">
        <v>4082</v>
      </c>
      <c r="C677" s="696" t="s">
        <v>4114</v>
      </c>
      <c r="D677" s="696" t="s">
        <v>4178</v>
      </c>
      <c r="E677" s="696" t="s">
        <v>4179</v>
      </c>
      <c r="F677" s="711"/>
      <c r="G677" s="711"/>
      <c r="H677" s="711"/>
      <c r="I677" s="711"/>
      <c r="J677" s="711">
        <v>1</v>
      </c>
      <c r="K677" s="711">
        <v>635</v>
      </c>
      <c r="L677" s="711"/>
      <c r="M677" s="711">
        <v>635</v>
      </c>
      <c r="N677" s="711"/>
      <c r="O677" s="711"/>
      <c r="P677" s="701"/>
      <c r="Q677" s="712"/>
    </row>
    <row r="678" spans="1:17" ht="14.4" customHeight="1" x14ac:dyDescent="0.3">
      <c r="A678" s="695" t="s">
        <v>4892</v>
      </c>
      <c r="B678" s="696" t="s">
        <v>4082</v>
      </c>
      <c r="C678" s="696" t="s">
        <v>4114</v>
      </c>
      <c r="D678" s="696" t="s">
        <v>4180</v>
      </c>
      <c r="E678" s="696" t="s">
        <v>4181</v>
      </c>
      <c r="F678" s="711">
        <v>130</v>
      </c>
      <c r="G678" s="711">
        <v>77870</v>
      </c>
      <c r="H678" s="711">
        <v>1</v>
      </c>
      <c r="I678" s="711">
        <v>599</v>
      </c>
      <c r="J678" s="711">
        <v>110</v>
      </c>
      <c r="K678" s="711">
        <v>66110</v>
      </c>
      <c r="L678" s="711">
        <v>0.84897906767689735</v>
      </c>
      <c r="M678" s="711">
        <v>601</v>
      </c>
      <c r="N678" s="711">
        <v>188</v>
      </c>
      <c r="O678" s="711">
        <v>113368</v>
      </c>
      <c r="P678" s="701">
        <v>1.4558623346603312</v>
      </c>
      <c r="Q678" s="712">
        <v>603.02127659574467</v>
      </c>
    </row>
    <row r="679" spans="1:17" ht="14.4" customHeight="1" x14ac:dyDescent="0.3">
      <c r="A679" s="695" t="s">
        <v>4892</v>
      </c>
      <c r="B679" s="696" t="s">
        <v>4082</v>
      </c>
      <c r="C679" s="696" t="s">
        <v>4114</v>
      </c>
      <c r="D679" s="696" t="s">
        <v>4257</v>
      </c>
      <c r="E679" s="696" t="s">
        <v>4258</v>
      </c>
      <c r="F679" s="711">
        <v>1</v>
      </c>
      <c r="G679" s="711">
        <v>100</v>
      </c>
      <c r="H679" s="711">
        <v>1</v>
      </c>
      <c r="I679" s="711">
        <v>100</v>
      </c>
      <c r="J679" s="711">
        <v>2</v>
      </c>
      <c r="K679" s="711">
        <v>200</v>
      </c>
      <c r="L679" s="711">
        <v>2</v>
      </c>
      <c r="M679" s="711">
        <v>100</v>
      </c>
      <c r="N679" s="711">
        <v>5</v>
      </c>
      <c r="O679" s="711">
        <v>500</v>
      </c>
      <c r="P679" s="701">
        <v>5</v>
      </c>
      <c r="Q679" s="712">
        <v>100</v>
      </c>
    </row>
    <row r="680" spans="1:17" ht="14.4" customHeight="1" x14ac:dyDescent="0.3">
      <c r="A680" s="695" t="s">
        <v>4892</v>
      </c>
      <c r="B680" s="696" t="s">
        <v>4082</v>
      </c>
      <c r="C680" s="696" t="s">
        <v>4114</v>
      </c>
      <c r="D680" s="696" t="s">
        <v>4239</v>
      </c>
      <c r="E680" s="696" t="s">
        <v>4233</v>
      </c>
      <c r="F680" s="711">
        <v>12</v>
      </c>
      <c r="G680" s="711">
        <v>12108</v>
      </c>
      <c r="H680" s="711">
        <v>1</v>
      </c>
      <c r="I680" s="711">
        <v>1009</v>
      </c>
      <c r="J680" s="711">
        <v>19</v>
      </c>
      <c r="K680" s="711">
        <v>19228</v>
      </c>
      <c r="L680" s="711">
        <v>1.5880409646514702</v>
      </c>
      <c r="M680" s="711">
        <v>1012</v>
      </c>
      <c r="N680" s="711">
        <v>11</v>
      </c>
      <c r="O680" s="711">
        <v>11132</v>
      </c>
      <c r="P680" s="701">
        <v>0.91939213742979853</v>
      </c>
      <c r="Q680" s="712">
        <v>1012</v>
      </c>
    </row>
    <row r="681" spans="1:17" ht="14.4" customHeight="1" x14ac:dyDescent="0.3">
      <c r="A681" s="695" t="s">
        <v>4892</v>
      </c>
      <c r="B681" s="696" t="s">
        <v>4082</v>
      </c>
      <c r="C681" s="696" t="s">
        <v>4114</v>
      </c>
      <c r="D681" s="696" t="s">
        <v>4186</v>
      </c>
      <c r="E681" s="696" t="s">
        <v>4142</v>
      </c>
      <c r="F681" s="711">
        <v>1</v>
      </c>
      <c r="G681" s="711">
        <v>333</v>
      </c>
      <c r="H681" s="711">
        <v>1</v>
      </c>
      <c r="I681" s="711">
        <v>333</v>
      </c>
      <c r="J681" s="711"/>
      <c r="K681" s="711"/>
      <c r="L681" s="711"/>
      <c r="M681" s="711"/>
      <c r="N681" s="711"/>
      <c r="O681" s="711"/>
      <c r="P681" s="701"/>
      <c r="Q681" s="712"/>
    </row>
    <row r="682" spans="1:17" ht="14.4" customHeight="1" x14ac:dyDescent="0.3">
      <c r="A682" s="695" t="s">
        <v>4892</v>
      </c>
      <c r="B682" s="696" t="s">
        <v>4082</v>
      </c>
      <c r="C682" s="696" t="s">
        <v>4114</v>
      </c>
      <c r="D682" s="696" t="s">
        <v>4249</v>
      </c>
      <c r="E682" s="696" t="s">
        <v>4233</v>
      </c>
      <c r="F682" s="711">
        <v>18</v>
      </c>
      <c r="G682" s="711">
        <v>15462</v>
      </c>
      <c r="H682" s="711">
        <v>1</v>
      </c>
      <c r="I682" s="711">
        <v>859</v>
      </c>
      <c r="J682" s="711">
        <v>19</v>
      </c>
      <c r="K682" s="711">
        <v>16340</v>
      </c>
      <c r="L682" s="711">
        <v>1.0567843745957832</v>
      </c>
      <c r="M682" s="711">
        <v>860</v>
      </c>
      <c r="N682" s="711">
        <v>3</v>
      </c>
      <c r="O682" s="711">
        <v>2586</v>
      </c>
      <c r="P682" s="701">
        <v>0.1672487388436166</v>
      </c>
      <c r="Q682" s="712">
        <v>862</v>
      </c>
    </row>
    <row r="683" spans="1:17" ht="14.4" customHeight="1" x14ac:dyDescent="0.3">
      <c r="A683" s="695" t="s">
        <v>4892</v>
      </c>
      <c r="B683" s="696" t="s">
        <v>4082</v>
      </c>
      <c r="C683" s="696" t="s">
        <v>4114</v>
      </c>
      <c r="D683" s="696" t="s">
        <v>4188</v>
      </c>
      <c r="E683" s="696" t="s">
        <v>4189</v>
      </c>
      <c r="F683" s="711">
        <v>732</v>
      </c>
      <c r="G683" s="711">
        <v>379908</v>
      </c>
      <c r="H683" s="711">
        <v>1</v>
      </c>
      <c r="I683" s="711">
        <v>519</v>
      </c>
      <c r="J683" s="711">
        <v>680</v>
      </c>
      <c r="K683" s="711">
        <v>353600</v>
      </c>
      <c r="L683" s="711">
        <v>0.93075165566400286</v>
      </c>
      <c r="M683" s="711">
        <v>520</v>
      </c>
      <c r="N683" s="711">
        <v>1162</v>
      </c>
      <c r="O683" s="711">
        <v>605480</v>
      </c>
      <c r="P683" s="701">
        <v>1.5937542773513587</v>
      </c>
      <c r="Q683" s="712">
        <v>521.06712564543886</v>
      </c>
    </row>
    <row r="684" spans="1:17" ht="14.4" customHeight="1" x14ac:dyDescent="0.3">
      <c r="A684" s="695" t="s">
        <v>4892</v>
      </c>
      <c r="B684" s="696" t="s">
        <v>4082</v>
      </c>
      <c r="C684" s="696" t="s">
        <v>4114</v>
      </c>
      <c r="D684" s="696" t="s">
        <v>4259</v>
      </c>
      <c r="E684" s="696" t="s">
        <v>4189</v>
      </c>
      <c r="F684" s="711">
        <v>31</v>
      </c>
      <c r="G684" s="711">
        <v>24738</v>
      </c>
      <c r="H684" s="711">
        <v>1</v>
      </c>
      <c r="I684" s="711">
        <v>798</v>
      </c>
      <c r="J684" s="711">
        <v>31</v>
      </c>
      <c r="K684" s="711">
        <v>24831</v>
      </c>
      <c r="L684" s="711">
        <v>1.0037593984962405</v>
      </c>
      <c r="M684" s="711">
        <v>801</v>
      </c>
      <c r="N684" s="711">
        <v>19</v>
      </c>
      <c r="O684" s="711">
        <v>15255</v>
      </c>
      <c r="P684" s="701">
        <v>0.61666262430269225</v>
      </c>
      <c r="Q684" s="712">
        <v>802.89473684210532</v>
      </c>
    </row>
    <row r="685" spans="1:17" ht="14.4" customHeight="1" x14ac:dyDescent="0.3">
      <c r="A685" s="695" t="s">
        <v>4892</v>
      </c>
      <c r="B685" s="696" t="s">
        <v>4082</v>
      </c>
      <c r="C685" s="696" t="s">
        <v>4114</v>
      </c>
      <c r="D685" s="696" t="s">
        <v>4260</v>
      </c>
      <c r="E685" s="696" t="s">
        <v>4189</v>
      </c>
      <c r="F685" s="711">
        <v>286</v>
      </c>
      <c r="G685" s="711">
        <v>167596</v>
      </c>
      <c r="H685" s="711">
        <v>1</v>
      </c>
      <c r="I685" s="711">
        <v>586</v>
      </c>
      <c r="J685" s="711">
        <v>360</v>
      </c>
      <c r="K685" s="711">
        <v>212040</v>
      </c>
      <c r="L685" s="711">
        <v>1.2651853266187738</v>
      </c>
      <c r="M685" s="711">
        <v>589</v>
      </c>
      <c r="N685" s="711">
        <v>334</v>
      </c>
      <c r="O685" s="711">
        <v>197382</v>
      </c>
      <c r="P685" s="701">
        <v>1.1777250053700565</v>
      </c>
      <c r="Q685" s="712">
        <v>590.96407185628743</v>
      </c>
    </row>
    <row r="686" spans="1:17" ht="14.4" customHeight="1" x14ac:dyDescent="0.3">
      <c r="A686" s="695" t="s">
        <v>4892</v>
      </c>
      <c r="B686" s="696" t="s">
        <v>4082</v>
      </c>
      <c r="C686" s="696" t="s">
        <v>4114</v>
      </c>
      <c r="D686" s="696" t="s">
        <v>4261</v>
      </c>
      <c r="E686" s="696" t="s">
        <v>4233</v>
      </c>
      <c r="F686" s="711">
        <v>11</v>
      </c>
      <c r="G686" s="711">
        <v>10362</v>
      </c>
      <c r="H686" s="711">
        <v>1</v>
      </c>
      <c r="I686" s="711">
        <v>942</v>
      </c>
      <c r="J686" s="711"/>
      <c r="K686" s="711"/>
      <c r="L686" s="711"/>
      <c r="M686" s="711"/>
      <c r="N686" s="711"/>
      <c r="O686" s="711"/>
      <c r="P686" s="701"/>
      <c r="Q686" s="712"/>
    </row>
    <row r="687" spans="1:17" ht="14.4" customHeight="1" x14ac:dyDescent="0.3">
      <c r="A687" s="695" t="s">
        <v>4892</v>
      </c>
      <c r="B687" s="696" t="s">
        <v>4082</v>
      </c>
      <c r="C687" s="696" t="s">
        <v>4114</v>
      </c>
      <c r="D687" s="696" t="s">
        <v>4192</v>
      </c>
      <c r="E687" s="696" t="s">
        <v>4132</v>
      </c>
      <c r="F687" s="711"/>
      <c r="G687" s="711"/>
      <c r="H687" s="711"/>
      <c r="I687" s="711"/>
      <c r="J687" s="711">
        <v>4</v>
      </c>
      <c r="K687" s="711">
        <v>1556</v>
      </c>
      <c r="L687" s="711"/>
      <c r="M687" s="711">
        <v>389</v>
      </c>
      <c r="N687" s="711">
        <v>7</v>
      </c>
      <c r="O687" s="711">
        <v>2751</v>
      </c>
      <c r="P687" s="701"/>
      <c r="Q687" s="712">
        <v>393</v>
      </c>
    </row>
    <row r="688" spans="1:17" ht="14.4" customHeight="1" x14ac:dyDescent="0.3">
      <c r="A688" s="695" t="s">
        <v>4892</v>
      </c>
      <c r="B688" s="696" t="s">
        <v>4082</v>
      </c>
      <c r="C688" s="696" t="s">
        <v>4114</v>
      </c>
      <c r="D688" s="696" t="s">
        <v>4894</v>
      </c>
      <c r="E688" s="696" t="s">
        <v>4189</v>
      </c>
      <c r="F688" s="711">
        <v>2</v>
      </c>
      <c r="G688" s="711">
        <v>1462</v>
      </c>
      <c r="H688" s="711">
        <v>1</v>
      </c>
      <c r="I688" s="711">
        <v>731</v>
      </c>
      <c r="J688" s="711"/>
      <c r="K688" s="711"/>
      <c r="L688" s="711"/>
      <c r="M688" s="711"/>
      <c r="N688" s="711"/>
      <c r="O688" s="711"/>
      <c r="P688" s="701"/>
      <c r="Q688" s="712"/>
    </row>
    <row r="689" spans="1:17" ht="14.4" customHeight="1" x14ac:dyDescent="0.3">
      <c r="A689" s="695" t="s">
        <v>4892</v>
      </c>
      <c r="B689" s="696" t="s">
        <v>4082</v>
      </c>
      <c r="C689" s="696" t="s">
        <v>4114</v>
      </c>
      <c r="D689" s="696" t="s">
        <v>4268</v>
      </c>
      <c r="E689" s="696" t="s">
        <v>4269</v>
      </c>
      <c r="F689" s="711"/>
      <c r="G689" s="711"/>
      <c r="H689" s="711"/>
      <c r="I689" s="711"/>
      <c r="J689" s="711">
        <v>1</v>
      </c>
      <c r="K689" s="711">
        <v>1366</v>
      </c>
      <c r="L689" s="711"/>
      <c r="M689" s="711">
        <v>1366</v>
      </c>
      <c r="N689" s="711"/>
      <c r="O689" s="711"/>
      <c r="P689" s="701"/>
      <c r="Q689" s="712"/>
    </row>
    <row r="690" spans="1:17" ht="14.4" customHeight="1" x14ac:dyDescent="0.3">
      <c r="A690" s="695" t="s">
        <v>4892</v>
      </c>
      <c r="B690" s="696" t="s">
        <v>4082</v>
      </c>
      <c r="C690" s="696" t="s">
        <v>4114</v>
      </c>
      <c r="D690" s="696" t="s">
        <v>4262</v>
      </c>
      <c r="E690" s="696" t="s">
        <v>4189</v>
      </c>
      <c r="F690" s="711"/>
      <c r="G690" s="711"/>
      <c r="H690" s="711"/>
      <c r="I690" s="711"/>
      <c r="J690" s="711"/>
      <c r="K690" s="711"/>
      <c r="L690" s="711"/>
      <c r="M690" s="711"/>
      <c r="N690" s="711">
        <v>7</v>
      </c>
      <c r="O690" s="711">
        <v>5957</v>
      </c>
      <c r="P690" s="701"/>
      <c r="Q690" s="712">
        <v>851</v>
      </c>
    </row>
    <row r="691" spans="1:17" ht="14.4" customHeight="1" x14ac:dyDescent="0.3">
      <c r="A691" s="695" t="s">
        <v>4895</v>
      </c>
      <c r="B691" s="696" t="s">
        <v>4082</v>
      </c>
      <c r="C691" s="696" t="s">
        <v>4103</v>
      </c>
      <c r="D691" s="696" t="s">
        <v>4228</v>
      </c>
      <c r="E691" s="696" t="s">
        <v>4229</v>
      </c>
      <c r="F691" s="711"/>
      <c r="G691" s="711"/>
      <c r="H691" s="711"/>
      <c r="I691" s="711"/>
      <c r="J691" s="711"/>
      <c r="K691" s="711"/>
      <c r="L691" s="711"/>
      <c r="M691" s="711"/>
      <c r="N691" s="711">
        <v>4</v>
      </c>
      <c r="O691" s="711">
        <v>3619</v>
      </c>
      <c r="P691" s="701"/>
      <c r="Q691" s="712">
        <v>904.75</v>
      </c>
    </row>
    <row r="692" spans="1:17" ht="14.4" customHeight="1" x14ac:dyDescent="0.3">
      <c r="A692" s="695" t="s">
        <v>4895</v>
      </c>
      <c r="B692" s="696" t="s">
        <v>4082</v>
      </c>
      <c r="C692" s="696" t="s">
        <v>4114</v>
      </c>
      <c r="D692" s="696" t="s">
        <v>4230</v>
      </c>
      <c r="E692" s="696" t="s">
        <v>4231</v>
      </c>
      <c r="F692" s="711">
        <v>1</v>
      </c>
      <c r="G692" s="711">
        <v>185</v>
      </c>
      <c r="H692" s="711">
        <v>1</v>
      </c>
      <c r="I692" s="711">
        <v>185</v>
      </c>
      <c r="J692" s="711"/>
      <c r="K692" s="711"/>
      <c r="L692" s="711"/>
      <c r="M692" s="711"/>
      <c r="N692" s="711"/>
      <c r="O692" s="711"/>
      <c r="P692" s="701"/>
      <c r="Q692" s="712"/>
    </row>
    <row r="693" spans="1:17" ht="14.4" customHeight="1" x14ac:dyDescent="0.3">
      <c r="A693" s="695" t="s">
        <v>4895</v>
      </c>
      <c r="B693" s="696" t="s">
        <v>4082</v>
      </c>
      <c r="C693" s="696" t="s">
        <v>4114</v>
      </c>
      <c r="D693" s="696" t="s">
        <v>4127</v>
      </c>
      <c r="E693" s="696" t="s">
        <v>4128</v>
      </c>
      <c r="F693" s="711">
        <v>28</v>
      </c>
      <c r="G693" s="711">
        <v>6468</v>
      </c>
      <c r="H693" s="711">
        <v>1</v>
      </c>
      <c r="I693" s="711">
        <v>231</v>
      </c>
      <c r="J693" s="711">
        <v>22</v>
      </c>
      <c r="K693" s="711">
        <v>5104</v>
      </c>
      <c r="L693" s="711">
        <v>0.78911564625850339</v>
      </c>
      <c r="M693" s="711">
        <v>232</v>
      </c>
      <c r="N693" s="711">
        <v>19</v>
      </c>
      <c r="O693" s="711">
        <v>4426</v>
      </c>
      <c r="P693" s="701">
        <v>0.68429189857761286</v>
      </c>
      <c r="Q693" s="712">
        <v>232.94736842105263</v>
      </c>
    </row>
    <row r="694" spans="1:17" ht="14.4" customHeight="1" x14ac:dyDescent="0.3">
      <c r="A694" s="695" t="s">
        <v>4895</v>
      </c>
      <c r="B694" s="696" t="s">
        <v>4082</v>
      </c>
      <c r="C694" s="696" t="s">
        <v>4114</v>
      </c>
      <c r="D694" s="696" t="s">
        <v>4129</v>
      </c>
      <c r="E694" s="696" t="s">
        <v>4130</v>
      </c>
      <c r="F694" s="711">
        <v>14</v>
      </c>
      <c r="G694" s="711">
        <v>1624</v>
      </c>
      <c r="H694" s="711">
        <v>1</v>
      </c>
      <c r="I694" s="711">
        <v>116</v>
      </c>
      <c r="J694" s="711">
        <v>10</v>
      </c>
      <c r="K694" s="711">
        <v>1160</v>
      </c>
      <c r="L694" s="711">
        <v>0.7142857142857143</v>
      </c>
      <c r="M694" s="711">
        <v>116</v>
      </c>
      <c r="N694" s="711">
        <v>7</v>
      </c>
      <c r="O694" s="711">
        <v>820</v>
      </c>
      <c r="P694" s="701">
        <v>0.50492610837438423</v>
      </c>
      <c r="Q694" s="712">
        <v>117.14285714285714</v>
      </c>
    </row>
    <row r="695" spans="1:17" ht="14.4" customHeight="1" x14ac:dyDescent="0.3">
      <c r="A695" s="695" t="s">
        <v>4895</v>
      </c>
      <c r="B695" s="696" t="s">
        <v>4082</v>
      </c>
      <c r="C695" s="696" t="s">
        <v>4114</v>
      </c>
      <c r="D695" s="696" t="s">
        <v>4131</v>
      </c>
      <c r="E695" s="696" t="s">
        <v>4132</v>
      </c>
      <c r="F695" s="711">
        <v>15</v>
      </c>
      <c r="G695" s="711">
        <v>4785</v>
      </c>
      <c r="H695" s="711">
        <v>1</v>
      </c>
      <c r="I695" s="711">
        <v>319</v>
      </c>
      <c r="J695" s="711">
        <v>6</v>
      </c>
      <c r="K695" s="711">
        <v>1920</v>
      </c>
      <c r="L695" s="711">
        <v>0.40125391849529779</v>
      </c>
      <c r="M695" s="711">
        <v>320</v>
      </c>
      <c r="N695" s="711">
        <v>3</v>
      </c>
      <c r="O695" s="711">
        <v>960</v>
      </c>
      <c r="P695" s="701">
        <v>0.20062695924764889</v>
      </c>
      <c r="Q695" s="712">
        <v>320</v>
      </c>
    </row>
    <row r="696" spans="1:17" ht="14.4" customHeight="1" x14ac:dyDescent="0.3">
      <c r="A696" s="695" t="s">
        <v>4895</v>
      </c>
      <c r="B696" s="696" t="s">
        <v>4082</v>
      </c>
      <c r="C696" s="696" t="s">
        <v>4114</v>
      </c>
      <c r="D696" s="696" t="s">
        <v>4133</v>
      </c>
      <c r="E696" s="696" t="s">
        <v>4134</v>
      </c>
      <c r="F696" s="711">
        <v>5</v>
      </c>
      <c r="G696" s="711">
        <v>2415</v>
      </c>
      <c r="H696" s="711">
        <v>1</v>
      </c>
      <c r="I696" s="711">
        <v>483</v>
      </c>
      <c r="J696" s="711">
        <v>6</v>
      </c>
      <c r="K696" s="711">
        <v>2904</v>
      </c>
      <c r="L696" s="711">
        <v>1.2024844720496894</v>
      </c>
      <c r="M696" s="711">
        <v>484</v>
      </c>
      <c r="N696" s="711"/>
      <c r="O696" s="711"/>
      <c r="P696" s="701"/>
      <c r="Q696" s="712"/>
    </row>
    <row r="697" spans="1:17" ht="14.4" customHeight="1" x14ac:dyDescent="0.3">
      <c r="A697" s="695" t="s">
        <v>4895</v>
      </c>
      <c r="B697" s="696" t="s">
        <v>4082</v>
      </c>
      <c r="C697" s="696" t="s">
        <v>4114</v>
      </c>
      <c r="D697" s="696" t="s">
        <v>4135</v>
      </c>
      <c r="E697" s="696" t="s">
        <v>4136</v>
      </c>
      <c r="F697" s="711">
        <v>4</v>
      </c>
      <c r="G697" s="711">
        <v>2704</v>
      </c>
      <c r="H697" s="711">
        <v>1</v>
      </c>
      <c r="I697" s="711">
        <v>676</v>
      </c>
      <c r="J697" s="711"/>
      <c r="K697" s="711"/>
      <c r="L697" s="711"/>
      <c r="M697" s="711"/>
      <c r="N697" s="711"/>
      <c r="O697" s="711"/>
      <c r="P697" s="701"/>
      <c r="Q697" s="712"/>
    </row>
    <row r="698" spans="1:17" ht="14.4" customHeight="1" x14ac:dyDescent="0.3">
      <c r="A698" s="695" t="s">
        <v>4895</v>
      </c>
      <c r="B698" s="696" t="s">
        <v>4082</v>
      </c>
      <c r="C698" s="696" t="s">
        <v>4114</v>
      </c>
      <c r="D698" s="696" t="s">
        <v>4139</v>
      </c>
      <c r="E698" s="696" t="s">
        <v>4134</v>
      </c>
      <c r="F698" s="711">
        <v>5</v>
      </c>
      <c r="G698" s="711">
        <v>2750</v>
      </c>
      <c r="H698" s="711">
        <v>1</v>
      </c>
      <c r="I698" s="711">
        <v>550</v>
      </c>
      <c r="J698" s="711">
        <v>2</v>
      </c>
      <c r="K698" s="711">
        <v>1106</v>
      </c>
      <c r="L698" s="711">
        <v>0.4021818181818182</v>
      </c>
      <c r="M698" s="711">
        <v>553</v>
      </c>
      <c r="N698" s="711">
        <v>4</v>
      </c>
      <c r="O698" s="711">
        <v>2224</v>
      </c>
      <c r="P698" s="701">
        <v>0.80872727272727274</v>
      </c>
      <c r="Q698" s="712">
        <v>556</v>
      </c>
    </row>
    <row r="699" spans="1:17" ht="14.4" customHeight="1" x14ac:dyDescent="0.3">
      <c r="A699" s="695" t="s">
        <v>4895</v>
      </c>
      <c r="B699" s="696" t="s">
        <v>4082</v>
      </c>
      <c r="C699" s="696" t="s">
        <v>4114</v>
      </c>
      <c r="D699" s="696" t="s">
        <v>4232</v>
      </c>
      <c r="E699" s="696" t="s">
        <v>4233</v>
      </c>
      <c r="F699" s="711">
        <v>22</v>
      </c>
      <c r="G699" s="711">
        <v>17600</v>
      </c>
      <c r="H699" s="711">
        <v>1</v>
      </c>
      <c r="I699" s="711">
        <v>800</v>
      </c>
      <c r="J699" s="711">
        <v>13</v>
      </c>
      <c r="K699" s="711">
        <v>10439</v>
      </c>
      <c r="L699" s="711">
        <v>0.59312500000000001</v>
      </c>
      <c r="M699" s="711">
        <v>803</v>
      </c>
      <c r="N699" s="711">
        <v>4</v>
      </c>
      <c r="O699" s="711">
        <v>3220</v>
      </c>
      <c r="P699" s="701">
        <v>0.18295454545454545</v>
      </c>
      <c r="Q699" s="712">
        <v>805</v>
      </c>
    </row>
    <row r="700" spans="1:17" ht="14.4" customHeight="1" x14ac:dyDescent="0.3">
      <c r="A700" s="695" t="s">
        <v>4895</v>
      </c>
      <c r="B700" s="696" t="s">
        <v>4082</v>
      </c>
      <c r="C700" s="696" t="s">
        <v>4114</v>
      </c>
      <c r="D700" s="696" t="s">
        <v>4255</v>
      </c>
      <c r="E700" s="696" t="s">
        <v>4181</v>
      </c>
      <c r="F700" s="711">
        <v>3</v>
      </c>
      <c r="G700" s="711">
        <v>2103</v>
      </c>
      <c r="H700" s="711">
        <v>1</v>
      </c>
      <c r="I700" s="711">
        <v>701</v>
      </c>
      <c r="J700" s="711"/>
      <c r="K700" s="711"/>
      <c r="L700" s="711"/>
      <c r="M700" s="711"/>
      <c r="N700" s="711">
        <v>2</v>
      </c>
      <c r="O700" s="711">
        <v>1410</v>
      </c>
      <c r="P700" s="701">
        <v>0.67047075606276751</v>
      </c>
      <c r="Q700" s="712">
        <v>705</v>
      </c>
    </row>
    <row r="701" spans="1:17" ht="14.4" customHeight="1" x14ac:dyDescent="0.3">
      <c r="A701" s="695" t="s">
        <v>4895</v>
      </c>
      <c r="B701" s="696" t="s">
        <v>4082</v>
      </c>
      <c r="C701" s="696" t="s">
        <v>4114</v>
      </c>
      <c r="D701" s="696" t="s">
        <v>4145</v>
      </c>
      <c r="E701" s="696" t="s">
        <v>4146</v>
      </c>
      <c r="F701" s="711">
        <v>6</v>
      </c>
      <c r="G701" s="711">
        <v>1236</v>
      </c>
      <c r="H701" s="711">
        <v>1</v>
      </c>
      <c r="I701" s="711">
        <v>206</v>
      </c>
      <c r="J701" s="711">
        <v>4</v>
      </c>
      <c r="K701" s="711">
        <v>828</v>
      </c>
      <c r="L701" s="711">
        <v>0.66990291262135926</v>
      </c>
      <c r="M701" s="711">
        <v>207</v>
      </c>
      <c r="N701" s="711">
        <v>8</v>
      </c>
      <c r="O701" s="711">
        <v>1662</v>
      </c>
      <c r="P701" s="701">
        <v>1.3446601941747574</v>
      </c>
      <c r="Q701" s="712">
        <v>207.75</v>
      </c>
    </row>
    <row r="702" spans="1:17" ht="14.4" customHeight="1" x14ac:dyDescent="0.3">
      <c r="A702" s="695" t="s">
        <v>4895</v>
      </c>
      <c r="B702" s="696" t="s">
        <v>4082</v>
      </c>
      <c r="C702" s="696" t="s">
        <v>4114</v>
      </c>
      <c r="D702" s="696" t="s">
        <v>4153</v>
      </c>
      <c r="E702" s="696" t="s">
        <v>4154</v>
      </c>
      <c r="F702" s="711">
        <v>60</v>
      </c>
      <c r="G702" s="711">
        <v>4860</v>
      </c>
      <c r="H702" s="711">
        <v>1</v>
      </c>
      <c r="I702" s="711">
        <v>81</v>
      </c>
      <c r="J702" s="711">
        <v>18</v>
      </c>
      <c r="K702" s="711">
        <v>1476</v>
      </c>
      <c r="L702" s="711">
        <v>0.3037037037037037</v>
      </c>
      <c r="M702" s="711">
        <v>82</v>
      </c>
      <c r="N702" s="711">
        <v>45</v>
      </c>
      <c r="O702" s="711">
        <v>3716</v>
      </c>
      <c r="P702" s="701">
        <v>0.76460905349794239</v>
      </c>
      <c r="Q702" s="712">
        <v>82.577777777777783</v>
      </c>
    </row>
    <row r="703" spans="1:17" ht="14.4" customHeight="1" x14ac:dyDescent="0.3">
      <c r="A703" s="695" t="s">
        <v>4895</v>
      </c>
      <c r="B703" s="696" t="s">
        <v>4082</v>
      </c>
      <c r="C703" s="696" t="s">
        <v>4114</v>
      </c>
      <c r="D703" s="696" t="s">
        <v>4157</v>
      </c>
      <c r="E703" s="696" t="s">
        <v>4158</v>
      </c>
      <c r="F703" s="711">
        <v>1</v>
      </c>
      <c r="G703" s="711">
        <v>852</v>
      </c>
      <c r="H703" s="711">
        <v>1</v>
      </c>
      <c r="I703" s="711">
        <v>852</v>
      </c>
      <c r="J703" s="711"/>
      <c r="K703" s="711"/>
      <c r="L703" s="711"/>
      <c r="M703" s="711"/>
      <c r="N703" s="711"/>
      <c r="O703" s="711"/>
      <c r="P703" s="701"/>
      <c r="Q703" s="712"/>
    </row>
    <row r="704" spans="1:17" ht="14.4" customHeight="1" x14ac:dyDescent="0.3">
      <c r="A704" s="695" t="s">
        <v>4895</v>
      </c>
      <c r="B704" s="696" t="s">
        <v>4082</v>
      </c>
      <c r="C704" s="696" t="s">
        <v>4114</v>
      </c>
      <c r="D704" s="696" t="s">
        <v>4234</v>
      </c>
      <c r="E704" s="696" t="s">
        <v>4233</v>
      </c>
      <c r="F704" s="711">
        <v>20</v>
      </c>
      <c r="G704" s="711">
        <v>18520</v>
      </c>
      <c r="H704" s="711">
        <v>1</v>
      </c>
      <c r="I704" s="711">
        <v>926</v>
      </c>
      <c r="J704" s="711"/>
      <c r="K704" s="711"/>
      <c r="L704" s="711"/>
      <c r="M704" s="711"/>
      <c r="N704" s="711">
        <v>36</v>
      </c>
      <c r="O704" s="711">
        <v>33476</v>
      </c>
      <c r="P704" s="701">
        <v>1.8075593952483802</v>
      </c>
      <c r="Q704" s="712">
        <v>929.88888888888891</v>
      </c>
    </row>
    <row r="705" spans="1:17" ht="14.4" customHeight="1" x14ac:dyDescent="0.3">
      <c r="A705" s="695" t="s">
        <v>4895</v>
      </c>
      <c r="B705" s="696" t="s">
        <v>4082</v>
      </c>
      <c r="C705" s="696" t="s">
        <v>4114</v>
      </c>
      <c r="D705" s="696" t="s">
        <v>4161</v>
      </c>
      <c r="E705" s="696" t="s">
        <v>4162</v>
      </c>
      <c r="F705" s="711"/>
      <c r="G705" s="711"/>
      <c r="H705" s="711"/>
      <c r="I705" s="711"/>
      <c r="J705" s="711">
        <v>2</v>
      </c>
      <c r="K705" s="711">
        <v>0</v>
      </c>
      <c r="L705" s="711"/>
      <c r="M705" s="711">
        <v>0</v>
      </c>
      <c r="N705" s="711"/>
      <c r="O705" s="711"/>
      <c r="P705" s="701"/>
      <c r="Q705" s="712"/>
    </row>
    <row r="706" spans="1:17" ht="14.4" customHeight="1" x14ac:dyDescent="0.3">
      <c r="A706" s="695" t="s">
        <v>4895</v>
      </c>
      <c r="B706" s="696" t="s">
        <v>4082</v>
      </c>
      <c r="C706" s="696" t="s">
        <v>4114</v>
      </c>
      <c r="D706" s="696" t="s">
        <v>4235</v>
      </c>
      <c r="E706" s="696" t="s">
        <v>4233</v>
      </c>
      <c r="F706" s="711">
        <v>2</v>
      </c>
      <c r="G706" s="711">
        <v>1466</v>
      </c>
      <c r="H706" s="711">
        <v>1</v>
      </c>
      <c r="I706" s="711">
        <v>733</v>
      </c>
      <c r="J706" s="711">
        <v>4</v>
      </c>
      <c r="K706" s="711">
        <v>2936</v>
      </c>
      <c r="L706" s="711">
        <v>2.0027285129604366</v>
      </c>
      <c r="M706" s="711">
        <v>734</v>
      </c>
      <c r="N706" s="711">
        <v>2</v>
      </c>
      <c r="O706" s="711">
        <v>1472</v>
      </c>
      <c r="P706" s="701">
        <v>1.004092769440655</v>
      </c>
      <c r="Q706" s="712">
        <v>736</v>
      </c>
    </row>
    <row r="707" spans="1:17" ht="14.4" customHeight="1" x14ac:dyDescent="0.3">
      <c r="A707" s="695" t="s">
        <v>4895</v>
      </c>
      <c r="B707" s="696" t="s">
        <v>4082</v>
      </c>
      <c r="C707" s="696" t="s">
        <v>4114</v>
      </c>
      <c r="D707" s="696" t="s">
        <v>4243</v>
      </c>
      <c r="E707" s="696" t="s">
        <v>4244</v>
      </c>
      <c r="F707" s="711">
        <v>1</v>
      </c>
      <c r="G707" s="711">
        <v>58</v>
      </c>
      <c r="H707" s="711">
        <v>1</v>
      </c>
      <c r="I707" s="711">
        <v>58</v>
      </c>
      <c r="J707" s="711"/>
      <c r="K707" s="711"/>
      <c r="L707" s="711"/>
      <c r="M707" s="711"/>
      <c r="N707" s="711"/>
      <c r="O707" s="711"/>
      <c r="P707" s="701"/>
      <c r="Q707" s="712"/>
    </row>
    <row r="708" spans="1:17" ht="14.4" customHeight="1" x14ac:dyDescent="0.3">
      <c r="A708" s="695" t="s">
        <v>4895</v>
      </c>
      <c r="B708" s="696" t="s">
        <v>4082</v>
      </c>
      <c r="C708" s="696" t="s">
        <v>4114</v>
      </c>
      <c r="D708" s="696" t="s">
        <v>4236</v>
      </c>
      <c r="E708" s="696" t="s">
        <v>4237</v>
      </c>
      <c r="F708" s="711">
        <v>37</v>
      </c>
      <c r="G708" s="711">
        <v>19351</v>
      </c>
      <c r="H708" s="711">
        <v>1</v>
      </c>
      <c r="I708" s="711">
        <v>523</v>
      </c>
      <c r="J708" s="711">
        <v>6</v>
      </c>
      <c r="K708" s="711">
        <v>3144</v>
      </c>
      <c r="L708" s="711">
        <v>0.16247222365769212</v>
      </c>
      <c r="M708" s="711">
        <v>524</v>
      </c>
      <c r="N708" s="711">
        <v>33</v>
      </c>
      <c r="O708" s="711">
        <v>17308</v>
      </c>
      <c r="P708" s="701">
        <v>0.89442406077205316</v>
      </c>
      <c r="Q708" s="712">
        <v>524.4848484848485</v>
      </c>
    </row>
    <row r="709" spans="1:17" ht="14.4" customHeight="1" x14ac:dyDescent="0.3">
      <c r="A709" s="695" t="s">
        <v>4895</v>
      </c>
      <c r="B709" s="696" t="s">
        <v>4082</v>
      </c>
      <c r="C709" s="696" t="s">
        <v>4114</v>
      </c>
      <c r="D709" s="696" t="s">
        <v>4171</v>
      </c>
      <c r="E709" s="696" t="s">
        <v>4172</v>
      </c>
      <c r="F709" s="711">
        <v>1</v>
      </c>
      <c r="G709" s="711">
        <v>295</v>
      </c>
      <c r="H709" s="711">
        <v>1</v>
      </c>
      <c r="I709" s="711">
        <v>295</v>
      </c>
      <c r="J709" s="711"/>
      <c r="K709" s="711"/>
      <c r="L709" s="711"/>
      <c r="M709" s="711"/>
      <c r="N709" s="711"/>
      <c r="O709" s="711"/>
      <c r="P709" s="701"/>
      <c r="Q709" s="712"/>
    </row>
    <row r="710" spans="1:17" ht="14.4" customHeight="1" x14ac:dyDescent="0.3">
      <c r="A710" s="695" t="s">
        <v>4895</v>
      </c>
      <c r="B710" s="696" t="s">
        <v>4082</v>
      </c>
      <c r="C710" s="696" t="s">
        <v>4114</v>
      </c>
      <c r="D710" s="696" t="s">
        <v>4238</v>
      </c>
      <c r="E710" s="696" t="s">
        <v>4146</v>
      </c>
      <c r="F710" s="711"/>
      <c r="G710" s="711"/>
      <c r="H710" s="711"/>
      <c r="I710" s="711"/>
      <c r="J710" s="711">
        <v>2</v>
      </c>
      <c r="K710" s="711">
        <v>344</v>
      </c>
      <c r="L710" s="711"/>
      <c r="M710" s="711">
        <v>172</v>
      </c>
      <c r="N710" s="711">
        <v>1</v>
      </c>
      <c r="O710" s="711">
        <v>174</v>
      </c>
      <c r="P710" s="701"/>
      <c r="Q710" s="712">
        <v>174</v>
      </c>
    </row>
    <row r="711" spans="1:17" ht="14.4" customHeight="1" x14ac:dyDescent="0.3">
      <c r="A711" s="695" t="s">
        <v>4895</v>
      </c>
      <c r="B711" s="696" t="s">
        <v>4082</v>
      </c>
      <c r="C711" s="696" t="s">
        <v>4114</v>
      </c>
      <c r="D711" s="696" t="s">
        <v>4175</v>
      </c>
      <c r="E711" s="696" t="s">
        <v>4172</v>
      </c>
      <c r="F711" s="711"/>
      <c r="G711" s="711"/>
      <c r="H711" s="711"/>
      <c r="I711" s="711"/>
      <c r="J711" s="711"/>
      <c r="K711" s="711"/>
      <c r="L711" s="711"/>
      <c r="M711" s="711"/>
      <c r="N711" s="711">
        <v>1</v>
      </c>
      <c r="O711" s="711">
        <v>365</v>
      </c>
      <c r="P711" s="701"/>
      <c r="Q711" s="712">
        <v>365</v>
      </c>
    </row>
    <row r="712" spans="1:17" ht="14.4" customHeight="1" x14ac:dyDescent="0.3">
      <c r="A712" s="695" t="s">
        <v>4895</v>
      </c>
      <c r="B712" s="696" t="s">
        <v>4082</v>
      </c>
      <c r="C712" s="696" t="s">
        <v>4114</v>
      </c>
      <c r="D712" s="696" t="s">
        <v>4180</v>
      </c>
      <c r="E712" s="696" t="s">
        <v>4181</v>
      </c>
      <c r="F712" s="711">
        <v>1</v>
      </c>
      <c r="G712" s="711">
        <v>599</v>
      </c>
      <c r="H712" s="711">
        <v>1</v>
      </c>
      <c r="I712" s="711">
        <v>599</v>
      </c>
      <c r="J712" s="711"/>
      <c r="K712" s="711"/>
      <c r="L712" s="711"/>
      <c r="M712" s="711"/>
      <c r="N712" s="711"/>
      <c r="O712" s="711"/>
      <c r="P712" s="701"/>
      <c r="Q712" s="712"/>
    </row>
    <row r="713" spans="1:17" ht="14.4" customHeight="1" x14ac:dyDescent="0.3">
      <c r="A713" s="695" t="s">
        <v>4895</v>
      </c>
      <c r="B713" s="696" t="s">
        <v>4082</v>
      </c>
      <c r="C713" s="696" t="s">
        <v>4114</v>
      </c>
      <c r="D713" s="696" t="s">
        <v>4182</v>
      </c>
      <c r="E713" s="696" t="s">
        <v>4183</v>
      </c>
      <c r="F713" s="711">
        <v>23</v>
      </c>
      <c r="G713" s="711">
        <v>6164</v>
      </c>
      <c r="H713" s="711">
        <v>1</v>
      </c>
      <c r="I713" s="711">
        <v>268</v>
      </c>
      <c r="J713" s="711">
        <v>17</v>
      </c>
      <c r="K713" s="711">
        <v>4573</v>
      </c>
      <c r="L713" s="711">
        <v>0.7418883841661259</v>
      </c>
      <c r="M713" s="711">
        <v>269</v>
      </c>
      <c r="N713" s="711">
        <v>11</v>
      </c>
      <c r="O713" s="711">
        <v>2973</v>
      </c>
      <c r="P713" s="701">
        <v>0.48231667748215445</v>
      </c>
      <c r="Q713" s="712">
        <v>270.27272727272725</v>
      </c>
    </row>
    <row r="714" spans="1:17" ht="14.4" customHeight="1" x14ac:dyDescent="0.3">
      <c r="A714" s="695" t="s">
        <v>4895</v>
      </c>
      <c r="B714" s="696" t="s">
        <v>4082</v>
      </c>
      <c r="C714" s="696" t="s">
        <v>4114</v>
      </c>
      <c r="D714" s="696" t="s">
        <v>4257</v>
      </c>
      <c r="E714" s="696" t="s">
        <v>4258</v>
      </c>
      <c r="F714" s="711">
        <v>5</v>
      </c>
      <c r="G714" s="711">
        <v>500</v>
      </c>
      <c r="H714" s="711">
        <v>1</v>
      </c>
      <c r="I714" s="711">
        <v>100</v>
      </c>
      <c r="J714" s="711"/>
      <c r="K714" s="711"/>
      <c r="L714" s="711"/>
      <c r="M714" s="711"/>
      <c r="N714" s="711"/>
      <c r="O714" s="711"/>
      <c r="P714" s="701"/>
      <c r="Q714" s="712"/>
    </row>
    <row r="715" spans="1:17" ht="14.4" customHeight="1" x14ac:dyDescent="0.3">
      <c r="A715" s="695" t="s">
        <v>4895</v>
      </c>
      <c r="B715" s="696" t="s">
        <v>4082</v>
      </c>
      <c r="C715" s="696" t="s">
        <v>4114</v>
      </c>
      <c r="D715" s="696" t="s">
        <v>4239</v>
      </c>
      <c r="E715" s="696" t="s">
        <v>4233</v>
      </c>
      <c r="F715" s="711">
        <v>6</v>
      </c>
      <c r="G715" s="711">
        <v>6054</v>
      </c>
      <c r="H715" s="711">
        <v>1</v>
      </c>
      <c r="I715" s="711">
        <v>1009</v>
      </c>
      <c r="J715" s="711"/>
      <c r="K715" s="711"/>
      <c r="L715" s="711"/>
      <c r="M715" s="711"/>
      <c r="N715" s="711"/>
      <c r="O715" s="711"/>
      <c r="P715" s="701"/>
      <c r="Q715" s="712"/>
    </row>
    <row r="716" spans="1:17" ht="14.4" customHeight="1" x14ac:dyDescent="0.3">
      <c r="A716" s="695" t="s">
        <v>4895</v>
      </c>
      <c r="B716" s="696" t="s">
        <v>4082</v>
      </c>
      <c r="C716" s="696" t="s">
        <v>4114</v>
      </c>
      <c r="D716" s="696" t="s">
        <v>4259</v>
      </c>
      <c r="E716" s="696" t="s">
        <v>4189</v>
      </c>
      <c r="F716" s="711"/>
      <c r="G716" s="711"/>
      <c r="H716" s="711"/>
      <c r="I716" s="711"/>
      <c r="J716" s="711"/>
      <c r="K716" s="711"/>
      <c r="L716" s="711"/>
      <c r="M716" s="711"/>
      <c r="N716" s="711">
        <v>2</v>
      </c>
      <c r="O716" s="711">
        <v>1602</v>
      </c>
      <c r="P716" s="701"/>
      <c r="Q716" s="712">
        <v>801</v>
      </c>
    </row>
    <row r="717" spans="1:17" ht="14.4" customHeight="1" x14ac:dyDescent="0.3">
      <c r="A717" s="695" t="s">
        <v>4895</v>
      </c>
      <c r="B717" s="696" t="s">
        <v>4082</v>
      </c>
      <c r="C717" s="696" t="s">
        <v>4114</v>
      </c>
      <c r="D717" s="696" t="s">
        <v>4192</v>
      </c>
      <c r="E717" s="696" t="s">
        <v>4132</v>
      </c>
      <c r="F717" s="711">
        <v>4</v>
      </c>
      <c r="G717" s="711">
        <v>1544</v>
      </c>
      <c r="H717" s="711">
        <v>1</v>
      </c>
      <c r="I717" s="711">
        <v>386</v>
      </c>
      <c r="J717" s="711">
        <v>14</v>
      </c>
      <c r="K717" s="711">
        <v>5446</v>
      </c>
      <c r="L717" s="711">
        <v>3.5272020725388602</v>
      </c>
      <c r="M717" s="711">
        <v>389</v>
      </c>
      <c r="N717" s="711">
        <v>9</v>
      </c>
      <c r="O717" s="711">
        <v>3537</v>
      </c>
      <c r="P717" s="701">
        <v>2.2908031088082903</v>
      </c>
      <c r="Q717" s="712">
        <v>393</v>
      </c>
    </row>
    <row r="718" spans="1:17" ht="14.4" customHeight="1" x14ac:dyDescent="0.3">
      <c r="A718" s="695" t="s">
        <v>4896</v>
      </c>
      <c r="B718" s="696" t="s">
        <v>4082</v>
      </c>
      <c r="C718" s="696" t="s">
        <v>4103</v>
      </c>
      <c r="D718" s="696" t="s">
        <v>4251</v>
      </c>
      <c r="E718" s="696" t="s">
        <v>4252</v>
      </c>
      <c r="F718" s="711"/>
      <c r="G718" s="711"/>
      <c r="H718" s="711"/>
      <c r="I718" s="711"/>
      <c r="J718" s="711">
        <v>2</v>
      </c>
      <c r="K718" s="711">
        <v>4620</v>
      </c>
      <c r="L718" s="711"/>
      <c r="M718" s="711">
        <v>2310</v>
      </c>
      <c r="N718" s="711"/>
      <c r="O718" s="711"/>
      <c r="P718" s="701"/>
      <c r="Q718" s="712"/>
    </row>
    <row r="719" spans="1:17" ht="14.4" customHeight="1" x14ac:dyDescent="0.3">
      <c r="A719" s="695" t="s">
        <v>4896</v>
      </c>
      <c r="B719" s="696" t="s">
        <v>4082</v>
      </c>
      <c r="C719" s="696" t="s">
        <v>4103</v>
      </c>
      <c r="D719" s="696" t="s">
        <v>4228</v>
      </c>
      <c r="E719" s="696" t="s">
        <v>4229</v>
      </c>
      <c r="F719" s="711"/>
      <c r="G719" s="711"/>
      <c r="H719" s="711"/>
      <c r="I719" s="711"/>
      <c r="J719" s="711">
        <v>16</v>
      </c>
      <c r="K719" s="711">
        <v>14476</v>
      </c>
      <c r="L719" s="711"/>
      <c r="M719" s="711">
        <v>904.75</v>
      </c>
      <c r="N719" s="711">
        <v>53</v>
      </c>
      <c r="O719" s="711">
        <v>47951.75</v>
      </c>
      <c r="P719" s="701"/>
      <c r="Q719" s="712">
        <v>904.75</v>
      </c>
    </row>
    <row r="720" spans="1:17" ht="14.4" customHeight="1" x14ac:dyDescent="0.3">
      <c r="A720" s="695" t="s">
        <v>4896</v>
      </c>
      <c r="B720" s="696" t="s">
        <v>4082</v>
      </c>
      <c r="C720" s="696" t="s">
        <v>4103</v>
      </c>
      <c r="D720" s="696" t="s">
        <v>4106</v>
      </c>
      <c r="E720" s="696" t="s">
        <v>4107</v>
      </c>
      <c r="F720" s="711"/>
      <c r="G720" s="711"/>
      <c r="H720" s="711"/>
      <c r="I720" s="711"/>
      <c r="J720" s="711">
        <v>1</v>
      </c>
      <c r="K720" s="711">
        <v>242.64</v>
      </c>
      <c r="L720" s="711"/>
      <c r="M720" s="711">
        <v>242.64</v>
      </c>
      <c r="N720" s="711"/>
      <c r="O720" s="711"/>
      <c r="P720" s="701"/>
      <c r="Q720" s="712"/>
    </row>
    <row r="721" spans="1:17" ht="14.4" customHeight="1" x14ac:dyDescent="0.3">
      <c r="A721" s="695" t="s">
        <v>4896</v>
      </c>
      <c r="B721" s="696" t="s">
        <v>4082</v>
      </c>
      <c r="C721" s="696" t="s">
        <v>4114</v>
      </c>
      <c r="D721" s="696" t="s">
        <v>4230</v>
      </c>
      <c r="E721" s="696" t="s">
        <v>4231</v>
      </c>
      <c r="F721" s="711">
        <v>3</v>
      </c>
      <c r="G721" s="711">
        <v>555</v>
      </c>
      <c r="H721" s="711">
        <v>1</v>
      </c>
      <c r="I721" s="711">
        <v>185</v>
      </c>
      <c r="J721" s="711">
        <v>1</v>
      </c>
      <c r="K721" s="711">
        <v>185</v>
      </c>
      <c r="L721" s="711">
        <v>0.33333333333333331</v>
      </c>
      <c r="M721" s="711">
        <v>185</v>
      </c>
      <c r="N721" s="711">
        <v>2</v>
      </c>
      <c r="O721" s="711">
        <v>370</v>
      </c>
      <c r="P721" s="701">
        <v>0.66666666666666663</v>
      </c>
      <c r="Q721" s="712">
        <v>185</v>
      </c>
    </row>
    <row r="722" spans="1:17" ht="14.4" customHeight="1" x14ac:dyDescent="0.3">
      <c r="A722" s="695" t="s">
        <v>4896</v>
      </c>
      <c r="B722" s="696" t="s">
        <v>4082</v>
      </c>
      <c r="C722" s="696" t="s">
        <v>4114</v>
      </c>
      <c r="D722" s="696" t="s">
        <v>4266</v>
      </c>
      <c r="E722" s="696" t="s">
        <v>4267</v>
      </c>
      <c r="F722" s="711">
        <v>1</v>
      </c>
      <c r="G722" s="711">
        <v>1093</v>
      </c>
      <c r="H722" s="711">
        <v>1</v>
      </c>
      <c r="I722" s="711">
        <v>1093</v>
      </c>
      <c r="J722" s="711"/>
      <c r="K722" s="711"/>
      <c r="L722" s="711"/>
      <c r="M722" s="711"/>
      <c r="N722" s="711">
        <v>2</v>
      </c>
      <c r="O722" s="711">
        <v>2268</v>
      </c>
      <c r="P722" s="701">
        <v>2.0750228728270814</v>
      </c>
      <c r="Q722" s="712">
        <v>1134</v>
      </c>
    </row>
    <row r="723" spans="1:17" ht="14.4" customHeight="1" x14ac:dyDescent="0.3">
      <c r="A723" s="695" t="s">
        <v>4896</v>
      </c>
      <c r="B723" s="696" t="s">
        <v>4082</v>
      </c>
      <c r="C723" s="696" t="s">
        <v>4114</v>
      </c>
      <c r="D723" s="696" t="s">
        <v>4119</v>
      </c>
      <c r="E723" s="696" t="s">
        <v>4120</v>
      </c>
      <c r="F723" s="711">
        <v>1</v>
      </c>
      <c r="G723" s="711">
        <v>34</v>
      </c>
      <c r="H723" s="711">
        <v>1</v>
      </c>
      <c r="I723" s="711">
        <v>34</v>
      </c>
      <c r="J723" s="711">
        <v>1</v>
      </c>
      <c r="K723" s="711">
        <v>34</v>
      </c>
      <c r="L723" s="711">
        <v>1</v>
      </c>
      <c r="M723" s="711">
        <v>34</v>
      </c>
      <c r="N723" s="711"/>
      <c r="O723" s="711"/>
      <c r="P723" s="701"/>
      <c r="Q723" s="712"/>
    </row>
    <row r="724" spans="1:17" ht="14.4" customHeight="1" x14ac:dyDescent="0.3">
      <c r="A724" s="695" t="s">
        <v>4896</v>
      </c>
      <c r="B724" s="696" t="s">
        <v>4082</v>
      </c>
      <c r="C724" s="696" t="s">
        <v>4114</v>
      </c>
      <c r="D724" s="696" t="s">
        <v>4125</v>
      </c>
      <c r="E724" s="696" t="s">
        <v>4078</v>
      </c>
      <c r="F724" s="711">
        <v>16</v>
      </c>
      <c r="G724" s="711">
        <v>2496</v>
      </c>
      <c r="H724" s="711">
        <v>1</v>
      </c>
      <c r="I724" s="711">
        <v>156</v>
      </c>
      <c r="J724" s="711"/>
      <c r="K724" s="711"/>
      <c r="L724" s="711"/>
      <c r="M724" s="711"/>
      <c r="N724" s="711"/>
      <c r="O724" s="711"/>
      <c r="P724" s="701"/>
      <c r="Q724" s="712"/>
    </row>
    <row r="725" spans="1:17" ht="14.4" customHeight="1" x14ac:dyDescent="0.3">
      <c r="A725" s="695" t="s">
        <v>4896</v>
      </c>
      <c r="B725" s="696" t="s">
        <v>4082</v>
      </c>
      <c r="C725" s="696" t="s">
        <v>4114</v>
      </c>
      <c r="D725" s="696" t="s">
        <v>4126</v>
      </c>
      <c r="E725" s="696" t="s">
        <v>4078</v>
      </c>
      <c r="F725" s="711">
        <v>21</v>
      </c>
      <c r="G725" s="711">
        <v>1638</v>
      </c>
      <c r="H725" s="711">
        <v>1</v>
      </c>
      <c r="I725" s="711">
        <v>78</v>
      </c>
      <c r="J725" s="711"/>
      <c r="K725" s="711"/>
      <c r="L725" s="711"/>
      <c r="M725" s="711"/>
      <c r="N725" s="711"/>
      <c r="O725" s="711"/>
      <c r="P725" s="701"/>
      <c r="Q725" s="712"/>
    </row>
    <row r="726" spans="1:17" ht="14.4" customHeight="1" x14ac:dyDescent="0.3">
      <c r="A726" s="695" t="s">
        <v>4896</v>
      </c>
      <c r="B726" s="696" t="s">
        <v>4082</v>
      </c>
      <c r="C726" s="696" t="s">
        <v>4114</v>
      </c>
      <c r="D726" s="696" t="s">
        <v>4127</v>
      </c>
      <c r="E726" s="696" t="s">
        <v>4128</v>
      </c>
      <c r="F726" s="711">
        <v>919</v>
      </c>
      <c r="G726" s="711">
        <v>212289</v>
      </c>
      <c r="H726" s="711">
        <v>1</v>
      </c>
      <c r="I726" s="711">
        <v>231</v>
      </c>
      <c r="J726" s="711">
        <v>1033</v>
      </c>
      <c r="K726" s="711">
        <v>239656</v>
      </c>
      <c r="L726" s="711">
        <v>1.1289138862588264</v>
      </c>
      <c r="M726" s="711">
        <v>232</v>
      </c>
      <c r="N726" s="711">
        <v>1300</v>
      </c>
      <c r="O726" s="711">
        <v>302704</v>
      </c>
      <c r="P726" s="701">
        <v>1.4259052518029667</v>
      </c>
      <c r="Q726" s="712">
        <v>232.84923076923076</v>
      </c>
    </row>
    <row r="727" spans="1:17" ht="14.4" customHeight="1" x14ac:dyDescent="0.3">
      <c r="A727" s="695" t="s">
        <v>4896</v>
      </c>
      <c r="B727" s="696" t="s">
        <v>4082</v>
      </c>
      <c r="C727" s="696" t="s">
        <v>4114</v>
      </c>
      <c r="D727" s="696" t="s">
        <v>4129</v>
      </c>
      <c r="E727" s="696" t="s">
        <v>4130</v>
      </c>
      <c r="F727" s="711">
        <v>549</v>
      </c>
      <c r="G727" s="711">
        <v>63684</v>
      </c>
      <c r="H727" s="711">
        <v>1</v>
      </c>
      <c r="I727" s="711">
        <v>116</v>
      </c>
      <c r="J727" s="711">
        <v>501</v>
      </c>
      <c r="K727" s="711">
        <v>58116</v>
      </c>
      <c r="L727" s="711">
        <v>0.91256830601092898</v>
      </c>
      <c r="M727" s="711">
        <v>116</v>
      </c>
      <c r="N727" s="711">
        <v>513</v>
      </c>
      <c r="O727" s="711">
        <v>59930</v>
      </c>
      <c r="P727" s="701">
        <v>0.94105269769486843</v>
      </c>
      <c r="Q727" s="712">
        <v>116.82261208576998</v>
      </c>
    </row>
    <row r="728" spans="1:17" ht="14.4" customHeight="1" x14ac:dyDescent="0.3">
      <c r="A728" s="695" t="s">
        <v>4896</v>
      </c>
      <c r="B728" s="696" t="s">
        <v>4082</v>
      </c>
      <c r="C728" s="696" t="s">
        <v>4114</v>
      </c>
      <c r="D728" s="696" t="s">
        <v>4131</v>
      </c>
      <c r="E728" s="696" t="s">
        <v>4132</v>
      </c>
      <c r="F728" s="711">
        <v>28</v>
      </c>
      <c r="G728" s="711">
        <v>8932</v>
      </c>
      <c r="H728" s="711">
        <v>1</v>
      </c>
      <c r="I728" s="711">
        <v>319</v>
      </c>
      <c r="J728" s="711">
        <v>28</v>
      </c>
      <c r="K728" s="711">
        <v>8960</v>
      </c>
      <c r="L728" s="711">
        <v>1.0031347962382444</v>
      </c>
      <c r="M728" s="711">
        <v>320</v>
      </c>
      <c r="N728" s="711">
        <v>26</v>
      </c>
      <c r="O728" s="711">
        <v>8344</v>
      </c>
      <c r="P728" s="701">
        <v>0.93416927899686519</v>
      </c>
      <c r="Q728" s="712">
        <v>320.92307692307691</v>
      </c>
    </row>
    <row r="729" spans="1:17" ht="14.4" customHeight="1" x14ac:dyDescent="0.3">
      <c r="A729" s="695" t="s">
        <v>4896</v>
      </c>
      <c r="B729" s="696" t="s">
        <v>4082</v>
      </c>
      <c r="C729" s="696" t="s">
        <v>4114</v>
      </c>
      <c r="D729" s="696" t="s">
        <v>4133</v>
      </c>
      <c r="E729" s="696" t="s">
        <v>4134</v>
      </c>
      <c r="F729" s="711">
        <v>298</v>
      </c>
      <c r="G729" s="711">
        <v>143934</v>
      </c>
      <c r="H729" s="711">
        <v>1</v>
      </c>
      <c r="I729" s="711">
        <v>483</v>
      </c>
      <c r="J729" s="711">
        <v>249</v>
      </c>
      <c r="K729" s="711">
        <v>120516</v>
      </c>
      <c r="L729" s="711">
        <v>0.83730042936345828</v>
      </c>
      <c r="M729" s="711">
        <v>484</v>
      </c>
      <c r="N729" s="711">
        <v>136</v>
      </c>
      <c r="O729" s="711">
        <v>65892</v>
      </c>
      <c r="P729" s="701">
        <v>0.45779315519613156</v>
      </c>
      <c r="Q729" s="712">
        <v>484.5</v>
      </c>
    </row>
    <row r="730" spans="1:17" ht="14.4" customHeight="1" x14ac:dyDescent="0.3">
      <c r="A730" s="695" t="s">
        <v>4896</v>
      </c>
      <c r="B730" s="696" t="s">
        <v>4082</v>
      </c>
      <c r="C730" s="696" t="s">
        <v>4114</v>
      </c>
      <c r="D730" s="696" t="s">
        <v>4135</v>
      </c>
      <c r="E730" s="696" t="s">
        <v>4136</v>
      </c>
      <c r="F730" s="711">
        <v>78</v>
      </c>
      <c r="G730" s="711">
        <v>52728</v>
      </c>
      <c r="H730" s="711">
        <v>1</v>
      </c>
      <c r="I730" s="711">
        <v>676</v>
      </c>
      <c r="J730" s="711">
        <v>59</v>
      </c>
      <c r="K730" s="711">
        <v>39943</v>
      </c>
      <c r="L730" s="711">
        <v>0.75752920649370359</v>
      </c>
      <c r="M730" s="711">
        <v>677</v>
      </c>
      <c r="N730" s="711">
        <v>53</v>
      </c>
      <c r="O730" s="711">
        <v>35933</v>
      </c>
      <c r="P730" s="701">
        <v>0.68147853133060232</v>
      </c>
      <c r="Q730" s="712">
        <v>677.98113207547169</v>
      </c>
    </row>
    <row r="731" spans="1:17" ht="14.4" customHeight="1" x14ac:dyDescent="0.3">
      <c r="A731" s="695" t="s">
        <v>4896</v>
      </c>
      <c r="B731" s="696" t="s">
        <v>4082</v>
      </c>
      <c r="C731" s="696" t="s">
        <v>4114</v>
      </c>
      <c r="D731" s="696" t="s">
        <v>4139</v>
      </c>
      <c r="E731" s="696" t="s">
        <v>4134</v>
      </c>
      <c r="F731" s="711">
        <v>295</v>
      </c>
      <c r="G731" s="711">
        <v>162250</v>
      </c>
      <c r="H731" s="711">
        <v>1</v>
      </c>
      <c r="I731" s="711">
        <v>550</v>
      </c>
      <c r="J731" s="711">
        <v>252</v>
      </c>
      <c r="K731" s="711">
        <v>139356</v>
      </c>
      <c r="L731" s="711">
        <v>0.85889676425269645</v>
      </c>
      <c r="M731" s="711">
        <v>553</v>
      </c>
      <c r="N731" s="711">
        <v>233</v>
      </c>
      <c r="O731" s="711">
        <v>129265</v>
      </c>
      <c r="P731" s="701">
        <v>0.79670261941448384</v>
      </c>
      <c r="Q731" s="712">
        <v>554.78540772532187</v>
      </c>
    </row>
    <row r="732" spans="1:17" ht="14.4" customHeight="1" x14ac:dyDescent="0.3">
      <c r="A732" s="695" t="s">
        <v>4896</v>
      </c>
      <c r="B732" s="696" t="s">
        <v>4082</v>
      </c>
      <c r="C732" s="696" t="s">
        <v>4114</v>
      </c>
      <c r="D732" s="696" t="s">
        <v>4140</v>
      </c>
      <c r="E732" s="696" t="s">
        <v>4136</v>
      </c>
      <c r="F732" s="711">
        <v>27</v>
      </c>
      <c r="G732" s="711">
        <v>20061</v>
      </c>
      <c r="H732" s="711">
        <v>1</v>
      </c>
      <c r="I732" s="711">
        <v>743</v>
      </c>
      <c r="J732" s="711">
        <v>78</v>
      </c>
      <c r="K732" s="711">
        <v>58188</v>
      </c>
      <c r="L732" s="711">
        <v>2.9005533123971885</v>
      </c>
      <c r="M732" s="711">
        <v>746</v>
      </c>
      <c r="N732" s="711">
        <v>126</v>
      </c>
      <c r="O732" s="711">
        <v>94296</v>
      </c>
      <c r="P732" s="701">
        <v>4.7004635860625097</v>
      </c>
      <c r="Q732" s="712">
        <v>748.38095238095241</v>
      </c>
    </row>
    <row r="733" spans="1:17" ht="14.4" customHeight="1" x14ac:dyDescent="0.3">
      <c r="A733" s="695" t="s">
        <v>4896</v>
      </c>
      <c r="B733" s="696" t="s">
        <v>4082</v>
      </c>
      <c r="C733" s="696" t="s">
        <v>4114</v>
      </c>
      <c r="D733" s="696" t="s">
        <v>4232</v>
      </c>
      <c r="E733" s="696" t="s">
        <v>4233</v>
      </c>
      <c r="F733" s="711">
        <v>1226</v>
      </c>
      <c r="G733" s="711">
        <v>980800</v>
      </c>
      <c r="H733" s="711">
        <v>1</v>
      </c>
      <c r="I733" s="711">
        <v>800</v>
      </c>
      <c r="J733" s="711">
        <v>1233</v>
      </c>
      <c r="K733" s="711">
        <v>990099</v>
      </c>
      <c r="L733" s="711">
        <v>1.0094810358890702</v>
      </c>
      <c r="M733" s="711">
        <v>803</v>
      </c>
      <c r="N733" s="711">
        <v>1224</v>
      </c>
      <c r="O733" s="711">
        <v>985008</v>
      </c>
      <c r="P733" s="701">
        <v>1.0042903752039152</v>
      </c>
      <c r="Q733" s="712">
        <v>804.74509803921569</v>
      </c>
    </row>
    <row r="734" spans="1:17" ht="14.4" customHeight="1" x14ac:dyDescent="0.3">
      <c r="A734" s="695" t="s">
        <v>4896</v>
      </c>
      <c r="B734" s="696" t="s">
        <v>4082</v>
      </c>
      <c r="C734" s="696" t="s">
        <v>4114</v>
      </c>
      <c r="D734" s="696" t="s">
        <v>4141</v>
      </c>
      <c r="E734" s="696" t="s">
        <v>4142</v>
      </c>
      <c r="F734" s="711">
        <v>1</v>
      </c>
      <c r="G734" s="711">
        <v>435</v>
      </c>
      <c r="H734" s="711">
        <v>1</v>
      </c>
      <c r="I734" s="711">
        <v>435</v>
      </c>
      <c r="J734" s="711">
        <v>2</v>
      </c>
      <c r="K734" s="711">
        <v>878</v>
      </c>
      <c r="L734" s="711">
        <v>2.018390804597701</v>
      </c>
      <c r="M734" s="711">
        <v>439</v>
      </c>
      <c r="N734" s="711">
        <v>1</v>
      </c>
      <c r="O734" s="711">
        <v>446</v>
      </c>
      <c r="P734" s="701">
        <v>1.025287356321839</v>
      </c>
      <c r="Q734" s="712">
        <v>446</v>
      </c>
    </row>
    <row r="735" spans="1:17" ht="14.4" customHeight="1" x14ac:dyDescent="0.3">
      <c r="A735" s="695" t="s">
        <v>4896</v>
      </c>
      <c r="B735" s="696" t="s">
        <v>4082</v>
      </c>
      <c r="C735" s="696" t="s">
        <v>4114</v>
      </c>
      <c r="D735" s="696" t="s">
        <v>4143</v>
      </c>
      <c r="E735" s="696" t="s">
        <v>4144</v>
      </c>
      <c r="F735" s="711"/>
      <c r="G735" s="711"/>
      <c r="H735" s="711"/>
      <c r="I735" s="711"/>
      <c r="J735" s="711">
        <v>1</v>
      </c>
      <c r="K735" s="711">
        <v>431</v>
      </c>
      <c r="L735" s="711"/>
      <c r="M735" s="711">
        <v>431</v>
      </c>
      <c r="N735" s="711"/>
      <c r="O735" s="711"/>
      <c r="P735" s="701"/>
      <c r="Q735" s="712"/>
    </row>
    <row r="736" spans="1:17" ht="14.4" customHeight="1" x14ac:dyDescent="0.3">
      <c r="A736" s="695" t="s">
        <v>4896</v>
      </c>
      <c r="B736" s="696" t="s">
        <v>4082</v>
      </c>
      <c r="C736" s="696" t="s">
        <v>4114</v>
      </c>
      <c r="D736" s="696" t="s">
        <v>4255</v>
      </c>
      <c r="E736" s="696" t="s">
        <v>4181</v>
      </c>
      <c r="F736" s="711">
        <v>141</v>
      </c>
      <c r="G736" s="711">
        <v>98841</v>
      </c>
      <c r="H736" s="711">
        <v>1</v>
      </c>
      <c r="I736" s="711">
        <v>701</v>
      </c>
      <c r="J736" s="711">
        <v>143</v>
      </c>
      <c r="K736" s="711">
        <v>100815</v>
      </c>
      <c r="L736" s="711">
        <v>1.0199714693295292</v>
      </c>
      <c r="M736" s="711">
        <v>705</v>
      </c>
      <c r="N736" s="711">
        <v>118</v>
      </c>
      <c r="O736" s="711">
        <v>83561</v>
      </c>
      <c r="P736" s="701">
        <v>0.84540828198824369</v>
      </c>
      <c r="Q736" s="712">
        <v>708.14406779661022</v>
      </c>
    </row>
    <row r="737" spans="1:17" ht="14.4" customHeight="1" x14ac:dyDescent="0.3">
      <c r="A737" s="695" t="s">
        <v>4896</v>
      </c>
      <c r="B737" s="696" t="s">
        <v>4082</v>
      </c>
      <c r="C737" s="696" t="s">
        <v>4114</v>
      </c>
      <c r="D737" s="696" t="s">
        <v>4256</v>
      </c>
      <c r="E737" s="696" t="s">
        <v>4138</v>
      </c>
      <c r="F737" s="711">
        <v>3</v>
      </c>
      <c r="G737" s="711">
        <v>2445</v>
      </c>
      <c r="H737" s="711">
        <v>1</v>
      </c>
      <c r="I737" s="711">
        <v>815</v>
      </c>
      <c r="J737" s="711">
        <v>2</v>
      </c>
      <c r="K737" s="711">
        <v>1636</v>
      </c>
      <c r="L737" s="711">
        <v>0.66912065439672797</v>
      </c>
      <c r="M737" s="711">
        <v>818</v>
      </c>
      <c r="N737" s="711">
        <v>7</v>
      </c>
      <c r="O737" s="711">
        <v>5730</v>
      </c>
      <c r="P737" s="701">
        <v>2.3435582822085887</v>
      </c>
      <c r="Q737" s="712">
        <v>818.57142857142856</v>
      </c>
    </row>
    <row r="738" spans="1:17" ht="14.4" customHeight="1" x14ac:dyDescent="0.3">
      <c r="A738" s="695" t="s">
        <v>4896</v>
      </c>
      <c r="B738" s="696" t="s">
        <v>4082</v>
      </c>
      <c r="C738" s="696" t="s">
        <v>4114</v>
      </c>
      <c r="D738" s="696" t="s">
        <v>4145</v>
      </c>
      <c r="E738" s="696" t="s">
        <v>4146</v>
      </c>
      <c r="F738" s="711">
        <v>298</v>
      </c>
      <c r="G738" s="711">
        <v>61388</v>
      </c>
      <c r="H738" s="711">
        <v>1</v>
      </c>
      <c r="I738" s="711">
        <v>206</v>
      </c>
      <c r="J738" s="711">
        <v>306</v>
      </c>
      <c r="K738" s="711">
        <v>63342</v>
      </c>
      <c r="L738" s="711">
        <v>1.0318303251449794</v>
      </c>
      <c r="M738" s="711">
        <v>207</v>
      </c>
      <c r="N738" s="711">
        <v>331</v>
      </c>
      <c r="O738" s="711">
        <v>68811</v>
      </c>
      <c r="P738" s="701">
        <v>1.1209193979279337</v>
      </c>
      <c r="Q738" s="712">
        <v>207.88821752265861</v>
      </c>
    </row>
    <row r="739" spans="1:17" ht="14.4" customHeight="1" x14ac:dyDescent="0.3">
      <c r="A739" s="695" t="s">
        <v>4896</v>
      </c>
      <c r="B739" s="696" t="s">
        <v>4082</v>
      </c>
      <c r="C739" s="696" t="s">
        <v>4114</v>
      </c>
      <c r="D739" s="696" t="s">
        <v>4153</v>
      </c>
      <c r="E739" s="696" t="s">
        <v>4154</v>
      </c>
      <c r="F739" s="711">
        <v>2385</v>
      </c>
      <c r="G739" s="711">
        <v>193185</v>
      </c>
      <c r="H739" s="711">
        <v>1</v>
      </c>
      <c r="I739" s="711">
        <v>81</v>
      </c>
      <c r="J739" s="711">
        <v>2355</v>
      </c>
      <c r="K739" s="711">
        <v>193110</v>
      </c>
      <c r="L739" s="711">
        <v>0.99961177110024069</v>
      </c>
      <c r="M739" s="711">
        <v>82</v>
      </c>
      <c r="N739" s="711">
        <v>2615</v>
      </c>
      <c r="O739" s="711">
        <v>216704</v>
      </c>
      <c r="P739" s="701">
        <v>1.1217434065791858</v>
      </c>
      <c r="Q739" s="712">
        <v>82.869598470363286</v>
      </c>
    </row>
    <row r="740" spans="1:17" ht="14.4" customHeight="1" x14ac:dyDescent="0.3">
      <c r="A740" s="695" t="s">
        <v>4896</v>
      </c>
      <c r="B740" s="696" t="s">
        <v>4082</v>
      </c>
      <c r="C740" s="696" t="s">
        <v>4114</v>
      </c>
      <c r="D740" s="696" t="s">
        <v>4157</v>
      </c>
      <c r="E740" s="696" t="s">
        <v>4158</v>
      </c>
      <c r="F740" s="711"/>
      <c r="G740" s="711"/>
      <c r="H740" s="711"/>
      <c r="I740" s="711"/>
      <c r="J740" s="711">
        <v>1</v>
      </c>
      <c r="K740" s="711">
        <v>703</v>
      </c>
      <c r="L740" s="711"/>
      <c r="M740" s="711">
        <v>703</v>
      </c>
      <c r="N740" s="711">
        <v>2</v>
      </c>
      <c r="O740" s="711">
        <v>1409</v>
      </c>
      <c r="P740" s="701"/>
      <c r="Q740" s="712">
        <v>704.5</v>
      </c>
    </row>
    <row r="741" spans="1:17" ht="14.4" customHeight="1" x14ac:dyDescent="0.3">
      <c r="A741" s="695" t="s">
        <v>4896</v>
      </c>
      <c r="B741" s="696" t="s">
        <v>4082</v>
      </c>
      <c r="C741" s="696" t="s">
        <v>4114</v>
      </c>
      <c r="D741" s="696" t="s">
        <v>4159</v>
      </c>
      <c r="E741" s="696" t="s">
        <v>4160</v>
      </c>
      <c r="F741" s="711"/>
      <c r="G741" s="711"/>
      <c r="H741" s="711"/>
      <c r="I741" s="711"/>
      <c r="J741" s="711"/>
      <c r="K741" s="711"/>
      <c r="L741" s="711"/>
      <c r="M741" s="711"/>
      <c r="N741" s="711">
        <v>1</v>
      </c>
      <c r="O741" s="711">
        <v>0</v>
      </c>
      <c r="P741" s="701"/>
      <c r="Q741" s="712">
        <v>0</v>
      </c>
    </row>
    <row r="742" spans="1:17" ht="14.4" customHeight="1" x14ac:dyDescent="0.3">
      <c r="A742" s="695" t="s">
        <v>4896</v>
      </c>
      <c r="B742" s="696" t="s">
        <v>4082</v>
      </c>
      <c r="C742" s="696" t="s">
        <v>4114</v>
      </c>
      <c r="D742" s="696" t="s">
        <v>4234</v>
      </c>
      <c r="E742" s="696" t="s">
        <v>4233</v>
      </c>
      <c r="F742" s="711">
        <v>284</v>
      </c>
      <c r="G742" s="711">
        <v>262984</v>
      </c>
      <c r="H742" s="711">
        <v>1</v>
      </c>
      <c r="I742" s="711">
        <v>926</v>
      </c>
      <c r="J742" s="711">
        <v>285</v>
      </c>
      <c r="K742" s="711">
        <v>264765</v>
      </c>
      <c r="L742" s="711">
        <v>1.0067722751193988</v>
      </c>
      <c r="M742" s="711">
        <v>929</v>
      </c>
      <c r="N742" s="711">
        <v>362</v>
      </c>
      <c r="O742" s="711">
        <v>336938</v>
      </c>
      <c r="P742" s="701">
        <v>1.2812110242448209</v>
      </c>
      <c r="Q742" s="712">
        <v>930.76795580110502</v>
      </c>
    </row>
    <row r="743" spans="1:17" ht="14.4" customHeight="1" x14ac:dyDescent="0.3">
      <c r="A743" s="695" t="s">
        <v>4896</v>
      </c>
      <c r="B743" s="696" t="s">
        <v>4082</v>
      </c>
      <c r="C743" s="696" t="s">
        <v>4114</v>
      </c>
      <c r="D743" s="696" t="s">
        <v>4161</v>
      </c>
      <c r="E743" s="696" t="s">
        <v>4162</v>
      </c>
      <c r="F743" s="711"/>
      <c r="G743" s="711"/>
      <c r="H743" s="711"/>
      <c r="I743" s="711"/>
      <c r="J743" s="711">
        <v>32</v>
      </c>
      <c r="K743" s="711">
        <v>0</v>
      </c>
      <c r="L743" s="711"/>
      <c r="M743" s="711">
        <v>0</v>
      </c>
      <c r="N743" s="711"/>
      <c r="O743" s="711"/>
      <c r="P743" s="701"/>
      <c r="Q743" s="712"/>
    </row>
    <row r="744" spans="1:17" ht="14.4" customHeight="1" x14ac:dyDescent="0.3">
      <c r="A744" s="695" t="s">
        <v>4896</v>
      </c>
      <c r="B744" s="696" t="s">
        <v>4082</v>
      </c>
      <c r="C744" s="696" t="s">
        <v>4114</v>
      </c>
      <c r="D744" s="696" t="s">
        <v>4163</v>
      </c>
      <c r="E744" s="696" t="s">
        <v>4164</v>
      </c>
      <c r="F744" s="711"/>
      <c r="G744" s="711"/>
      <c r="H744" s="711"/>
      <c r="I744" s="711"/>
      <c r="J744" s="711">
        <v>5</v>
      </c>
      <c r="K744" s="711">
        <v>560</v>
      </c>
      <c r="L744" s="711"/>
      <c r="M744" s="711">
        <v>112</v>
      </c>
      <c r="N744" s="711"/>
      <c r="O744" s="711"/>
      <c r="P744" s="701"/>
      <c r="Q744" s="712"/>
    </row>
    <row r="745" spans="1:17" ht="14.4" customHeight="1" x14ac:dyDescent="0.3">
      <c r="A745" s="695" t="s">
        <v>4896</v>
      </c>
      <c r="B745" s="696" t="s">
        <v>4082</v>
      </c>
      <c r="C745" s="696" t="s">
        <v>4114</v>
      </c>
      <c r="D745" s="696" t="s">
        <v>4235</v>
      </c>
      <c r="E745" s="696" t="s">
        <v>4233</v>
      </c>
      <c r="F745" s="711">
        <v>399</v>
      </c>
      <c r="G745" s="711">
        <v>292467</v>
      </c>
      <c r="H745" s="711">
        <v>1</v>
      </c>
      <c r="I745" s="711">
        <v>733</v>
      </c>
      <c r="J745" s="711">
        <v>296</v>
      </c>
      <c r="K745" s="711">
        <v>217264</v>
      </c>
      <c r="L745" s="711">
        <v>0.74286671658682857</v>
      </c>
      <c r="M745" s="711">
        <v>734</v>
      </c>
      <c r="N745" s="711">
        <v>414</v>
      </c>
      <c r="O745" s="711">
        <v>304158</v>
      </c>
      <c r="P745" s="701">
        <v>1.0399737406271476</v>
      </c>
      <c r="Q745" s="712">
        <v>734.68115942028987</v>
      </c>
    </row>
    <row r="746" spans="1:17" ht="14.4" customHeight="1" x14ac:dyDescent="0.3">
      <c r="A746" s="695" t="s">
        <v>4896</v>
      </c>
      <c r="B746" s="696" t="s">
        <v>4082</v>
      </c>
      <c r="C746" s="696" t="s">
        <v>4114</v>
      </c>
      <c r="D746" s="696" t="s">
        <v>4243</v>
      </c>
      <c r="E746" s="696" t="s">
        <v>4244</v>
      </c>
      <c r="F746" s="711">
        <v>1</v>
      </c>
      <c r="G746" s="711">
        <v>58</v>
      </c>
      <c r="H746" s="711">
        <v>1</v>
      </c>
      <c r="I746" s="711">
        <v>58</v>
      </c>
      <c r="J746" s="711"/>
      <c r="K746" s="711"/>
      <c r="L746" s="711"/>
      <c r="M746" s="711"/>
      <c r="N746" s="711">
        <v>1</v>
      </c>
      <c r="O746" s="711">
        <v>56</v>
      </c>
      <c r="P746" s="701">
        <v>0.96551724137931039</v>
      </c>
      <c r="Q746" s="712">
        <v>56</v>
      </c>
    </row>
    <row r="747" spans="1:17" ht="14.4" customHeight="1" x14ac:dyDescent="0.3">
      <c r="A747" s="695" t="s">
        <v>4896</v>
      </c>
      <c r="B747" s="696" t="s">
        <v>4082</v>
      </c>
      <c r="C747" s="696" t="s">
        <v>4114</v>
      </c>
      <c r="D747" s="696" t="s">
        <v>4236</v>
      </c>
      <c r="E747" s="696" t="s">
        <v>4237</v>
      </c>
      <c r="F747" s="711">
        <v>75</v>
      </c>
      <c r="G747" s="711">
        <v>39225</v>
      </c>
      <c r="H747" s="711">
        <v>1</v>
      </c>
      <c r="I747" s="711">
        <v>523</v>
      </c>
      <c r="J747" s="711">
        <v>68</v>
      </c>
      <c r="K747" s="711">
        <v>35632</v>
      </c>
      <c r="L747" s="711">
        <v>0.90840025493945187</v>
      </c>
      <c r="M747" s="711">
        <v>524</v>
      </c>
      <c r="N747" s="711">
        <v>57</v>
      </c>
      <c r="O747" s="711">
        <v>29896</v>
      </c>
      <c r="P747" s="701">
        <v>0.76216698534098148</v>
      </c>
      <c r="Q747" s="712">
        <v>524.49122807017545</v>
      </c>
    </row>
    <row r="748" spans="1:17" ht="14.4" customHeight="1" x14ac:dyDescent="0.3">
      <c r="A748" s="695" t="s">
        <v>4896</v>
      </c>
      <c r="B748" s="696" t="s">
        <v>4082</v>
      </c>
      <c r="C748" s="696" t="s">
        <v>4114</v>
      </c>
      <c r="D748" s="696" t="s">
        <v>4171</v>
      </c>
      <c r="E748" s="696" t="s">
        <v>4172</v>
      </c>
      <c r="F748" s="711">
        <v>47</v>
      </c>
      <c r="G748" s="711">
        <v>13865</v>
      </c>
      <c r="H748" s="711">
        <v>1</v>
      </c>
      <c r="I748" s="711">
        <v>295</v>
      </c>
      <c r="J748" s="711">
        <v>127</v>
      </c>
      <c r="K748" s="711">
        <v>37592</v>
      </c>
      <c r="L748" s="711">
        <v>2.7112874143526868</v>
      </c>
      <c r="M748" s="711">
        <v>296</v>
      </c>
      <c r="N748" s="711">
        <v>99</v>
      </c>
      <c r="O748" s="711">
        <v>29348</v>
      </c>
      <c r="P748" s="701">
        <v>2.1166967183555716</v>
      </c>
      <c r="Q748" s="712">
        <v>296.44444444444446</v>
      </c>
    </row>
    <row r="749" spans="1:17" ht="14.4" customHeight="1" x14ac:dyDescent="0.3">
      <c r="A749" s="695" t="s">
        <v>4896</v>
      </c>
      <c r="B749" s="696" t="s">
        <v>4082</v>
      </c>
      <c r="C749" s="696" t="s">
        <v>4114</v>
      </c>
      <c r="D749" s="696" t="s">
        <v>4238</v>
      </c>
      <c r="E749" s="696" t="s">
        <v>4146</v>
      </c>
      <c r="F749" s="711">
        <v>98</v>
      </c>
      <c r="G749" s="711">
        <v>16856</v>
      </c>
      <c r="H749" s="711">
        <v>1</v>
      </c>
      <c r="I749" s="711">
        <v>172</v>
      </c>
      <c r="J749" s="711">
        <v>91</v>
      </c>
      <c r="K749" s="711">
        <v>15652</v>
      </c>
      <c r="L749" s="711">
        <v>0.9285714285714286</v>
      </c>
      <c r="M749" s="711">
        <v>172</v>
      </c>
      <c r="N749" s="711">
        <v>129</v>
      </c>
      <c r="O749" s="711">
        <v>22280</v>
      </c>
      <c r="P749" s="701">
        <v>1.3217845277645943</v>
      </c>
      <c r="Q749" s="712">
        <v>172.71317829457365</v>
      </c>
    </row>
    <row r="750" spans="1:17" ht="14.4" customHeight="1" x14ac:dyDescent="0.3">
      <c r="A750" s="695" t="s">
        <v>4896</v>
      </c>
      <c r="B750" s="696" t="s">
        <v>4082</v>
      </c>
      <c r="C750" s="696" t="s">
        <v>4114</v>
      </c>
      <c r="D750" s="696" t="s">
        <v>4175</v>
      </c>
      <c r="E750" s="696" t="s">
        <v>4172</v>
      </c>
      <c r="F750" s="711">
        <v>140</v>
      </c>
      <c r="G750" s="711">
        <v>50680</v>
      </c>
      <c r="H750" s="711">
        <v>1</v>
      </c>
      <c r="I750" s="711">
        <v>362</v>
      </c>
      <c r="J750" s="711">
        <v>40</v>
      </c>
      <c r="K750" s="711">
        <v>14600</v>
      </c>
      <c r="L750" s="711">
        <v>0.28808208366219418</v>
      </c>
      <c r="M750" s="711">
        <v>365</v>
      </c>
      <c r="N750" s="711">
        <v>113</v>
      </c>
      <c r="O750" s="711">
        <v>41581</v>
      </c>
      <c r="P750" s="701">
        <v>0.82046172059984213</v>
      </c>
      <c r="Q750" s="712">
        <v>367.97345132743362</v>
      </c>
    </row>
    <row r="751" spans="1:17" ht="14.4" customHeight="1" x14ac:dyDescent="0.3">
      <c r="A751" s="695" t="s">
        <v>4896</v>
      </c>
      <c r="B751" s="696" t="s">
        <v>4082</v>
      </c>
      <c r="C751" s="696" t="s">
        <v>4114</v>
      </c>
      <c r="D751" s="696" t="s">
        <v>4178</v>
      </c>
      <c r="E751" s="696" t="s">
        <v>4179</v>
      </c>
      <c r="F751" s="711"/>
      <c r="G751" s="711"/>
      <c r="H751" s="711"/>
      <c r="I751" s="711"/>
      <c r="J751" s="711">
        <v>3</v>
      </c>
      <c r="K751" s="711">
        <v>1905</v>
      </c>
      <c r="L751" s="711"/>
      <c r="M751" s="711">
        <v>635</v>
      </c>
      <c r="N751" s="711">
        <v>1</v>
      </c>
      <c r="O751" s="711">
        <v>635</v>
      </c>
      <c r="P751" s="701"/>
      <c r="Q751" s="712">
        <v>635</v>
      </c>
    </row>
    <row r="752" spans="1:17" ht="14.4" customHeight="1" x14ac:dyDescent="0.3">
      <c r="A752" s="695" t="s">
        <v>4896</v>
      </c>
      <c r="B752" s="696" t="s">
        <v>4082</v>
      </c>
      <c r="C752" s="696" t="s">
        <v>4114</v>
      </c>
      <c r="D752" s="696" t="s">
        <v>4180</v>
      </c>
      <c r="E752" s="696" t="s">
        <v>4181</v>
      </c>
      <c r="F752" s="711">
        <v>20</v>
      </c>
      <c r="G752" s="711">
        <v>11980</v>
      </c>
      <c r="H752" s="711">
        <v>1</v>
      </c>
      <c r="I752" s="711">
        <v>599</v>
      </c>
      <c r="J752" s="711">
        <v>24</v>
      </c>
      <c r="K752" s="711">
        <v>14424</v>
      </c>
      <c r="L752" s="711">
        <v>1.2040066777963272</v>
      </c>
      <c r="M752" s="711">
        <v>601</v>
      </c>
      <c r="N752" s="711">
        <v>37</v>
      </c>
      <c r="O752" s="711">
        <v>22293</v>
      </c>
      <c r="P752" s="701">
        <v>1.8608514190317196</v>
      </c>
      <c r="Q752" s="712">
        <v>602.51351351351354</v>
      </c>
    </row>
    <row r="753" spans="1:17" ht="14.4" customHeight="1" x14ac:dyDescent="0.3">
      <c r="A753" s="695" t="s">
        <v>4896</v>
      </c>
      <c r="B753" s="696" t="s">
        <v>4082</v>
      </c>
      <c r="C753" s="696" t="s">
        <v>4114</v>
      </c>
      <c r="D753" s="696" t="s">
        <v>4182</v>
      </c>
      <c r="E753" s="696" t="s">
        <v>4183</v>
      </c>
      <c r="F753" s="711">
        <v>177</v>
      </c>
      <c r="G753" s="711">
        <v>47436</v>
      </c>
      <c r="H753" s="711">
        <v>1</v>
      </c>
      <c r="I753" s="711">
        <v>268</v>
      </c>
      <c r="J753" s="711">
        <v>183</v>
      </c>
      <c r="K753" s="711">
        <v>49227</v>
      </c>
      <c r="L753" s="711">
        <v>1.0377561345813306</v>
      </c>
      <c r="M753" s="711">
        <v>269</v>
      </c>
      <c r="N753" s="711">
        <v>162</v>
      </c>
      <c r="O753" s="711">
        <v>43716</v>
      </c>
      <c r="P753" s="701">
        <v>0.92157854793827476</v>
      </c>
      <c r="Q753" s="712">
        <v>269.85185185185185</v>
      </c>
    </row>
    <row r="754" spans="1:17" ht="14.4" customHeight="1" x14ac:dyDescent="0.3">
      <c r="A754" s="695" t="s">
        <v>4896</v>
      </c>
      <c r="B754" s="696" t="s">
        <v>4082</v>
      </c>
      <c r="C754" s="696" t="s">
        <v>4114</v>
      </c>
      <c r="D754" s="696" t="s">
        <v>4257</v>
      </c>
      <c r="E754" s="696" t="s">
        <v>4258</v>
      </c>
      <c r="F754" s="711">
        <v>11</v>
      </c>
      <c r="G754" s="711">
        <v>1100</v>
      </c>
      <c r="H754" s="711">
        <v>1</v>
      </c>
      <c r="I754" s="711">
        <v>100</v>
      </c>
      <c r="J754" s="711">
        <v>3</v>
      </c>
      <c r="K754" s="711">
        <v>300</v>
      </c>
      <c r="L754" s="711">
        <v>0.27272727272727271</v>
      </c>
      <c r="M754" s="711">
        <v>100</v>
      </c>
      <c r="N754" s="711">
        <v>9</v>
      </c>
      <c r="O754" s="711">
        <v>900</v>
      </c>
      <c r="P754" s="701">
        <v>0.81818181818181823</v>
      </c>
      <c r="Q754" s="712">
        <v>100</v>
      </c>
    </row>
    <row r="755" spans="1:17" ht="14.4" customHeight="1" x14ac:dyDescent="0.3">
      <c r="A755" s="695" t="s">
        <v>4896</v>
      </c>
      <c r="B755" s="696" t="s">
        <v>4082</v>
      </c>
      <c r="C755" s="696" t="s">
        <v>4114</v>
      </c>
      <c r="D755" s="696" t="s">
        <v>4239</v>
      </c>
      <c r="E755" s="696" t="s">
        <v>4233</v>
      </c>
      <c r="F755" s="711">
        <v>19</v>
      </c>
      <c r="G755" s="711">
        <v>19171</v>
      </c>
      <c r="H755" s="711">
        <v>1</v>
      </c>
      <c r="I755" s="711">
        <v>1009</v>
      </c>
      <c r="J755" s="711"/>
      <c r="K755" s="711"/>
      <c r="L755" s="711"/>
      <c r="M755" s="711"/>
      <c r="N755" s="711">
        <v>13</v>
      </c>
      <c r="O755" s="711">
        <v>13156</v>
      </c>
      <c r="P755" s="701">
        <v>0.68624484899066296</v>
      </c>
      <c r="Q755" s="712">
        <v>1012</v>
      </c>
    </row>
    <row r="756" spans="1:17" ht="14.4" customHeight="1" x14ac:dyDescent="0.3">
      <c r="A756" s="695" t="s">
        <v>4896</v>
      </c>
      <c r="B756" s="696" t="s">
        <v>4082</v>
      </c>
      <c r="C756" s="696" t="s">
        <v>4114</v>
      </c>
      <c r="D756" s="696" t="s">
        <v>4186</v>
      </c>
      <c r="E756" s="696" t="s">
        <v>4142</v>
      </c>
      <c r="F756" s="711">
        <v>2</v>
      </c>
      <c r="G756" s="711">
        <v>666</v>
      </c>
      <c r="H756" s="711">
        <v>1</v>
      </c>
      <c r="I756" s="711">
        <v>333</v>
      </c>
      <c r="J756" s="711">
        <v>1</v>
      </c>
      <c r="K756" s="711">
        <v>335</v>
      </c>
      <c r="L756" s="711">
        <v>0.50300300300300305</v>
      </c>
      <c r="M756" s="711">
        <v>335</v>
      </c>
      <c r="N756" s="711"/>
      <c r="O756" s="711"/>
      <c r="P756" s="701"/>
      <c r="Q756" s="712"/>
    </row>
    <row r="757" spans="1:17" ht="14.4" customHeight="1" x14ac:dyDescent="0.3">
      <c r="A757" s="695" t="s">
        <v>4896</v>
      </c>
      <c r="B757" s="696" t="s">
        <v>4082</v>
      </c>
      <c r="C757" s="696" t="s">
        <v>4114</v>
      </c>
      <c r="D757" s="696" t="s">
        <v>4249</v>
      </c>
      <c r="E757" s="696" t="s">
        <v>4233</v>
      </c>
      <c r="F757" s="711">
        <v>8</v>
      </c>
      <c r="G757" s="711">
        <v>6872</v>
      </c>
      <c r="H757" s="711">
        <v>1</v>
      </c>
      <c r="I757" s="711">
        <v>859</v>
      </c>
      <c r="J757" s="711">
        <v>7</v>
      </c>
      <c r="K757" s="711">
        <v>6020</v>
      </c>
      <c r="L757" s="711">
        <v>0.87601862630966243</v>
      </c>
      <c r="M757" s="711">
        <v>860</v>
      </c>
      <c r="N757" s="711">
        <v>18</v>
      </c>
      <c r="O757" s="711">
        <v>15492</v>
      </c>
      <c r="P757" s="701">
        <v>2.2543655413271244</v>
      </c>
      <c r="Q757" s="712">
        <v>860.66666666666663</v>
      </c>
    </row>
    <row r="758" spans="1:17" ht="14.4" customHeight="1" x14ac:dyDescent="0.3">
      <c r="A758" s="695" t="s">
        <v>4896</v>
      </c>
      <c r="B758" s="696" t="s">
        <v>4082</v>
      </c>
      <c r="C758" s="696" t="s">
        <v>4114</v>
      </c>
      <c r="D758" s="696" t="s">
        <v>4188</v>
      </c>
      <c r="E758" s="696" t="s">
        <v>4189</v>
      </c>
      <c r="F758" s="711"/>
      <c r="G758" s="711"/>
      <c r="H758" s="711"/>
      <c r="I758" s="711"/>
      <c r="J758" s="711">
        <v>3</v>
      </c>
      <c r="K758" s="711">
        <v>1560</v>
      </c>
      <c r="L758" s="711"/>
      <c r="M758" s="711">
        <v>520</v>
      </c>
      <c r="N758" s="711">
        <v>7</v>
      </c>
      <c r="O758" s="711">
        <v>3640</v>
      </c>
      <c r="P758" s="701"/>
      <c r="Q758" s="712">
        <v>520</v>
      </c>
    </row>
    <row r="759" spans="1:17" ht="14.4" customHeight="1" x14ac:dyDescent="0.3">
      <c r="A759" s="695" t="s">
        <v>4896</v>
      </c>
      <c r="B759" s="696" t="s">
        <v>4082</v>
      </c>
      <c r="C759" s="696" t="s">
        <v>4114</v>
      </c>
      <c r="D759" s="696" t="s">
        <v>4259</v>
      </c>
      <c r="E759" s="696" t="s">
        <v>4189</v>
      </c>
      <c r="F759" s="711">
        <v>1</v>
      </c>
      <c r="G759" s="711">
        <v>798</v>
      </c>
      <c r="H759" s="711">
        <v>1</v>
      </c>
      <c r="I759" s="711">
        <v>798</v>
      </c>
      <c r="J759" s="711">
        <v>11</v>
      </c>
      <c r="K759" s="711">
        <v>8811</v>
      </c>
      <c r="L759" s="711">
        <v>11.041353383458647</v>
      </c>
      <c r="M759" s="711">
        <v>801</v>
      </c>
      <c r="N759" s="711">
        <v>5</v>
      </c>
      <c r="O759" s="711">
        <v>4009</v>
      </c>
      <c r="P759" s="701">
        <v>5.0238095238095237</v>
      </c>
      <c r="Q759" s="712">
        <v>801.8</v>
      </c>
    </row>
    <row r="760" spans="1:17" ht="14.4" customHeight="1" x14ac:dyDescent="0.3">
      <c r="A760" s="695" t="s">
        <v>4896</v>
      </c>
      <c r="B760" s="696" t="s">
        <v>4082</v>
      </c>
      <c r="C760" s="696" t="s">
        <v>4114</v>
      </c>
      <c r="D760" s="696" t="s">
        <v>4260</v>
      </c>
      <c r="E760" s="696" t="s">
        <v>4189</v>
      </c>
      <c r="F760" s="711">
        <v>2</v>
      </c>
      <c r="G760" s="711">
        <v>1172</v>
      </c>
      <c r="H760" s="711">
        <v>1</v>
      </c>
      <c r="I760" s="711">
        <v>586</v>
      </c>
      <c r="J760" s="711">
        <v>26</v>
      </c>
      <c r="K760" s="711">
        <v>15314</v>
      </c>
      <c r="L760" s="711">
        <v>13.066552901023892</v>
      </c>
      <c r="M760" s="711">
        <v>589</v>
      </c>
      <c r="N760" s="711">
        <v>44</v>
      </c>
      <c r="O760" s="711">
        <v>25932</v>
      </c>
      <c r="P760" s="701">
        <v>22.12627986348123</v>
      </c>
      <c r="Q760" s="712">
        <v>589.36363636363637</v>
      </c>
    </row>
    <row r="761" spans="1:17" ht="14.4" customHeight="1" x14ac:dyDescent="0.3">
      <c r="A761" s="695" t="s">
        <v>4896</v>
      </c>
      <c r="B761" s="696" t="s">
        <v>4082</v>
      </c>
      <c r="C761" s="696" t="s">
        <v>4114</v>
      </c>
      <c r="D761" s="696" t="s">
        <v>4192</v>
      </c>
      <c r="E761" s="696" t="s">
        <v>4132</v>
      </c>
      <c r="F761" s="711">
        <v>27</v>
      </c>
      <c r="G761" s="711">
        <v>10422</v>
      </c>
      <c r="H761" s="711">
        <v>1</v>
      </c>
      <c r="I761" s="711">
        <v>386</v>
      </c>
      <c r="J761" s="711">
        <v>21</v>
      </c>
      <c r="K761" s="711">
        <v>8169</v>
      </c>
      <c r="L761" s="711">
        <v>0.78382268278641332</v>
      </c>
      <c r="M761" s="711">
        <v>389</v>
      </c>
      <c r="N761" s="711">
        <v>53</v>
      </c>
      <c r="O761" s="711">
        <v>20725</v>
      </c>
      <c r="P761" s="701">
        <v>1.9885818460947995</v>
      </c>
      <c r="Q761" s="712">
        <v>391.03773584905662</v>
      </c>
    </row>
    <row r="762" spans="1:17" ht="14.4" customHeight="1" x14ac:dyDescent="0.3">
      <c r="A762" s="695" t="s">
        <v>4896</v>
      </c>
      <c r="B762" s="696" t="s">
        <v>4082</v>
      </c>
      <c r="C762" s="696" t="s">
        <v>4114</v>
      </c>
      <c r="D762" s="696" t="s">
        <v>4263</v>
      </c>
      <c r="E762" s="696" t="s">
        <v>4264</v>
      </c>
      <c r="F762" s="711">
        <v>3</v>
      </c>
      <c r="G762" s="711">
        <v>1014</v>
      </c>
      <c r="H762" s="711">
        <v>1</v>
      </c>
      <c r="I762" s="711">
        <v>338</v>
      </c>
      <c r="J762" s="711">
        <v>1</v>
      </c>
      <c r="K762" s="711">
        <v>340</v>
      </c>
      <c r="L762" s="711">
        <v>0.33530571992110453</v>
      </c>
      <c r="M762" s="711">
        <v>340</v>
      </c>
      <c r="N762" s="711">
        <v>5</v>
      </c>
      <c r="O762" s="711">
        <v>1704</v>
      </c>
      <c r="P762" s="701">
        <v>1.680473372781065</v>
      </c>
      <c r="Q762" s="712">
        <v>340.8</v>
      </c>
    </row>
    <row r="763" spans="1:17" ht="14.4" customHeight="1" x14ac:dyDescent="0.3">
      <c r="A763" s="695" t="s">
        <v>4897</v>
      </c>
      <c r="B763" s="696" t="s">
        <v>4082</v>
      </c>
      <c r="C763" s="696" t="s">
        <v>4103</v>
      </c>
      <c r="D763" s="696" t="s">
        <v>4228</v>
      </c>
      <c r="E763" s="696" t="s">
        <v>4229</v>
      </c>
      <c r="F763" s="711"/>
      <c r="G763" s="711"/>
      <c r="H763" s="711"/>
      <c r="I763" s="711"/>
      <c r="J763" s="711">
        <v>62</v>
      </c>
      <c r="K763" s="711">
        <v>56094.5</v>
      </c>
      <c r="L763" s="711"/>
      <c r="M763" s="711">
        <v>904.75</v>
      </c>
      <c r="N763" s="711">
        <v>283</v>
      </c>
      <c r="O763" s="711">
        <v>256044.25</v>
      </c>
      <c r="P763" s="701"/>
      <c r="Q763" s="712">
        <v>904.75</v>
      </c>
    </row>
    <row r="764" spans="1:17" ht="14.4" customHeight="1" x14ac:dyDescent="0.3">
      <c r="A764" s="695" t="s">
        <v>4897</v>
      </c>
      <c r="B764" s="696" t="s">
        <v>4082</v>
      </c>
      <c r="C764" s="696" t="s">
        <v>4103</v>
      </c>
      <c r="D764" s="696" t="s">
        <v>4106</v>
      </c>
      <c r="E764" s="696" t="s">
        <v>4107</v>
      </c>
      <c r="F764" s="711">
        <v>4</v>
      </c>
      <c r="G764" s="711">
        <v>970.56</v>
      </c>
      <c r="H764" s="711">
        <v>1</v>
      </c>
      <c r="I764" s="711">
        <v>242.64</v>
      </c>
      <c r="J764" s="711">
        <v>15</v>
      </c>
      <c r="K764" s="711">
        <v>3639.5999999999995</v>
      </c>
      <c r="L764" s="711">
        <v>3.7499999999999996</v>
      </c>
      <c r="M764" s="711">
        <v>242.63999999999996</v>
      </c>
      <c r="N764" s="711">
        <v>22</v>
      </c>
      <c r="O764" s="711">
        <v>5338.079999999999</v>
      </c>
      <c r="P764" s="701">
        <v>5.4999999999999991</v>
      </c>
      <c r="Q764" s="712">
        <v>242.63999999999996</v>
      </c>
    </row>
    <row r="765" spans="1:17" ht="14.4" customHeight="1" x14ac:dyDescent="0.3">
      <c r="A765" s="695" t="s">
        <v>4897</v>
      </c>
      <c r="B765" s="696" t="s">
        <v>4082</v>
      </c>
      <c r="C765" s="696" t="s">
        <v>4103</v>
      </c>
      <c r="D765" s="696" t="s">
        <v>4108</v>
      </c>
      <c r="E765" s="696" t="s">
        <v>4109</v>
      </c>
      <c r="F765" s="711"/>
      <c r="G765" s="711"/>
      <c r="H765" s="711"/>
      <c r="I765" s="711"/>
      <c r="J765" s="711">
        <v>1</v>
      </c>
      <c r="K765" s="711">
        <v>242.64</v>
      </c>
      <c r="L765" s="711"/>
      <c r="M765" s="711">
        <v>242.64</v>
      </c>
      <c r="N765" s="711">
        <v>3</v>
      </c>
      <c r="O765" s="711">
        <v>727.92</v>
      </c>
      <c r="P765" s="701"/>
      <c r="Q765" s="712">
        <v>242.64</v>
      </c>
    </row>
    <row r="766" spans="1:17" ht="14.4" customHeight="1" x14ac:dyDescent="0.3">
      <c r="A766" s="695" t="s">
        <v>4897</v>
      </c>
      <c r="B766" s="696" t="s">
        <v>4082</v>
      </c>
      <c r="C766" s="696" t="s">
        <v>4114</v>
      </c>
      <c r="D766" s="696" t="s">
        <v>4230</v>
      </c>
      <c r="E766" s="696" t="s">
        <v>4231</v>
      </c>
      <c r="F766" s="711">
        <v>34</v>
      </c>
      <c r="G766" s="711">
        <v>6290</v>
      </c>
      <c r="H766" s="711">
        <v>1</v>
      </c>
      <c r="I766" s="711">
        <v>185</v>
      </c>
      <c r="J766" s="711">
        <v>13</v>
      </c>
      <c r="K766" s="711">
        <v>2405</v>
      </c>
      <c r="L766" s="711">
        <v>0.38235294117647056</v>
      </c>
      <c r="M766" s="711">
        <v>185</v>
      </c>
      <c r="N766" s="711">
        <v>15</v>
      </c>
      <c r="O766" s="711">
        <v>2790</v>
      </c>
      <c r="P766" s="701">
        <v>0.44356120826709061</v>
      </c>
      <c r="Q766" s="712">
        <v>186</v>
      </c>
    </row>
    <row r="767" spans="1:17" ht="14.4" customHeight="1" x14ac:dyDescent="0.3">
      <c r="A767" s="695" t="s">
        <v>4897</v>
      </c>
      <c r="B767" s="696" t="s">
        <v>4082</v>
      </c>
      <c r="C767" s="696" t="s">
        <v>4114</v>
      </c>
      <c r="D767" s="696" t="s">
        <v>4119</v>
      </c>
      <c r="E767" s="696" t="s">
        <v>4120</v>
      </c>
      <c r="F767" s="711">
        <v>3</v>
      </c>
      <c r="G767" s="711">
        <v>102</v>
      </c>
      <c r="H767" s="711">
        <v>1</v>
      </c>
      <c r="I767" s="711">
        <v>34</v>
      </c>
      <c r="J767" s="711">
        <v>2</v>
      </c>
      <c r="K767" s="711">
        <v>68</v>
      </c>
      <c r="L767" s="711">
        <v>0.66666666666666663</v>
      </c>
      <c r="M767" s="711">
        <v>34</v>
      </c>
      <c r="N767" s="711"/>
      <c r="O767" s="711"/>
      <c r="P767" s="701"/>
      <c r="Q767" s="712"/>
    </row>
    <row r="768" spans="1:17" ht="14.4" customHeight="1" x14ac:dyDescent="0.3">
      <c r="A768" s="695" t="s">
        <v>4897</v>
      </c>
      <c r="B768" s="696" t="s">
        <v>4082</v>
      </c>
      <c r="C768" s="696" t="s">
        <v>4114</v>
      </c>
      <c r="D768" s="696" t="s">
        <v>4125</v>
      </c>
      <c r="E768" s="696" t="s">
        <v>4078</v>
      </c>
      <c r="F768" s="711">
        <v>10</v>
      </c>
      <c r="G768" s="711">
        <v>1560</v>
      </c>
      <c r="H768" s="711">
        <v>1</v>
      </c>
      <c r="I768" s="711">
        <v>156</v>
      </c>
      <c r="J768" s="711"/>
      <c r="K768" s="711"/>
      <c r="L768" s="711"/>
      <c r="M768" s="711"/>
      <c r="N768" s="711"/>
      <c r="O768" s="711"/>
      <c r="P768" s="701"/>
      <c r="Q768" s="712"/>
    </row>
    <row r="769" spans="1:17" ht="14.4" customHeight="1" x14ac:dyDescent="0.3">
      <c r="A769" s="695" t="s">
        <v>4897</v>
      </c>
      <c r="B769" s="696" t="s">
        <v>4082</v>
      </c>
      <c r="C769" s="696" t="s">
        <v>4114</v>
      </c>
      <c r="D769" s="696" t="s">
        <v>4126</v>
      </c>
      <c r="E769" s="696" t="s">
        <v>4078</v>
      </c>
      <c r="F769" s="711">
        <v>54</v>
      </c>
      <c r="G769" s="711">
        <v>4212</v>
      </c>
      <c r="H769" s="711">
        <v>1</v>
      </c>
      <c r="I769" s="711">
        <v>78</v>
      </c>
      <c r="J769" s="711"/>
      <c r="K769" s="711"/>
      <c r="L769" s="711"/>
      <c r="M769" s="711"/>
      <c r="N769" s="711"/>
      <c r="O769" s="711"/>
      <c r="P769" s="701"/>
      <c r="Q769" s="712"/>
    </row>
    <row r="770" spans="1:17" ht="14.4" customHeight="1" x14ac:dyDescent="0.3">
      <c r="A770" s="695" t="s">
        <v>4897</v>
      </c>
      <c r="B770" s="696" t="s">
        <v>4082</v>
      </c>
      <c r="C770" s="696" t="s">
        <v>4114</v>
      </c>
      <c r="D770" s="696" t="s">
        <v>4127</v>
      </c>
      <c r="E770" s="696" t="s">
        <v>4128</v>
      </c>
      <c r="F770" s="711">
        <v>1030</v>
      </c>
      <c r="G770" s="711">
        <v>237929</v>
      </c>
      <c r="H770" s="711">
        <v>1</v>
      </c>
      <c r="I770" s="711">
        <v>230.9990291262136</v>
      </c>
      <c r="J770" s="711">
        <v>1099</v>
      </c>
      <c r="K770" s="711">
        <v>254968</v>
      </c>
      <c r="L770" s="711">
        <v>1.0716138007556877</v>
      </c>
      <c r="M770" s="711">
        <v>232</v>
      </c>
      <c r="N770" s="711">
        <v>1701</v>
      </c>
      <c r="O770" s="711">
        <v>396008</v>
      </c>
      <c r="P770" s="701">
        <v>1.6643956810645193</v>
      </c>
      <c r="Q770" s="712">
        <v>232.80893592004702</v>
      </c>
    </row>
    <row r="771" spans="1:17" ht="14.4" customHeight="1" x14ac:dyDescent="0.3">
      <c r="A771" s="695" t="s">
        <v>4897</v>
      </c>
      <c r="B771" s="696" t="s">
        <v>4082</v>
      </c>
      <c r="C771" s="696" t="s">
        <v>4114</v>
      </c>
      <c r="D771" s="696" t="s">
        <v>4129</v>
      </c>
      <c r="E771" s="696" t="s">
        <v>4130</v>
      </c>
      <c r="F771" s="711">
        <v>526</v>
      </c>
      <c r="G771" s="711">
        <v>61015</v>
      </c>
      <c r="H771" s="711">
        <v>1</v>
      </c>
      <c r="I771" s="711">
        <v>115.99809885931559</v>
      </c>
      <c r="J771" s="711">
        <v>654</v>
      </c>
      <c r="K771" s="711">
        <v>75864</v>
      </c>
      <c r="L771" s="711">
        <v>1.2433663853150865</v>
      </c>
      <c r="M771" s="711">
        <v>116</v>
      </c>
      <c r="N771" s="711">
        <v>481</v>
      </c>
      <c r="O771" s="711">
        <v>56180</v>
      </c>
      <c r="P771" s="701">
        <v>0.92075719085470786</v>
      </c>
      <c r="Q771" s="712">
        <v>116.79833679833679</v>
      </c>
    </row>
    <row r="772" spans="1:17" ht="14.4" customHeight="1" x14ac:dyDescent="0.3">
      <c r="A772" s="695" t="s">
        <v>4897</v>
      </c>
      <c r="B772" s="696" t="s">
        <v>4082</v>
      </c>
      <c r="C772" s="696" t="s">
        <v>4114</v>
      </c>
      <c r="D772" s="696" t="s">
        <v>4133</v>
      </c>
      <c r="E772" s="696" t="s">
        <v>4134</v>
      </c>
      <c r="F772" s="711">
        <v>55</v>
      </c>
      <c r="G772" s="711">
        <v>26565</v>
      </c>
      <c r="H772" s="711">
        <v>1</v>
      </c>
      <c r="I772" s="711">
        <v>483</v>
      </c>
      <c r="J772" s="711">
        <v>9</v>
      </c>
      <c r="K772" s="711">
        <v>4356</v>
      </c>
      <c r="L772" s="711">
        <v>0.1639751552795031</v>
      </c>
      <c r="M772" s="711">
        <v>484</v>
      </c>
      <c r="N772" s="711">
        <v>28</v>
      </c>
      <c r="O772" s="711">
        <v>13582</v>
      </c>
      <c r="P772" s="701">
        <v>0.5112742330133635</v>
      </c>
      <c r="Q772" s="712">
        <v>485.07142857142856</v>
      </c>
    </row>
    <row r="773" spans="1:17" ht="14.4" customHeight="1" x14ac:dyDescent="0.3">
      <c r="A773" s="695" t="s">
        <v>4897</v>
      </c>
      <c r="B773" s="696" t="s">
        <v>4082</v>
      </c>
      <c r="C773" s="696" t="s">
        <v>4114</v>
      </c>
      <c r="D773" s="696" t="s">
        <v>4135</v>
      </c>
      <c r="E773" s="696" t="s">
        <v>4136</v>
      </c>
      <c r="F773" s="711">
        <v>195</v>
      </c>
      <c r="G773" s="711">
        <v>131820</v>
      </c>
      <c r="H773" s="711">
        <v>1</v>
      </c>
      <c r="I773" s="711">
        <v>676</v>
      </c>
      <c r="J773" s="711">
        <v>40</v>
      </c>
      <c r="K773" s="711">
        <v>27080</v>
      </c>
      <c r="L773" s="711">
        <v>0.20543164921863147</v>
      </c>
      <c r="M773" s="711">
        <v>677</v>
      </c>
      <c r="N773" s="711">
        <v>27</v>
      </c>
      <c r="O773" s="711">
        <v>18287</v>
      </c>
      <c r="P773" s="701">
        <v>0.13872705204066152</v>
      </c>
      <c r="Q773" s="712">
        <v>677.2962962962963</v>
      </c>
    </row>
    <row r="774" spans="1:17" ht="14.4" customHeight="1" x14ac:dyDescent="0.3">
      <c r="A774" s="695" t="s">
        <v>4897</v>
      </c>
      <c r="B774" s="696" t="s">
        <v>4082</v>
      </c>
      <c r="C774" s="696" t="s">
        <v>4114</v>
      </c>
      <c r="D774" s="696" t="s">
        <v>4137</v>
      </c>
      <c r="E774" s="696" t="s">
        <v>4138</v>
      </c>
      <c r="F774" s="711"/>
      <c r="G774" s="711"/>
      <c r="H774" s="711"/>
      <c r="I774" s="711"/>
      <c r="J774" s="711">
        <v>1</v>
      </c>
      <c r="K774" s="711">
        <v>749</v>
      </c>
      <c r="L774" s="711"/>
      <c r="M774" s="711">
        <v>749</v>
      </c>
      <c r="N774" s="711"/>
      <c r="O774" s="711"/>
      <c r="P774" s="701"/>
      <c r="Q774" s="712"/>
    </row>
    <row r="775" spans="1:17" ht="14.4" customHeight="1" x14ac:dyDescent="0.3">
      <c r="A775" s="695" t="s">
        <v>4897</v>
      </c>
      <c r="B775" s="696" t="s">
        <v>4082</v>
      </c>
      <c r="C775" s="696" t="s">
        <v>4114</v>
      </c>
      <c r="D775" s="696" t="s">
        <v>4139</v>
      </c>
      <c r="E775" s="696" t="s">
        <v>4134</v>
      </c>
      <c r="F775" s="711">
        <v>42</v>
      </c>
      <c r="G775" s="711">
        <v>23100</v>
      </c>
      <c r="H775" s="711">
        <v>1</v>
      </c>
      <c r="I775" s="711">
        <v>550</v>
      </c>
      <c r="J775" s="711">
        <v>48</v>
      </c>
      <c r="K775" s="711">
        <v>26544</v>
      </c>
      <c r="L775" s="711">
        <v>1.1490909090909092</v>
      </c>
      <c r="M775" s="711">
        <v>553</v>
      </c>
      <c r="N775" s="711">
        <v>97</v>
      </c>
      <c r="O775" s="711">
        <v>53733</v>
      </c>
      <c r="P775" s="701">
        <v>2.3261038961038962</v>
      </c>
      <c r="Q775" s="712">
        <v>553.94845360824741</v>
      </c>
    </row>
    <row r="776" spans="1:17" ht="14.4" customHeight="1" x14ac:dyDescent="0.3">
      <c r="A776" s="695" t="s">
        <v>4897</v>
      </c>
      <c r="B776" s="696" t="s">
        <v>4082</v>
      </c>
      <c r="C776" s="696" t="s">
        <v>4114</v>
      </c>
      <c r="D776" s="696" t="s">
        <v>4140</v>
      </c>
      <c r="E776" s="696" t="s">
        <v>4136</v>
      </c>
      <c r="F776" s="711">
        <v>96</v>
      </c>
      <c r="G776" s="711">
        <v>71328</v>
      </c>
      <c r="H776" s="711">
        <v>1</v>
      </c>
      <c r="I776" s="711">
        <v>743</v>
      </c>
      <c r="J776" s="711">
        <v>268</v>
      </c>
      <c r="K776" s="711">
        <v>199928</v>
      </c>
      <c r="L776" s="711">
        <v>2.8029385374607449</v>
      </c>
      <c r="M776" s="711">
        <v>746</v>
      </c>
      <c r="N776" s="711">
        <v>421</v>
      </c>
      <c r="O776" s="711">
        <v>314798</v>
      </c>
      <c r="P776" s="701">
        <v>4.4133860475549573</v>
      </c>
      <c r="Q776" s="712">
        <v>747.73871733966746</v>
      </c>
    </row>
    <row r="777" spans="1:17" ht="14.4" customHeight="1" x14ac:dyDescent="0.3">
      <c r="A777" s="695" t="s">
        <v>4897</v>
      </c>
      <c r="B777" s="696" t="s">
        <v>4082</v>
      </c>
      <c r="C777" s="696" t="s">
        <v>4114</v>
      </c>
      <c r="D777" s="696" t="s">
        <v>4232</v>
      </c>
      <c r="E777" s="696" t="s">
        <v>4233</v>
      </c>
      <c r="F777" s="711">
        <v>358</v>
      </c>
      <c r="G777" s="711">
        <v>286400</v>
      </c>
      <c r="H777" s="711">
        <v>1</v>
      </c>
      <c r="I777" s="711">
        <v>800</v>
      </c>
      <c r="J777" s="711">
        <v>556</v>
      </c>
      <c r="K777" s="711">
        <v>446468</v>
      </c>
      <c r="L777" s="711">
        <v>1.5588966480446926</v>
      </c>
      <c r="M777" s="711">
        <v>803</v>
      </c>
      <c r="N777" s="711">
        <v>1619</v>
      </c>
      <c r="O777" s="711">
        <v>1302205</v>
      </c>
      <c r="P777" s="701">
        <v>4.546805167597765</v>
      </c>
      <c r="Q777" s="712">
        <v>804.32674490426189</v>
      </c>
    </row>
    <row r="778" spans="1:17" ht="14.4" customHeight="1" x14ac:dyDescent="0.3">
      <c r="A778" s="695" t="s">
        <v>4897</v>
      </c>
      <c r="B778" s="696" t="s">
        <v>4082</v>
      </c>
      <c r="C778" s="696" t="s">
        <v>4114</v>
      </c>
      <c r="D778" s="696" t="s">
        <v>4141</v>
      </c>
      <c r="E778" s="696" t="s">
        <v>4142</v>
      </c>
      <c r="F778" s="711">
        <v>10</v>
      </c>
      <c r="G778" s="711">
        <v>4350</v>
      </c>
      <c r="H778" s="711">
        <v>1</v>
      </c>
      <c r="I778" s="711">
        <v>435</v>
      </c>
      <c r="J778" s="711">
        <v>14</v>
      </c>
      <c r="K778" s="711">
        <v>6146</v>
      </c>
      <c r="L778" s="711">
        <v>1.4128735632183909</v>
      </c>
      <c r="M778" s="711">
        <v>439</v>
      </c>
      <c r="N778" s="711">
        <v>8</v>
      </c>
      <c r="O778" s="711">
        <v>3533</v>
      </c>
      <c r="P778" s="701">
        <v>0.81218390804597707</v>
      </c>
      <c r="Q778" s="712">
        <v>441.625</v>
      </c>
    </row>
    <row r="779" spans="1:17" ht="14.4" customHeight="1" x14ac:dyDescent="0.3">
      <c r="A779" s="695" t="s">
        <v>4897</v>
      </c>
      <c r="B779" s="696" t="s">
        <v>4082</v>
      </c>
      <c r="C779" s="696" t="s">
        <v>4114</v>
      </c>
      <c r="D779" s="696" t="s">
        <v>4143</v>
      </c>
      <c r="E779" s="696" t="s">
        <v>4144</v>
      </c>
      <c r="F779" s="711">
        <v>2</v>
      </c>
      <c r="G779" s="711">
        <v>856</v>
      </c>
      <c r="H779" s="711">
        <v>1</v>
      </c>
      <c r="I779" s="711">
        <v>428</v>
      </c>
      <c r="J779" s="711">
        <v>14</v>
      </c>
      <c r="K779" s="711">
        <v>6034</v>
      </c>
      <c r="L779" s="711">
        <v>7.0490654205607477</v>
      </c>
      <c r="M779" s="711">
        <v>431</v>
      </c>
      <c r="N779" s="711">
        <v>27</v>
      </c>
      <c r="O779" s="711">
        <v>11681</v>
      </c>
      <c r="P779" s="701">
        <v>13.646028037383177</v>
      </c>
      <c r="Q779" s="712">
        <v>432.62962962962962</v>
      </c>
    </row>
    <row r="780" spans="1:17" ht="14.4" customHeight="1" x14ac:dyDescent="0.3">
      <c r="A780" s="695" t="s">
        <v>4897</v>
      </c>
      <c r="B780" s="696" t="s">
        <v>4082</v>
      </c>
      <c r="C780" s="696" t="s">
        <v>4114</v>
      </c>
      <c r="D780" s="696" t="s">
        <v>4255</v>
      </c>
      <c r="E780" s="696" t="s">
        <v>4181</v>
      </c>
      <c r="F780" s="711">
        <v>168</v>
      </c>
      <c r="G780" s="711">
        <v>117768</v>
      </c>
      <c r="H780" s="711">
        <v>1</v>
      </c>
      <c r="I780" s="711">
        <v>701</v>
      </c>
      <c r="J780" s="711">
        <v>159</v>
      </c>
      <c r="K780" s="711">
        <v>112095</v>
      </c>
      <c r="L780" s="711">
        <v>0.95182901976767886</v>
      </c>
      <c r="M780" s="711">
        <v>705</v>
      </c>
      <c r="N780" s="711">
        <v>140</v>
      </c>
      <c r="O780" s="711">
        <v>99092</v>
      </c>
      <c r="P780" s="701">
        <v>0.84141702330004753</v>
      </c>
      <c r="Q780" s="712">
        <v>707.8</v>
      </c>
    </row>
    <row r="781" spans="1:17" ht="14.4" customHeight="1" x14ac:dyDescent="0.3">
      <c r="A781" s="695" t="s">
        <v>4897</v>
      </c>
      <c r="B781" s="696" t="s">
        <v>4082</v>
      </c>
      <c r="C781" s="696" t="s">
        <v>4114</v>
      </c>
      <c r="D781" s="696" t="s">
        <v>4256</v>
      </c>
      <c r="E781" s="696" t="s">
        <v>4138</v>
      </c>
      <c r="F781" s="711">
        <v>4</v>
      </c>
      <c r="G781" s="711">
        <v>3260</v>
      </c>
      <c r="H781" s="711">
        <v>1</v>
      </c>
      <c r="I781" s="711">
        <v>815</v>
      </c>
      <c r="J781" s="711"/>
      <c r="K781" s="711"/>
      <c r="L781" s="711"/>
      <c r="M781" s="711"/>
      <c r="N781" s="711">
        <v>2</v>
      </c>
      <c r="O781" s="711">
        <v>1640</v>
      </c>
      <c r="P781" s="701">
        <v>0.50306748466257667</v>
      </c>
      <c r="Q781" s="712">
        <v>820</v>
      </c>
    </row>
    <row r="782" spans="1:17" ht="14.4" customHeight="1" x14ac:dyDescent="0.3">
      <c r="A782" s="695" t="s">
        <v>4897</v>
      </c>
      <c r="B782" s="696" t="s">
        <v>4082</v>
      </c>
      <c r="C782" s="696" t="s">
        <v>4114</v>
      </c>
      <c r="D782" s="696" t="s">
        <v>4145</v>
      </c>
      <c r="E782" s="696" t="s">
        <v>4146</v>
      </c>
      <c r="F782" s="711">
        <v>179</v>
      </c>
      <c r="G782" s="711">
        <v>36874</v>
      </c>
      <c r="H782" s="711">
        <v>1</v>
      </c>
      <c r="I782" s="711">
        <v>206</v>
      </c>
      <c r="J782" s="711">
        <v>307</v>
      </c>
      <c r="K782" s="711">
        <v>63549</v>
      </c>
      <c r="L782" s="711">
        <v>1.7234094483918208</v>
      </c>
      <c r="M782" s="711">
        <v>207</v>
      </c>
      <c r="N782" s="711">
        <v>624</v>
      </c>
      <c r="O782" s="711">
        <v>129602</v>
      </c>
      <c r="P782" s="701">
        <v>3.5147258230731682</v>
      </c>
      <c r="Q782" s="712">
        <v>207.69551282051282</v>
      </c>
    </row>
    <row r="783" spans="1:17" ht="14.4" customHeight="1" x14ac:dyDescent="0.3">
      <c r="A783" s="695" t="s">
        <v>4897</v>
      </c>
      <c r="B783" s="696" t="s">
        <v>4082</v>
      </c>
      <c r="C783" s="696" t="s">
        <v>4114</v>
      </c>
      <c r="D783" s="696" t="s">
        <v>4149</v>
      </c>
      <c r="E783" s="696" t="s">
        <v>4150</v>
      </c>
      <c r="F783" s="711"/>
      <c r="G783" s="711"/>
      <c r="H783" s="711"/>
      <c r="I783" s="711"/>
      <c r="J783" s="711">
        <v>1</v>
      </c>
      <c r="K783" s="711">
        <v>327</v>
      </c>
      <c r="L783" s="711"/>
      <c r="M783" s="711">
        <v>327</v>
      </c>
      <c r="N783" s="711"/>
      <c r="O783" s="711"/>
      <c r="P783" s="701"/>
      <c r="Q783" s="712"/>
    </row>
    <row r="784" spans="1:17" ht="14.4" customHeight="1" x14ac:dyDescent="0.3">
      <c r="A784" s="695" t="s">
        <v>4897</v>
      </c>
      <c r="B784" s="696" t="s">
        <v>4082</v>
      </c>
      <c r="C784" s="696" t="s">
        <v>4114</v>
      </c>
      <c r="D784" s="696" t="s">
        <v>4153</v>
      </c>
      <c r="E784" s="696" t="s">
        <v>4154</v>
      </c>
      <c r="F784" s="711">
        <v>3023</v>
      </c>
      <c r="G784" s="711">
        <v>244858</v>
      </c>
      <c r="H784" s="711">
        <v>1</v>
      </c>
      <c r="I784" s="711">
        <v>80.998346013893482</v>
      </c>
      <c r="J784" s="711">
        <v>3269</v>
      </c>
      <c r="K784" s="711">
        <v>268058</v>
      </c>
      <c r="L784" s="711">
        <v>1.0947487931780868</v>
      </c>
      <c r="M784" s="711">
        <v>82</v>
      </c>
      <c r="N784" s="711">
        <v>3687</v>
      </c>
      <c r="O784" s="711">
        <v>305184</v>
      </c>
      <c r="P784" s="701">
        <v>1.2463713662612617</v>
      </c>
      <c r="Q784" s="712">
        <v>82.772986167615954</v>
      </c>
    </row>
    <row r="785" spans="1:17" ht="14.4" customHeight="1" x14ac:dyDescent="0.3">
      <c r="A785" s="695" t="s">
        <v>4897</v>
      </c>
      <c r="B785" s="696" t="s">
        <v>4082</v>
      </c>
      <c r="C785" s="696" t="s">
        <v>4114</v>
      </c>
      <c r="D785" s="696" t="s">
        <v>4157</v>
      </c>
      <c r="E785" s="696" t="s">
        <v>4158</v>
      </c>
      <c r="F785" s="711">
        <v>2</v>
      </c>
      <c r="G785" s="711">
        <v>1704</v>
      </c>
      <c r="H785" s="711">
        <v>1</v>
      </c>
      <c r="I785" s="711">
        <v>852</v>
      </c>
      <c r="J785" s="711">
        <v>1</v>
      </c>
      <c r="K785" s="711">
        <v>703</v>
      </c>
      <c r="L785" s="711">
        <v>0.41255868544600938</v>
      </c>
      <c r="M785" s="711">
        <v>703</v>
      </c>
      <c r="N785" s="711">
        <v>1</v>
      </c>
      <c r="O785" s="711">
        <v>703</v>
      </c>
      <c r="P785" s="701">
        <v>0.41255868544600938</v>
      </c>
      <c r="Q785" s="712">
        <v>703</v>
      </c>
    </row>
    <row r="786" spans="1:17" ht="14.4" customHeight="1" x14ac:dyDescent="0.3">
      <c r="A786" s="695" t="s">
        <v>4897</v>
      </c>
      <c r="B786" s="696" t="s">
        <v>4082</v>
      </c>
      <c r="C786" s="696" t="s">
        <v>4114</v>
      </c>
      <c r="D786" s="696" t="s">
        <v>4159</v>
      </c>
      <c r="E786" s="696" t="s">
        <v>4160</v>
      </c>
      <c r="F786" s="711">
        <v>2</v>
      </c>
      <c r="G786" s="711">
        <v>0</v>
      </c>
      <c r="H786" s="711"/>
      <c r="I786" s="711">
        <v>0</v>
      </c>
      <c r="J786" s="711">
        <v>4</v>
      </c>
      <c r="K786" s="711">
        <v>0</v>
      </c>
      <c r="L786" s="711"/>
      <c r="M786" s="711">
        <v>0</v>
      </c>
      <c r="N786" s="711">
        <v>1</v>
      </c>
      <c r="O786" s="711">
        <v>0</v>
      </c>
      <c r="P786" s="701"/>
      <c r="Q786" s="712">
        <v>0</v>
      </c>
    </row>
    <row r="787" spans="1:17" ht="14.4" customHeight="1" x14ac:dyDescent="0.3">
      <c r="A787" s="695" t="s">
        <v>4897</v>
      </c>
      <c r="B787" s="696" t="s">
        <v>4082</v>
      </c>
      <c r="C787" s="696" t="s">
        <v>4114</v>
      </c>
      <c r="D787" s="696" t="s">
        <v>4234</v>
      </c>
      <c r="E787" s="696" t="s">
        <v>4233</v>
      </c>
      <c r="F787" s="711">
        <v>565</v>
      </c>
      <c r="G787" s="711">
        <v>523190</v>
      </c>
      <c r="H787" s="711">
        <v>1</v>
      </c>
      <c r="I787" s="711">
        <v>926</v>
      </c>
      <c r="J787" s="711">
        <v>881</v>
      </c>
      <c r="K787" s="711">
        <v>818449</v>
      </c>
      <c r="L787" s="711">
        <v>1.5643437374567557</v>
      </c>
      <c r="M787" s="711">
        <v>929</v>
      </c>
      <c r="N787" s="711">
        <v>1147</v>
      </c>
      <c r="O787" s="711">
        <v>1067235</v>
      </c>
      <c r="P787" s="701">
        <v>2.0398612358798909</v>
      </c>
      <c r="Q787" s="712">
        <v>930.45771578029644</v>
      </c>
    </row>
    <row r="788" spans="1:17" ht="14.4" customHeight="1" x14ac:dyDescent="0.3">
      <c r="A788" s="695" t="s">
        <v>4897</v>
      </c>
      <c r="B788" s="696" t="s">
        <v>4082</v>
      </c>
      <c r="C788" s="696" t="s">
        <v>4114</v>
      </c>
      <c r="D788" s="696" t="s">
        <v>4161</v>
      </c>
      <c r="E788" s="696" t="s">
        <v>4162</v>
      </c>
      <c r="F788" s="711"/>
      <c r="G788" s="711"/>
      <c r="H788" s="711"/>
      <c r="I788" s="711"/>
      <c r="J788" s="711">
        <v>2</v>
      </c>
      <c r="K788" s="711">
        <v>0</v>
      </c>
      <c r="L788" s="711"/>
      <c r="M788" s="711">
        <v>0</v>
      </c>
      <c r="N788" s="711"/>
      <c r="O788" s="711"/>
      <c r="P788" s="701"/>
      <c r="Q788" s="712"/>
    </row>
    <row r="789" spans="1:17" ht="14.4" customHeight="1" x14ac:dyDescent="0.3">
      <c r="A789" s="695" t="s">
        <v>4897</v>
      </c>
      <c r="B789" s="696" t="s">
        <v>4082</v>
      </c>
      <c r="C789" s="696" t="s">
        <v>4114</v>
      </c>
      <c r="D789" s="696" t="s">
        <v>4235</v>
      </c>
      <c r="E789" s="696" t="s">
        <v>4233</v>
      </c>
      <c r="F789" s="711">
        <v>1597</v>
      </c>
      <c r="G789" s="711">
        <v>1170596</v>
      </c>
      <c r="H789" s="711">
        <v>1</v>
      </c>
      <c r="I789" s="711">
        <v>732.99686912961806</v>
      </c>
      <c r="J789" s="711">
        <v>1478</v>
      </c>
      <c r="K789" s="711">
        <v>1084852</v>
      </c>
      <c r="L789" s="711">
        <v>0.926751842651094</v>
      </c>
      <c r="M789" s="711">
        <v>734</v>
      </c>
      <c r="N789" s="711">
        <v>379</v>
      </c>
      <c r="O789" s="711">
        <v>278674</v>
      </c>
      <c r="P789" s="701">
        <v>0.23806163697808638</v>
      </c>
      <c r="Q789" s="712">
        <v>735.28759894459108</v>
      </c>
    </row>
    <row r="790" spans="1:17" ht="14.4" customHeight="1" x14ac:dyDescent="0.3">
      <c r="A790" s="695" t="s">
        <v>4897</v>
      </c>
      <c r="B790" s="696" t="s">
        <v>4082</v>
      </c>
      <c r="C790" s="696" t="s">
        <v>4114</v>
      </c>
      <c r="D790" s="696" t="s">
        <v>4236</v>
      </c>
      <c r="E790" s="696" t="s">
        <v>4237</v>
      </c>
      <c r="F790" s="711">
        <v>125</v>
      </c>
      <c r="G790" s="711">
        <v>65375</v>
      </c>
      <c r="H790" s="711">
        <v>1</v>
      </c>
      <c r="I790" s="711">
        <v>523</v>
      </c>
      <c r="J790" s="711">
        <v>151</v>
      </c>
      <c r="K790" s="711">
        <v>79124</v>
      </c>
      <c r="L790" s="711">
        <v>1.2103097514340344</v>
      </c>
      <c r="M790" s="711">
        <v>524</v>
      </c>
      <c r="N790" s="711">
        <v>79</v>
      </c>
      <c r="O790" s="711">
        <v>41430</v>
      </c>
      <c r="P790" s="701">
        <v>0.6337284894837476</v>
      </c>
      <c r="Q790" s="712">
        <v>524.43037974683546</v>
      </c>
    </row>
    <row r="791" spans="1:17" ht="14.4" customHeight="1" x14ac:dyDescent="0.3">
      <c r="A791" s="695" t="s">
        <v>4897</v>
      </c>
      <c r="B791" s="696" t="s">
        <v>4082</v>
      </c>
      <c r="C791" s="696" t="s">
        <v>4114</v>
      </c>
      <c r="D791" s="696" t="s">
        <v>4171</v>
      </c>
      <c r="E791" s="696" t="s">
        <v>4172</v>
      </c>
      <c r="F791" s="711">
        <v>2</v>
      </c>
      <c r="G791" s="711">
        <v>590</v>
      </c>
      <c r="H791" s="711">
        <v>1</v>
      </c>
      <c r="I791" s="711">
        <v>295</v>
      </c>
      <c r="J791" s="711">
        <v>8</v>
      </c>
      <c r="K791" s="711">
        <v>2368</v>
      </c>
      <c r="L791" s="711">
        <v>4.0135593220338981</v>
      </c>
      <c r="M791" s="711">
        <v>296</v>
      </c>
      <c r="N791" s="711">
        <v>6</v>
      </c>
      <c r="O791" s="711">
        <v>1784</v>
      </c>
      <c r="P791" s="701">
        <v>3.0237288135593219</v>
      </c>
      <c r="Q791" s="712">
        <v>297.33333333333331</v>
      </c>
    </row>
    <row r="792" spans="1:17" ht="14.4" customHeight="1" x14ac:dyDescent="0.3">
      <c r="A792" s="695" t="s">
        <v>4897</v>
      </c>
      <c r="B792" s="696" t="s">
        <v>4082</v>
      </c>
      <c r="C792" s="696" t="s">
        <v>4114</v>
      </c>
      <c r="D792" s="696" t="s">
        <v>4238</v>
      </c>
      <c r="E792" s="696" t="s">
        <v>4146</v>
      </c>
      <c r="F792" s="711">
        <v>525</v>
      </c>
      <c r="G792" s="711">
        <v>90299</v>
      </c>
      <c r="H792" s="711">
        <v>1</v>
      </c>
      <c r="I792" s="711">
        <v>171.99809523809523</v>
      </c>
      <c r="J792" s="711">
        <v>466</v>
      </c>
      <c r="K792" s="711">
        <v>80152</v>
      </c>
      <c r="L792" s="711">
        <v>0.88762887739620588</v>
      </c>
      <c r="M792" s="711">
        <v>172</v>
      </c>
      <c r="N792" s="711">
        <v>129</v>
      </c>
      <c r="O792" s="711">
        <v>22336</v>
      </c>
      <c r="P792" s="701">
        <v>0.24735600615732178</v>
      </c>
      <c r="Q792" s="712">
        <v>173.14728682170542</v>
      </c>
    </row>
    <row r="793" spans="1:17" ht="14.4" customHeight="1" x14ac:dyDescent="0.3">
      <c r="A793" s="695" t="s">
        <v>4897</v>
      </c>
      <c r="B793" s="696" t="s">
        <v>4082</v>
      </c>
      <c r="C793" s="696" t="s">
        <v>4114</v>
      </c>
      <c r="D793" s="696" t="s">
        <v>4175</v>
      </c>
      <c r="E793" s="696" t="s">
        <v>4172</v>
      </c>
      <c r="F793" s="711">
        <v>111</v>
      </c>
      <c r="G793" s="711">
        <v>40182</v>
      </c>
      <c r="H793" s="711">
        <v>1</v>
      </c>
      <c r="I793" s="711">
        <v>362</v>
      </c>
      <c r="J793" s="711">
        <v>15</v>
      </c>
      <c r="K793" s="711">
        <v>5475</v>
      </c>
      <c r="L793" s="711">
        <v>0.13625503956995669</v>
      </c>
      <c r="M793" s="711">
        <v>365</v>
      </c>
      <c r="N793" s="711">
        <v>3</v>
      </c>
      <c r="O793" s="711">
        <v>1099</v>
      </c>
      <c r="P793" s="701">
        <v>2.7350554974864365E-2</v>
      </c>
      <c r="Q793" s="712">
        <v>366.33333333333331</v>
      </c>
    </row>
    <row r="794" spans="1:17" ht="14.4" customHeight="1" x14ac:dyDescent="0.3">
      <c r="A794" s="695" t="s">
        <v>4897</v>
      </c>
      <c r="B794" s="696" t="s">
        <v>4082</v>
      </c>
      <c r="C794" s="696" t="s">
        <v>4114</v>
      </c>
      <c r="D794" s="696" t="s">
        <v>4178</v>
      </c>
      <c r="E794" s="696" t="s">
        <v>4179</v>
      </c>
      <c r="F794" s="711"/>
      <c r="G794" s="711"/>
      <c r="H794" s="711"/>
      <c r="I794" s="711"/>
      <c r="J794" s="711">
        <v>2</v>
      </c>
      <c r="K794" s="711">
        <v>1270</v>
      </c>
      <c r="L794" s="711"/>
      <c r="M794" s="711">
        <v>635</v>
      </c>
      <c r="N794" s="711"/>
      <c r="O794" s="711"/>
      <c r="P794" s="701"/>
      <c r="Q794" s="712"/>
    </row>
    <row r="795" spans="1:17" ht="14.4" customHeight="1" x14ac:dyDescent="0.3">
      <c r="A795" s="695" t="s">
        <v>4897</v>
      </c>
      <c r="B795" s="696" t="s">
        <v>4082</v>
      </c>
      <c r="C795" s="696" t="s">
        <v>4114</v>
      </c>
      <c r="D795" s="696" t="s">
        <v>4180</v>
      </c>
      <c r="E795" s="696" t="s">
        <v>4181</v>
      </c>
      <c r="F795" s="711">
        <v>48</v>
      </c>
      <c r="G795" s="711">
        <v>28752</v>
      </c>
      <c r="H795" s="711">
        <v>1</v>
      </c>
      <c r="I795" s="711">
        <v>599</v>
      </c>
      <c r="J795" s="711">
        <v>10</v>
      </c>
      <c r="K795" s="711">
        <v>6010</v>
      </c>
      <c r="L795" s="711">
        <v>0.20902893711741791</v>
      </c>
      <c r="M795" s="711">
        <v>601</v>
      </c>
      <c r="N795" s="711">
        <v>6</v>
      </c>
      <c r="O795" s="711">
        <v>3626</v>
      </c>
      <c r="P795" s="701">
        <v>0.12611296605453534</v>
      </c>
      <c r="Q795" s="712">
        <v>604.33333333333337</v>
      </c>
    </row>
    <row r="796" spans="1:17" ht="14.4" customHeight="1" x14ac:dyDescent="0.3">
      <c r="A796" s="695" t="s">
        <v>4897</v>
      </c>
      <c r="B796" s="696" t="s">
        <v>4082</v>
      </c>
      <c r="C796" s="696" t="s">
        <v>4114</v>
      </c>
      <c r="D796" s="696" t="s">
        <v>4182</v>
      </c>
      <c r="E796" s="696" t="s">
        <v>4183</v>
      </c>
      <c r="F796" s="711">
        <v>0</v>
      </c>
      <c r="G796" s="711">
        <v>0</v>
      </c>
      <c r="H796" s="711"/>
      <c r="I796" s="711"/>
      <c r="J796" s="711"/>
      <c r="K796" s="711"/>
      <c r="L796" s="711"/>
      <c r="M796" s="711"/>
      <c r="N796" s="711"/>
      <c r="O796" s="711"/>
      <c r="P796" s="701"/>
      <c r="Q796" s="712"/>
    </row>
    <row r="797" spans="1:17" ht="14.4" customHeight="1" x14ac:dyDescent="0.3">
      <c r="A797" s="695" t="s">
        <v>4897</v>
      </c>
      <c r="B797" s="696" t="s">
        <v>4082</v>
      </c>
      <c r="C797" s="696" t="s">
        <v>4114</v>
      </c>
      <c r="D797" s="696" t="s">
        <v>4257</v>
      </c>
      <c r="E797" s="696" t="s">
        <v>4258</v>
      </c>
      <c r="F797" s="711">
        <v>5</v>
      </c>
      <c r="G797" s="711">
        <v>500</v>
      </c>
      <c r="H797" s="711">
        <v>1</v>
      </c>
      <c r="I797" s="711">
        <v>100</v>
      </c>
      <c r="J797" s="711">
        <v>3</v>
      </c>
      <c r="K797" s="711">
        <v>300</v>
      </c>
      <c r="L797" s="711">
        <v>0.6</v>
      </c>
      <c r="M797" s="711">
        <v>100</v>
      </c>
      <c r="N797" s="711">
        <v>1</v>
      </c>
      <c r="O797" s="711">
        <v>100</v>
      </c>
      <c r="P797" s="701">
        <v>0.2</v>
      </c>
      <c r="Q797" s="712">
        <v>100</v>
      </c>
    </row>
    <row r="798" spans="1:17" ht="14.4" customHeight="1" x14ac:dyDescent="0.3">
      <c r="A798" s="695" t="s">
        <v>4897</v>
      </c>
      <c r="B798" s="696" t="s">
        <v>4082</v>
      </c>
      <c r="C798" s="696" t="s">
        <v>4114</v>
      </c>
      <c r="D798" s="696" t="s">
        <v>4239</v>
      </c>
      <c r="E798" s="696" t="s">
        <v>4233</v>
      </c>
      <c r="F798" s="711"/>
      <c r="G798" s="711"/>
      <c r="H798" s="711"/>
      <c r="I798" s="711"/>
      <c r="J798" s="711">
        <v>4</v>
      </c>
      <c r="K798" s="711">
        <v>4048</v>
      </c>
      <c r="L798" s="711"/>
      <c r="M798" s="711">
        <v>1012</v>
      </c>
      <c r="N798" s="711"/>
      <c r="O798" s="711"/>
      <c r="P798" s="701"/>
      <c r="Q798" s="712"/>
    </row>
    <row r="799" spans="1:17" ht="14.4" customHeight="1" x14ac:dyDescent="0.3">
      <c r="A799" s="695" t="s">
        <v>4897</v>
      </c>
      <c r="B799" s="696" t="s">
        <v>4082</v>
      </c>
      <c r="C799" s="696" t="s">
        <v>4114</v>
      </c>
      <c r="D799" s="696" t="s">
        <v>4186</v>
      </c>
      <c r="E799" s="696" t="s">
        <v>4142</v>
      </c>
      <c r="F799" s="711">
        <v>1</v>
      </c>
      <c r="G799" s="711">
        <v>333</v>
      </c>
      <c r="H799" s="711">
        <v>1</v>
      </c>
      <c r="I799" s="711">
        <v>333</v>
      </c>
      <c r="J799" s="711"/>
      <c r="K799" s="711"/>
      <c r="L799" s="711"/>
      <c r="M799" s="711"/>
      <c r="N799" s="711"/>
      <c r="O799" s="711"/>
      <c r="P799" s="701"/>
      <c r="Q799" s="712"/>
    </row>
    <row r="800" spans="1:17" ht="14.4" customHeight="1" x14ac:dyDescent="0.3">
      <c r="A800" s="695" t="s">
        <v>4897</v>
      </c>
      <c r="B800" s="696" t="s">
        <v>4082</v>
      </c>
      <c r="C800" s="696" t="s">
        <v>4114</v>
      </c>
      <c r="D800" s="696" t="s">
        <v>4187</v>
      </c>
      <c r="E800" s="696" t="s">
        <v>4144</v>
      </c>
      <c r="F800" s="711">
        <v>3</v>
      </c>
      <c r="G800" s="711">
        <v>1083</v>
      </c>
      <c r="H800" s="711">
        <v>1</v>
      </c>
      <c r="I800" s="711">
        <v>361</v>
      </c>
      <c r="J800" s="711">
        <v>1</v>
      </c>
      <c r="K800" s="711">
        <v>362</v>
      </c>
      <c r="L800" s="711">
        <v>0.33425669436749766</v>
      </c>
      <c r="M800" s="711">
        <v>362</v>
      </c>
      <c r="N800" s="711">
        <v>4</v>
      </c>
      <c r="O800" s="711">
        <v>1454</v>
      </c>
      <c r="P800" s="701">
        <v>1.342566943674977</v>
      </c>
      <c r="Q800" s="712">
        <v>363.5</v>
      </c>
    </row>
    <row r="801" spans="1:17" ht="14.4" customHeight="1" x14ac:dyDescent="0.3">
      <c r="A801" s="695" t="s">
        <v>4897</v>
      </c>
      <c r="B801" s="696" t="s">
        <v>4082</v>
      </c>
      <c r="C801" s="696" t="s">
        <v>4114</v>
      </c>
      <c r="D801" s="696" t="s">
        <v>4249</v>
      </c>
      <c r="E801" s="696" t="s">
        <v>4233</v>
      </c>
      <c r="F801" s="711">
        <v>186</v>
      </c>
      <c r="G801" s="711">
        <v>159774</v>
      </c>
      <c r="H801" s="711">
        <v>1</v>
      </c>
      <c r="I801" s="711">
        <v>859</v>
      </c>
      <c r="J801" s="711">
        <v>32</v>
      </c>
      <c r="K801" s="711">
        <v>27520</v>
      </c>
      <c r="L801" s="711">
        <v>0.17224329365228386</v>
      </c>
      <c r="M801" s="711">
        <v>860</v>
      </c>
      <c r="N801" s="711">
        <v>37</v>
      </c>
      <c r="O801" s="711">
        <v>31874</v>
      </c>
      <c r="P801" s="701">
        <v>0.1994942856785209</v>
      </c>
      <c r="Q801" s="712">
        <v>861.45945945945948</v>
      </c>
    </row>
    <row r="802" spans="1:17" ht="14.4" customHeight="1" x14ac:dyDescent="0.3">
      <c r="A802" s="695" t="s">
        <v>4897</v>
      </c>
      <c r="B802" s="696" t="s">
        <v>4082</v>
      </c>
      <c r="C802" s="696" t="s">
        <v>4114</v>
      </c>
      <c r="D802" s="696" t="s">
        <v>4188</v>
      </c>
      <c r="E802" s="696" t="s">
        <v>4189</v>
      </c>
      <c r="F802" s="711">
        <v>67</v>
      </c>
      <c r="G802" s="711">
        <v>34773</v>
      </c>
      <c r="H802" s="711">
        <v>1</v>
      </c>
      <c r="I802" s="711">
        <v>519</v>
      </c>
      <c r="J802" s="711">
        <v>36</v>
      </c>
      <c r="K802" s="711">
        <v>18720</v>
      </c>
      <c r="L802" s="711">
        <v>0.53834871883357782</v>
      </c>
      <c r="M802" s="711">
        <v>520</v>
      </c>
      <c r="N802" s="711">
        <v>34</v>
      </c>
      <c r="O802" s="711">
        <v>17738</v>
      </c>
      <c r="P802" s="701">
        <v>0.51010841745032065</v>
      </c>
      <c r="Q802" s="712">
        <v>521.70588235294122</v>
      </c>
    </row>
    <row r="803" spans="1:17" ht="14.4" customHeight="1" x14ac:dyDescent="0.3">
      <c r="A803" s="695" t="s">
        <v>4897</v>
      </c>
      <c r="B803" s="696" t="s">
        <v>4082</v>
      </c>
      <c r="C803" s="696" t="s">
        <v>4114</v>
      </c>
      <c r="D803" s="696" t="s">
        <v>4259</v>
      </c>
      <c r="E803" s="696" t="s">
        <v>4189</v>
      </c>
      <c r="F803" s="711">
        <v>678</v>
      </c>
      <c r="G803" s="711">
        <v>541044</v>
      </c>
      <c r="H803" s="711">
        <v>1</v>
      </c>
      <c r="I803" s="711">
        <v>798</v>
      </c>
      <c r="J803" s="711">
        <v>723</v>
      </c>
      <c r="K803" s="711">
        <v>579123</v>
      </c>
      <c r="L803" s="711">
        <v>1.0703805975114777</v>
      </c>
      <c r="M803" s="711">
        <v>801</v>
      </c>
      <c r="N803" s="711">
        <v>511</v>
      </c>
      <c r="O803" s="711">
        <v>410147</v>
      </c>
      <c r="P803" s="701">
        <v>0.75806588743244541</v>
      </c>
      <c r="Q803" s="712">
        <v>802.6360078277886</v>
      </c>
    </row>
    <row r="804" spans="1:17" ht="14.4" customHeight="1" x14ac:dyDescent="0.3">
      <c r="A804" s="695" t="s">
        <v>4897</v>
      </c>
      <c r="B804" s="696" t="s">
        <v>4082</v>
      </c>
      <c r="C804" s="696" t="s">
        <v>4114</v>
      </c>
      <c r="D804" s="696" t="s">
        <v>4260</v>
      </c>
      <c r="E804" s="696" t="s">
        <v>4189</v>
      </c>
      <c r="F804" s="711">
        <v>189</v>
      </c>
      <c r="G804" s="711">
        <v>110754</v>
      </c>
      <c r="H804" s="711">
        <v>1</v>
      </c>
      <c r="I804" s="711">
        <v>586</v>
      </c>
      <c r="J804" s="711">
        <v>104</v>
      </c>
      <c r="K804" s="711">
        <v>61256</v>
      </c>
      <c r="L804" s="711">
        <v>0.5530816042761435</v>
      </c>
      <c r="M804" s="711">
        <v>589</v>
      </c>
      <c r="N804" s="711">
        <v>249</v>
      </c>
      <c r="O804" s="711">
        <v>146989</v>
      </c>
      <c r="P804" s="701">
        <v>1.327166513173339</v>
      </c>
      <c r="Q804" s="712">
        <v>590.31726907630525</v>
      </c>
    </row>
    <row r="805" spans="1:17" ht="14.4" customHeight="1" x14ac:dyDescent="0.3">
      <c r="A805" s="695" t="s">
        <v>4897</v>
      </c>
      <c r="B805" s="696" t="s">
        <v>4082</v>
      </c>
      <c r="C805" s="696" t="s">
        <v>4114</v>
      </c>
      <c r="D805" s="696" t="s">
        <v>4894</v>
      </c>
      <c r="E805" s="696" t="s">
        <v>4189</v>
      </c>
      <c r="F805" s="711">
        <v>193</v>
      </c>
      <c r="G805" s="711">
        <v>141083</v>
      </c>
      <c r="H805" s="711">
        <v>1</v>
      </c>
      <c r="I805" s="711">
        <v>731</v>
      </c>
      <c r="J805" s="711">
        <v>10</v>
      </c>
      <c r="K805" s="711">
        <v>7320</v>
      </c>
      <c r="L805" s="711">
        <v>5.1884351764564123E-2</v>
      </c>
      <c r="M805" s="711">
        <v>732</v>
      </c>
      <c r="N805" s="711"/>
      <c r="O805" s="711"/>
      <c r="P805" s="701"/>
      <c r="Q805" s="712"/>
    </row>
    <row r="806" spans="1:17" ht="14.4" customHeight="1" x14ac:dyDescent="0.3">
      <c r="A806" s="695" t="s">
        <v>4897</v>
      </c>
      <c r="B806" s="696" t="s">
        <v>4082</v>
      </c>
      <c r="C806" s="696" t="s">
        <v>4114</v>
      </c>
      <c r="D806" s="696" t="s">
        <v>4240</v>
      </c>
      <c r="E806" s="696" t="s">
        <v>4241</v>
      </c>
      <c r="F806" s="711">
        <v>2</v>
      </c>
      <c r="G806" s="711">
        <v>1036</v>
      </c>
      <c r="H806" s="711">
        <v>1</v>
      </c>
      <c r="I806" s="711">
        <v>518</v>
      </c>
      <c r="J806" s="711"/>
      <c r="K806" s="711"/>
      <c r="L806" s="711"/>
      <c r="M806" s="711"/>
      <c r="N806" s="711"/>
      <c r="O806" s="711"/>
      <c r="P806" s="701"/>
      <c r="Q806" s="712"/>
    </row>
    <row r="807" spans="1:17" ht="14.4" customHeight="1" x14ac:dyDescent="0.3">
      <c r="A807" s="695" t="s">
        <v>4897</v>
      </c>
      <c r="B807" s="696" t="s">
        <v>4082</v>
      </c>
      <c r="C807" s="696" t="s">
        <v>4114</v>
      </c>
      <c r="D807" s="696" t="s">
        <v>4268</v>
      </c>
      <c r="E807" s="696" t="s">
        <v>4269</v>
      </c>
      <c r="F807" s="711"/>
      <c r="G807" s="711"/>
      <c r="H807" s="711"/>
      <c r="I807" s="711"/>
      <c r="J807" s="711"/>
      <c r="K807" s="711"/>
      <c r="L807" s="711"/>
      <c r="M807" s="711"/>
      <c r="N807" s="711">
        <v>1</v>
      </c>
      <c r="O807" s="711">
        <v>1366</v>
      </c>
      <c r="P807" s="701"/>
      <c r="Q807" s="712">
        <v>1366</v>
      </c>
    </row>
    <row r="808" spans="1:17" ht="14.4" customHeight="1" x14ac:dyDescent="0.3">
      <c r="A808" s="695" t="s">
        <v>4897</v>
      </c>
      <c r="B808" s="696" t="s">
        <v>4082</v>
      </c>
      <c r="C808" s="696" t="s">
        <v>4114</v>
      </c>
      <c r="D808" s="696" t="s">
        <v>4262</v>
      </c>
      <c r="E808" s="696" t="s">
        <v>4189</v>
      </c>
      <c r="F808" s="711"/>
      <c r="G808" s="711"/>
      <c r="H808" s="711"/>
      <c r="I808" s="711"/>
      <c r="J808" s="711">
        <v>4</v>
      </c>
      <c r="K808" s="711">
        <v>3404</v>
      </c>
      <c r="L808" s="711"/>
      <c r="M808" s="711">
        <v>851</v>
      </c>
      <c r="N808" s="711"/>
      <c r="O808" s="711"/>
      <c r="P808" s="701"/>
      <c r="Q808" s="712"/>
    </row>
    <row r="809" spans="1:17" ht="14.4" customHeight="1" x14ac:dyDescent="0.3">
      <c r="A809" s="695" t="s">
        <v>4898</v>
      </c>
      <c r="B809" s="696" t="s">
        <v>4082</v>
      </c>
      <c r="C809" s="696" t="s">
        <v>4103</v>
      </c>
      <c r="D809" s="696" t="s">
        <v>4228</v>
      </c>
      <c r="E809" s="696" t="s">
        <v>4229</v>
      </c>
      <c r="F809" s="711"/>
      <c r="G809" s="711"/>
      <c r="H809" s="711"/>
      <c r="I809" s="711"/>
      <c r="J809" s="711">
        <v>39</v>
      </c>
      <c r="K809" s="711">
        <v>35285.25</v>
      </c>
      <c r="L809" s="711"/>
      <c r="M809" s="711">
        <v>904.75</v>
      </c>
      <c r="N809" s="711">
        <v>94</v>
      </c>
      <c r="O809" s="711">
        <v>85046.5</v>
      </c>
      <c r="P809" s="701"/>
      <c r="Q809" s="712">
        <v>904.75</v>
      </c>
    </row>
    <row r="810" spans="1:17" ht="14.4" customHeight="1" x14ac:dyDescent="0.3">
      <c r="A810" s="695" t="s">
        <v>4898</v>
      </c>
      <c r="B810" s="696" t="s">
        <v>4082</v>
      </c>
      <c r="C810" s="696" t="s">
        <v>4103</v>
      </c>
      <c r="D810" s="696" t="s">
        <v>4106</v>
      </c>
      <c r="E810" s="696" t="s">
        <v>4107</v>
      </c>
      <c r="F810" s="711"/>
      <c r="G810" s="711"/>
      <c r="H810" s="711"/>
      <c r="I810" s="711"/>
      <c r="J810" s="711"/>
      <c r="K810" s="711"/>
      <c r="L810" s="711"/>
      <c r="M810" s="711"/>
      <c r="N810" s="711">
        <v>1</v>
      </c>
      <c r="O810" s="711">
        <v>242.64</v>
      </c>
      <c r="P810" s="701"/>
      <c r="Q810" s="712">
        <v>242.64</v>
      </c>
    </row>
    <row r="811" spans="1:17" ht="14.4" customHeight="1" x14ac:dyDescent="0.3">
      <c r="A811" s="695" t="s">
        <v>4898</v>
      </c>
      <c r="B811" s="696" t="s">
        <v>4082</v>
      </c>
      <c r="C811" s="696" t="s">
        <v>4103</v>
      </c>
      <c r="D811" s="696" t="s">
        <v>4108</v>
      </c>
      <c r="E811" s="696" t="s">
        <v>4109</v>
      </c>
      <c r="F811" s="711">
        <v>1</v>
      </c>
      <c r="G811" s="711">
        <v>242.64</v>
      </c>
      <c r="H811" s="711">
        <v>1</v>
      </c>
      <c r="I811" s="711">
        <v>242.64</v>
      </c>
      <c r="J811" s="711">
        <v>1</v>
      </c>
      <c r="K811" s="711">
        <v>242.64</v>
      </c>
      <c r="L811" s="711">
        <v>1</v>
      </c>
      <c r="M811" s="711">
        <v>242.64</v>
      </c>
      <c r="N811" s="711"/>
      <c r="O811" s="711"/>
      <c r="P811" s="701"/>
      <c r="Q811" s="712"/>
    </row>
    <row r="812" spans="1:17" ht="14.4" customHeight="1" x14ac:dyDescent="0.3">
      <c r="A812" s="695" t="s">
        <v>4898</v>
      </c>
      <c r="B812" s="696" t="s">
        <v>4082</v>
      </c>
      <c r="C812" s="696" t="s">
        <v>4114</v>
      </c>
      <c r="D812" s="696" t="s">
        <v>4230</v>
      </c>
      <c r="E812" s="696" t="s">
        <v>4231</v>
      </c>
      <c r="F812" s="711">
        <v>2</v>
      </c>
      <c r="G812" s="711">
        <v>370</v>
      </c>
      <c r="H812" s="711">
        <v>1</v>
      </c>
      <c r="I812" s="711">
        <v>185</v>
      </c>
      <c r="J812" s="711">
        <v>1</v>
      </c>
      <c r="K812" s="711">
        <v>185</v>
      </c>
      <c r="L812" s="711">
        <v>0.5</v>
      </c>
      <c r="M812" s="711">
        <v>185</v>
      </c>
      <c r="N812" s="711">
        <v>6</v>
      </c>
      <c r="O812" s="711">
        <v>1113</v>
      </c>
      <c r="P812" s="701">
        <v>3.0081081081081082</v>
      </c>
      <c r="Q812" s="712">
        <v>185.5</v>
      </c>
    </row>
    <row r="813" spans="1:17" ht="14.4" customHeight="1" x14ac:dyDescent="0.3">
      <c r="A813" s="695" t="s">
        <v>4898</v>
      </c>
      <c r="B813" s="696" t="s">
        <v>4082</v>
      </c>
      <c r="C813" s="696" t="s">
        <v>4114</v>
      </c>
      <c r="D813" s="696" t="s">
        <v>4119</v>
      </c>
      <c r="E813" s="696" t="s">
        <v>4120</v>
      </c>
      <c r="F813" s="711">
        <v>3</v>
      </c>
      <c r="G813" s="711">
        <v>102</v>
      </c>
      <c r="H813" s="711">
        <v>1</v>
      </c>
      <c r="I813" s="711">
        <v>34</v>
      </c>
      <c r="J813" s="711">
        <v>2</v>
      </c>
      <c r="K813" s="711">
        <v>68</v>
      </c>
      <c r="L813" s="711">
        <v>0.66666666666666663</v>
      </c>
      <c r="M813" s="711">
        <v>34</v>
      </c>
      <c r="N813" s="711"/>
      <c r="O813" s="711"/>
      <c r="P813" s="701"/>
      <c r="Q813" s="712"/>
    </row>
    <row r="814" spans="1:17" ht="14.4" customHeight="1" x14ac:dyDescent="0.3">
      <c r="A814" s="695" t="s">
        <v>4898</v>
      </c>
      <c r="B814" s="696" t="s">
        <v>4082</v>
      </c>
      <c r="C814" s="696" t="s">
        <v>4114</v>
      </c>
      <c r="D814" s="696" t="s">
        <v>4125</v>
      </c>
      <c r="E814" s="696" t="s">
        <v>4078</v>
      </c>
      <c r="F814" s="711">
        <v>28</v>
      </c>
      <c r="G814" s="711">
        <v>4368</v>
      </c>
      <c r="H814" s="711">
        <v>1</v>
      </c>
      <c r="I814" s="711">
        <v>156</v>
      </c>
      <c r="J814" s="711"/>
      <c r="K814" s="711"/>
      <c r="L814" s="711"/>
      <c r="M814" s="711"/>
      <c r="N814" s="711"/>
      <c r="O814" s="711"/>
      <c r="P814" s="701"/>
      <c r="Q814" s="712"/>
    </row>
    <row r="815" spans="1:17" ht="14.4" customHeight="1" x14ac:dyDescent="0.3">
      <c r="A815" s="695" t="s">
        <v>4898</v>
      </c>
      <c r="B815" s="696" t="s">
        <v>4082</v>
      </c>
      <c r="C815" s="696" t="s">
        <v>4114</v>
      </c>
      <c r="D815" s="696" t="s">
        <v>4126</v>
      </c>
      <c r="E815" s="696" t="s">
        <v>4078</v>
      </c>
      <c r="F815" s="711">
        <v>24</v>
      </c>
      <c r="G815" s="711">
        <v>1872</v>
      </c>
      <c r="H815" s="711">
        <v>1</v>
      </c>
      <c r="I815" s="711">
        <v>78</v>
      </c>
      <c r="J815" s="711"/>
      <c r="K815" s="711"/>
      <c r="L815" s="711"/>
      <c r="M815" s="711"/>
      <c r="N815" s="711"/>
      <c r="O815" s="711"/>
      <c r="P815" s="701"/>
      <c r="Q815" s="712"/>
    </row>
    <row r="816" spans="1:17" ht="14.4" customHeight="1" x14ac:dyDescent="0.3">
      <c r="A816" s="695" t="s">
        <v>4898</v>
      </c>
      <c r="B816" s="696" t="s">
        <v>4082</v>
      </c>
      <c r="C816" s="696" t="s">
        <v>4114</v>
      </c>
      <c r="D816" s="696" t="s">
        <v>4127</v>
      </c>
      <c r="E816" s="696" t="s">
        <v>4128</v>
      </c>
      <c r="F816" s="711">
        <v>353</v>
      </c>
      <c r="G816" s="711">
        <v>81543</v>
      </c>
      <c r="H816" s="711">
        <v>1</v>
      </c>
      <c r="I816" s="711">
        <v>231</v>
      </c>
      <c r="J816" s="711">
        <v>335</v>
      </c>
      <c r="K816" s="711">
        <v>77720</v>
      </c>
      <c r="L816" s="711">
        <v>0.95311676048219962</v>
      </c>
      <c r="M816" s="711">
        <v>232</v>
      </c>
      <c r="N816" s="711">
        <v>651</v>
      </c>
      <c r="O816" s="711">
        <v>151528</v>
      </c>
      <c r="P816" s="701">
        <v>1.858258832763082</v>
      </c>
      <c r="Q816" s="712">
        <v>232.76190476190476</v>
      </c>
    </row>
    <row r="817" spans="1:17" ht="14.4" customHeight="1" x14ac:dyDescent="0.3">
      <c r="A817" s="695" t="s">
        <v>4898</v>
      </c>
      <c r="B817" s="696" t="s">
        <v>4082</v>
      </c>
      <c r="C817" s="696" t="s">
        <v>4114</v>
      </c>
      <c r="D817" s="696" t="s">
        <v>4129</v>
      </c>
      <c r="E817" s="696" t="s">
        <v>4130</v>
      </c>
      <c r="F817" s="711">
        <v>1079</v>
      </c>
      <c r="G817" s="711">
        <v>125164</v>
      </c>
      <c r="H817" s="711">
        <v>1</v>
      </c>
      <c r="I817" s="711">
        <v>116</v>
      </c>
      <c r="J817" s="711">
        <v>850</v>
      </c>
      <c r="K817" s="711">
        <v>98600</v>
      </c>
      <c r="L817" s="711">
        <v>0.78776645041705284</v>
      </c>
      <c r="M817" s="711">
        <v>116</v>
      </c>
      <c r="N817" s="711">
        <v>1396</v>
      </c>
      <c r="O817" s="711">
        <v>163020</v>
      </c>
      <c r="P817" s="701">
        <v>1.3024511840465309</v>
      </c>
      <c r="Q817" s="712">
        <v>116.77650429799426</v>
      </c>
    </row>
    <row r="818" spans="1:17" ht="14.4" customHeight="1" x14ac:dyDescent="0.3">
      <c r="A818" s="695" t="s">
        <v>4898</v>
      </c>
      <c r="B818" s="696" t="s">
        <v>4082</v>
      </c>
      <c r="C818" s="696" t="s">
        <v>4114</v>
      </c>
      <c r="D818" s="696" t="s">
        <v>4131</v>
      </c>
      <c r="E818" s="696" t="s">
        <v>4132</v>
      </c>
      <c r="F818" s="711">
        <v>7</v>
      </c>
      <c r="G818" s="711">
        <v>2233</v>
      </c>
      <c r="H818" s="711">
        <v>1</v>
      </c>
      <c r="I818" s="711">
        <v>319</v>
      </c>
      <c r="J818" s="711">
        <v>2</v>
      </c>
      <c r="K818" s="711">
        <v>640</v>
      </c>
      <c r="L818" s="711">
        <v>0.28660994178235555</v>
      </c>
      <c r="M818" s="711">
        <v>320</v>
      </c>
      <c r="N818" s="711"/>
      <c r="O818" s="711"/>
      <c r="P818" s="701"/>
      <c r="Q818" s="712"/>
    </row>
    <row r="819" spans="1:17" ht="14.4" customHeight="1" x14ac:dyDescent="0.3">
      <c r="A819" s="695" t="s">
        <v>4898</v>
      </c>
      <c r="B819" s="696" t="s">
        <v>4082</v>
      </c>
      <c r="C819" s="696" t="s">
        <v>4114</v>
      </c>
      <c r="D819" s="696" t="s">
        <v>4133</v>
      </c>
      <c r="E819" s="696" t="s">
        <v>4134</v>
      </c>
      <c r="F819" s="711">
        <v>27</v>
      </c>
      <c r="G819" s="711">
        <v>13041</v>
      </c>
      <c r="H819" s="711">
        <v>1</v>
      </c>
      <c r="I819" s="711">
        <v>483</v>
      </c>
      <c r="J819" s="711">
        <v>16</v>
      </c>
      <c r="K819" s="711">
        <v>7744</v>
      </c>
      <c r="L819" s="711">
        <v>0.59381949237021703</v>
      </c>
      <c r="M819" s="711">
        <v>484</v>
      </c>
      <c r="N819" s="711">
        <v>3</v>
      </c>
      <c r="O819" s="711">
        <v>1452</v>
      </c>
      <c r="P819" s="701">
        <v>0.11134115481941569</v>
      </c>
      <c r="Q819" s="712">
        <v>484</v>
      </c>
    </row>
    <row r="820" spans="1:17" ht="14.4" customHeight="1" x14ac:dyDescent="0.3">
      <c r="A820" s="695" t="s">
        <v>4898</v>
      </c>
      <c r="B820" s="696" t="s">
        <v>4082</v>
      </c>
      <c r="C820" s="696" t="s">
        <v>4114</v>
      </c>
      <c r="D820" s="696" t="s">
        <v>4135</v>
      </c>
      <c r="E820" s="696" t="s">
        <v>4136</v>
      </c>
      <c r="F820" s="711">
        <v>139</v>
      </c>
      <c r="G820" s="711">
        <v>93964</v>
      </c>
      <c r="H820" s="711">
        <v>1</v>
      </c>
      <c r="I820" s="711">
        <v>676</v>
      </c>
      <c r="J820" s="711">
        <v>73</v>
      </c>
      <c r="K820" s="711">
        <v>49421</v>
      </c>
      <c r="L820" s="711">
        <v>0.52595674939338466</v>
      </c>
      <c r="M820" s="711">
        <v>677</v>
      </c>
      <c r="N820" s="711">
        <v>11</v>
      </c>
      <c r="O820" s="711">
        <v>7447</v>
      </c>
      <c r="P820" s="701">
        <v>7.9253756757907287E-2</v>
      </c>
      <c r="Q820" s="712">
        <v>677</v>
      </c>
    </row>
    <row r="821" spans="1:17" ht="14.4" customHeight="1" x14ac:dyDescent="0.3">
      <c r="A821" s="695" t="s">
        <v>4898</v>
      </c>
      <c r="B821" s="696" t="s">
        <v>4082</v>
      </c>
      <c r="C821" s="696" t="s">
        <v>4114</v>
      </c>
      <c r="D821" s="696" t="s">
        <v>4139</v>
      </c>
      <c r="E821" s="696" t="s">
        <v>4134</v>
      </c>
      <c r="F821" s="711">
        <v>22</v>
      </c>
      <c r="G821" s="711">
        <v>12100</v>
      </c>
      <c r="H821" s="711">
        <v>1</v>
      </c>
      <c r="I821" s="711">
        <v>550</v>
      </c>
      <c r="J821" s="711">
        <v>14</v>
      </c>
      <c r="K821" s="711">
        <v>7742</v>
      </c>
      <c r="L821" s="711">
        <v>0.6398347107438016</v>
      </c>
      <c r="M821" s="711">
        <v>553</v>
      </c>
      <c r="N821" s="711">
        <v>20</v>
      </c>
      <c r="O821" s="711">
        <v>11092</v>
      </c>
      <c r="P821" s="701">
        <v>0.91669421487603309</v>
      </c>
      <c r="Q821" s="712">
        <v>554.6</v>
      </c>
    </row>
    <row r="822" spans="1:17" ht="14.4" customHeight="1" x14ac:dyDescent="0.3">
      <c r="A822" s="695" t="s">
        <v>4898</v>
      </c>
      <c r="B822" s="696" t="s">
        <v>4082</v>
      </c>
      <c r="C822" s="696" t="s">
        <v>4114</v>
      </c>
      <c r="D822" s="696" t="s">
        <v>4140</v>
      </c>
      <c r="E822" s="696" t="s">
        <v>4136</v>
      </c>
      <c r="F822" s="711">
        <v>66</v>
      </c>
      <c r="G822" s="711">
        <v>49038</v>
      </c>
      <c r="H822" s="711">
        <v>1</v>
      </c>
      <c r="I822" s="711">
        <v>743</v>
      </c>
      <c r="J822" s="711">
        <v>109</v>
      </c>
      <c r="K822" s="711">
        <v>81314</v>
      </c>
      <c r="L822" s="711">
        <v>1.6581834495697214</v>
      </c>
      <c r="M822" s="711">
        <v>746</v>
      </c>
      <c r="N822" s="711">
        <v>168</v>
      </c>
      <c r="O822" s="711">
        <v>125588</v>
      </c>
      <c r="P822" s="701">
        <v>2.5610342999306659</v>
      </c>
      <c r="Q822" s="712">
        <v>747.54761904761904</v>
      </c>
    </row>
    <row r="823" spans="1:17" ht="14.4" customHeight="1" x14ac:dyDescent="0.3">
      <c r="A823" s="695" t="s">
        <v>4898</v>
      </c>
      <c r="B823" s="696" t="s">
        <v>4082</v>
      </c>
      <c r="C823" s="696" t="s">
        <v>4114</v>
      </c>
      <c r="D823" s="696" t="s">
        <v>4232</v>
      </c>
      <c r="E823" s="696" t="s">
        <v>4233</v>
      </c>
      <c r="F823" s="711">
        <v>508</v>
      </c>
      <c r="G823" s="711">
        <v>406400</v>
      </c>
      <c r="H823" s="711">
        <v>1</v>
      </c>
      <c r="I823" s="711">
        <v>800</v>
      </c>
      <c r="J823" s="711">
        <v>333</v>
      </c>
      <c r="K823" s="711">
        <v>267399</v>
      </c>
      <c r="L823" s="711">
        <v>0.65796998031496068</v>
      </c>
      <c r="M823" s="711">
        <v>803</v>
      </c>
      <c r="N823" s="711">
        <v>715</v>
      </c>
      <c r="O823" s="711">
        <v>575121</v>
      </c>
      <c r="P823" s="701">
        <v>1.4151599409448818</v>
      </c>
      <c r="Q823" s="712">
        <v>804.36503496503497</v>
      </c>
    </row>
    <row r="824" spans="1:17" ht="14.4" customHeight="1" x14ac:dyDescent="0.3">
      <c r="A824" s="695" t="s">
        <v>4898</v>
      </c>
      <c r="B824" s="696" t="s">
        <v>4082</v>
      </c>
      <c r="C824" s="696" t="s">
        <v>4114</v>
      </c>
      <c r="D824" s="696" t="s">
        <v>4141</v>
      </c>
      <c r="E824" s="696" t="s">
        <v>4142</v>
      </c>
      <c r="F824" s="711">
        <v>4</v>
      </c>
      <c r="G824" s="711">
        <v>1740</v>
      </c>
      <c r="H824" s="711">
        <v>1</v>
      </c>
      <c r="I824" s="711">
        <v>435</v>
      </c>
      <c r="J824" s="711">
        <v>3</v>
      </c>
      <c r="K824" s="711">
        <v>1317</v>
      </c>
      <c r="L824" s="711">
        <v>0.75689655172413794</v>
      </c>
      <c r="M824" s="711">
        <v>439</v>
      </c>
      <c r="N824" s="711">
        <v>1</v>
      </c>
      <c r="O824" s="711">
        <v>446</v>
      </c>
      <c r="P824" s="701">
        <v>0.25632183908045975</v>
      </c>
      <c r="Q824" s="712">
        <v>446</v>
      </c>
    </row>
    <row r="825" spans="1:17" ht="14.4" customHeight="1" x14ac:dyDescent="0.3">
      <c r="A825" s="695" t="s">
        <v>4898</v>
      </c>
      <c r="B825" s="696" t="s">
        <v>4082</v>
      </c>
      <c r="C825" s="696" t="s">
        <v>4114</v>
      </c>
      <c r="D825" s="696" t="s">
        <v>4143</v>
      </c>
      <c r="E825" s="696" t="s">
        <v>4144</v>
      </c>
      <c r="F825" s="711">
        <v>2</v>
      </c>
      <c r="G825" s="711">
        <v>856</v>
      </c>
      <c r="H825" s="711">
        <v>1</v>
      </c>
      <c r="I825" s="711">
        <v>428</v>
      </c>
      <c r="J825" s="711">
        <v>3</v>
      </c>
      <c r="K825" s="711">
        <v>1293</v>
      </c>
      <c r="L825" s="711">
        <v>1.5105140186915889</v>
      </c>
      <c r="M825" s="711">
        <v>431</v>
      </c>
      <c r="N825" s="711">
        <v>1</v>
      </c>
      <c r="O825" s="711">
        <v>431</v>
      </c>
      <c r="P825" s="701">
        <v>0.50350467289719625</v>
      </c>
      <c r="Q825" s="712">
        <v>431</v>
      </c>
    </row>
    <row r="826" spans="1:17" ht="14.4" customHeight="1" x14ac:dyDescent="0.3">
      <c r="A826" s="695" t="s">
        <v>4898</v>
      </c>
      <c r="B826" s="696" t="s">
        <v>4082</v>
      </c>
      <c r="C826" s="696" t="s">
        <v>4114</v>
      </c>
      <c r="D826" s="696" t="s">
        <v>4255</v>
      </c>
      <c r="E826" s="696" t="s">
        <v>4181</v>
      </c>
      <c r="F826" s="711">
        <v>29</v>
      </c>
      <c r="G826" s="711">
        <v>20329</v>
      </c>
      <c r="H826" s="711">
        <v>1</v>
      </c>
      <c r="I826" s="711">
        <v>701</v>
      </c>
      <c r="J826" s="711">
        <v>19</v>
      </c>
      <c r="K826" s="711">
        <v>13395</v>
      </c>
      <c r="L826" s="711">
        <v>0.65891091544099567</v>
      </c>
      <c r="M826" s="711">
        <v>705</v>
      </c>
      <c r="N826" s="711">
        <v>15</v>
      </c>
      <c r="O826" s="711">
        <v>10624</v>
      </c>
      <c r="P826" s="701">
        <v>0.52260317772640075</v>
      </c>
      <c r="Q826" s="712">
        <v>708.26666666666665</v>
      </c>
    </row>
    <row r="827" spans="1:17" ht="14.4" customHeight="1" x14ac:dyDescent="0.3">
      <c r="A827" s="695" t="s">
        <v>4898</v>
      </c>
      <c r="B827" s="696" t="s">
        <v>4082</v>
      </c>
      <c r="C827" s="696" t="s">
        <v>4114</v>
      </c>
      <c r="D827" s="696" t="s">
        <v>4256</v>
      </c>
      <c r="E827" s="696" t="s">
        <v>4138</v>
      </c>
      <c r="F827" s="711"/>
      <c r="G827" s="711"/>
      <c r="H827" s="711"/>
      <c r="I827" s="711"/>
      <c r="J827" s="711"/>
      <c r="K827" s="711"/>
      <c r="L827" s="711"/>
      <c r="M827" s="711"/>
      <c r="N827" s="711">
        <v>3</v>
      </c>
      <c r="O827" s="711">
        <v>2466</v>
      </c>
      <c r="P827" s="701"/>
      <c r="Q827" s="712">
        <v>822</v>
      </c>
    </row>
    <row r="828" spans="1:17" ht="14.4" customHeight="1" x14ac:dyDescent="0.3">
      <c r="A828" s="695" t="s">
        <v>4898</v>
      </c>
      <c r="B828" s="696" t="s">
        <v>4082</v>
      </c>
      <c r="C828" s="696" t="s">
        <v>4114</v>
      </c>
      <c r="D828" s="696" t="s">
        <v>4145</v>
      </c>
      <c r="E828" s="696" t="s">
        <v>4146</v>
      </c>
      <c r="F828" s="711">
        <v>200</v>
      </c>
      <c r="G828" s="711">
        <v>41200</v>
      </c>
      <c r="H828" s="711">
        <v>1</v>
      </c>
      <c r="I828" s="711">
        <v>206</v>
      </c>
      <c r="J828" s="711">
        <v>166</v>
      </c>
      <c r="K828" s="711">
        <v>34362</v>
      </c>
      <c r="L828" s="711">
        <v>0.83402912621359226</v>
      </c>
      <c r="M828" s="711">
        <v>207</v>
      </c>
      <c r="N828" s="711">
        <v>258</v>
      </c>
      <c r="O828" s="711">
        <v>53594</v>
      </c>
      <c r="P828" s="701">
        <v>1.3008252427184466</v>
      </c>
      <c r="Q828" s="712">
        <v>207.72868217054264</v>
      </c>
    </row>
    <row r="829" spans="1:17" ht="14.4" customHeight="1" x14ac:dyDescent="0.3">
      <c r="A829" s="695" t="s">
        <v>4898</v>
      </c>
      <c r="B829" s="696" t="s">
        <v>4082</v>
      </c>
      <c r="C829" s="696" t="s">
        <v>4114</v>
      </c>
      <c r="D829" s="696" t="s">
        <v>4149</v>
      </c>
      <c r="E829" s="696" t="s">
        <v>4150</v>
      </c>
      <c r="F829" s="711">
        <v>2</v>
      </c>
      <c r="G829" s="711">
        <v>652</v>
      </c>
      <c r="H829" s="711">
        <v>1</v>
      </c>
      <c r="I829" s="711">
        <v>326</v>
      </c>
      <c r="J829" s="711">
        <v>5</v>
      </c>
      <c r="K829" s="711">
        <v>1635</v>
      </c>
      <c r="L829" s="711">
        <v>2.5076687116564416</v>
      </c>
      <c r="M829" s="711">
        <v>327</v>
      </c>
      <c r="N829" s="711">
        <v>1</v>
      </c>
      <c r="O829" s="711">
        <v>327</v>
      </c>
      <c r="P829" s="701">
        <v>0.50153374233128833</v>
      </c>
      <c r="Q829" s="712">
        <v>327</v>
      </c>
    </row>
    <row r="830" spans="1:17" ht="14.4" customHeight="1" x14ac:dyDescent="0.3">
      <c r="A830" s="695" t="s">
        <v>4898</v>
      </c>
      <c r="B830" s="696" t="s">
        <v>4082</v>
      </c>
      <c r="C830" s="696" t="s">
        <v>4114</v>
      </c>
      <c r="D830" s="696" t="s">
        <v>4153</v>
      </c>
      <c r="E830" s="696" t="s">
        <v>4154</v>
      </c>
      <c r="F830" s="711">
        <v>1537</v>
      </c>
      <c r="G830" s="711">
        <v>124497</v>
      </c>
      <c r="H830" s="711">
        <v>1</v>
      </c>
      <c r="I830" s="711">
        <v>81</v>
      </c>
      <c r="J830" s="711">
        <v>1280</v>
      </c>
      <c r="K830" s="711">
        <v>104960</v>
      </c>
      <c r="L830" s="711">
        <v>0.84307252383591569</v>
      </c>
      <c r="M830" s="711">
        <v>82</v>
      </c>
      <c r="N830" s="711">
        <v>1644</v>
      </c>
      <c r="O830" s="711">
        <v>136116</v>
      </c>
      <c r="P830" s="701">
        <v>1.0933275500614472</v>
      </c>
      <c r="Q830" s="712">
        <v>82.795620437956202</v>
      </c>
    </row>
    <row r="831" spans="1:17" ht="14.4" customHeight="1" x14ac:dyDescent="0.3">
      <c r="A831" s="695" t="s">
        <v>4898</v>
      </c>
      <c r="B831" s="696" t="s">
        <v>4082</v>
      </c>
      <c r="C831" s="696" t="s">
        <v>4114</v>
      </c>
      <c r="D831" s="696" t="s">
        <v>4159</v>
      </c>
      <c r="E831" s="696" t="s">
        <v>4160</v>
      </c>
      <c r="F831" s="711">
        <v>2</v>
      </c>
      <c r="G831" s="711">
        <v>0</v>
      </c>
      <c r="H831" s="711"/>
      <c r="I831" s="711">
        <v>0</v>
      </c>
      <c r="J831" s="711">
        <v>3</v>
      </c>
      <c r="K831" s="711">
        <v>0</v>
      </c>
      <c r="L831" s="711"/>
      <c r="M831" s="711">
        <v>0</v>
      </c>
      <c r="N831" s="711">
        <v>2</v>
      </c>
      <c r="O831" s="711">
        <v>0</v>
      </c>
      <c r="P831" s="701"/>
      <c r="Q831" s="712">
        <v>0</v>
      </c>
    </row>
    <row r="832" spans="1:17" ht="14.4" customHeight="1" x14ac:dyDescent="0.3">
      <c r="A832" s="695" t="s">
        <v>4898</v>
      </c>
      <c r="B832" s="696" t="s">
        <v>4082</v>
      </c>
      <c r="C832" s="696" t="s">
        <v>4114</v>
      </c>
      <c r="D832" s="696" t="s">
        <v>4234</v>
      </c>
      <c r="E832" s="696" t="s">
        <v>4233</v>
      </c>
      <c r="F832" s="711">
        <v>648</v>
      </c>
      <c r="G832" s="711">
        <v>600048</v>
      </c>
      <c r="H832" s="711">
        <v>1</v>
      </c>
      <c r="I832" s="711">
        <v>926</v>
      </c>
      <c r="J832" s="711">
        <v>636</v>
      </c>
      <c r="K832" s="711">
        <v>590844</v>
      </c>
      <c r="L832" s="711">
        <v>0.9846612271018319</v>
      </c>
      <c r="M832" s="711">
        <v>929</v>
      </c>
      <c r="N832" s="711">
        <v>656</v>
      </c>
      <c r="O832" s="711">
        <v>610704</v>
      </c>
      <c r="P832" s="701">
        <v>1.017758579313655</v>
      </c>
      <c r="Q832" s="712">
        <v>930.95121951219517</v>
      </c>
    </row>
    <row r="833" spans="1:17" ht="14.4" customHeight="1" x14ac:dyDescent="0.3">
      <c r="A833" s="695" t="s">
        <v>4898</v>
      </c>
      <c r="B833" s="696" t="s">
        <v>4082</v>
      </c>
      <c r="C833" s="696" t="s">
        <v>4114</v>
      </c>
      <c r="D833" s="696" t="s">
        <v>4163</v>
      </c>
      <c r="E833" s="696" t="s">
        <v>4164</v>
      </c>
      <c r="F833" s="711">
        <v>10</v>
      </c>
      <c r="G833" s="711">
        <v>1110</v>
      </c>
      <c r="H833" s="711">
        <v>1</v>
      </c>
      <c r="I833" s="711">
        <v>111</v>
      </c>
      <c r="J833" s="711">
        <v>2</v>
      </c>
      <c r="K833" s="711">
        <v>224</v>
      </c>
      <c r="L833" s="711">
        <v>0.20180180180180179</v>
      </c>
      <c r="M833" s="711">
        <v>112</v>
      </c>
      <c r="N833" s="711">
        <v>3</v>
      </c>
      <c r="O833" s="711">
        <v>336</v>
      </c>
      <c r="P833" s="701">
        <v>0.30270270270270272</v>
      </c>
      <c r="Q833" s="712">
        <v>112</v>
      </c>
    </row>
    <row r="834" spans="1:17" ht="14.4" customHeight="1" x14ac:dyDescent="0.3">
      <c r="A834" s="695" t="s">
        <v>4898</v>
      </c>
      <c r="B834" s="696" t="s">
        <v>4082</v>
      </c>
      <c r="C834" s="696" t="s">
        <v>4114</v>
      </c>
      <c r="D834" s="696" t="s">
        <v>4235</v>
      </c>
      <c r="E834" s="696" t="s">
        <v>4233</v>
      </c>
      <c r="F834" s="711">
        <v>171</v>
      </c>
      <c r="G834" s="711">
        <v>125343</v>
      </c>
      <c r="H834" s="711">
        <v>1</v>
      </c>
      <c r="I834" s="711">
        <v>733</v>
      </c>
      <c r="J834" s="711">
        <v>78</v>
      </c>
      <c r="K834" s="711">
        <v>57252</v>
      </c>
      <c r="L834" s="711">
        <v>0.45676264330676625</v>
      </c>
      <c r="M834" s="711">
        <v>734</v>
      </c>
      <c r="N834" s="711">
        <v>70</v>
      </c>
      <c r="O834" s="711">
        <v>51420</v>
      </c>
      <c r="P834" s="701">
        <v>0.41023431703405855</v>
      </c>
      <c r="Q834" s="712">
        <v>734.57142857142856</v>
      </c>
    </row>
    <row r="835" spans="1:17" ht="14.4" customHeight="1" x14ac:dyDescent="0.3">
      <c r="A835" s="695" t="s">
        <v>4898</v>
      </c>
      <c r="B835" s="696" t="s">
        <v>4082</v>
      </c>
      <c r="C835" s="696" t="s">
        <v>4114</v>
      </c>
      <c r="D835" s="696" t="s">
        <v>4243</v>
      </c>
      <c r="E835" s="696" t="s">
        <v>4244</v>
      </c>
      <c r="F835" s="711"/>
      <c r="G835" s="711"/>
      <c r="H835" s="711"/>
      <c r="I835" s="711"/>
      <c r="J835" s="711">
        <v>1</v>
      </c>
      <c r="K835" s="711">
        <v>56</v>
      </c>
      <c r="L835" s="711"/>
      <c r="M835" s="711">
        <v>56</v>
      </c>
      <c r="N835" s="711">
        <v>2</v>
      </c>
      <c r="O835" s="711">
        <v>114</v>
      </c>
      <c r="P835" s="701"/>
      <c r="Q835" s="712">
        <v>57</v>
      </c>
    </row>
    <row r="836" spans="1:17" ht="14.4" customHeight="1" x14ac:dyDescent="0.3">
      <c r="A836" s="695" t="s">
        <v>4898</v>
      </c>
      <c r="B836" s="696" t="s">
        <v>4082</v>
      </c>
      <c r="C836" s="696" t="s">
        <v>4114</v>
      </c>
      <c r="D836" s="696" t="s">
        <v>4236</v>
      </c>
      <c r="E836" s="696" t="s">
        <v>4237</v>
      </c>
      <c r="F836" s="711">
        <v>10</v>
      </c>
      <c r="G836" s="711">
        <v>5230</v>
      </c>
      <c r="H836" s="711">
        <v>1</v>
      </c>
      <c r="I836" s="711">
        <v>523</v>
      </c>
      <c r="J836" s="711"/>
      <c r="K836" s="711"/>
      <c r="L836" s="711"/>
      <c r="M836" s="711"/>
      <c r="N836" s="711">
        <v>8</v>
      </c>
      <c r="O836" s="711">
        <v>4202</v>
      </c>
      <c r="P836" s="701">
        <v>0.8034416826003824</v>
      </c>
      <c r="Q836" s="712">
        <v>525.25</v>
      </c>
    </row>
    <row r="837" spans="1:17" ht="14.4" customHeight="1" x14ac:dyDescent="0.3">
      <c r="A837" s="695" t="s">
        <v>4898</v>
      </c>
      <c r="B837" s="696" t="s">
        <v>4082</v>
      </c>
      <c r="C837" s="696" t="s">
        <v>4114</v>
      </c>
      <c r="D837" s="696" t="s">
        <v>4171</v>
      </c>
      <c r="E837" s="696" t="s">
        <v>4172</v>
      </c>
      <c r="F837" s="711">
        <v>4</v>
      </c>
      <c r="G837" s="711">
        <v>1180</v>
      </c>
      <c r="H837" s="711">
        <v>1</v>
      </c>
      <c r="I837" s="711">
        <v>295</v>
      </c>
      <c r="J837" s="711">
        <v>5</v>
      </c>
      <c r="K837" s="711">
        <v>1480</v>
      </c>
      <c r="L837" s="711">
        <v>1.2542372881355932</v>
      </c>
      <c r="M837" s="711">
        <v>296</v>
      </c>
      <c r="N837" s="711">
        <v>4</v>
      </c>
      <c r="O837" s="711">
        <v>1186</v>
      </c>
      <c r="P837" s="701">
        <v>1.0050847457627119</v>
      </c>
      <c r="Q837" s="712">
        <v>296.5</v>
      </c>
    </row>
    <row r="838" spans="1:17" ht="14.4" customHeight="1" x14ac:dyDescent="0.3">
      <c r="A838" s="695" t="s">
        <v>4898</v>
      </c>
      <c r="B838" s="696" t="s">
        <v>4082</v>
      </c>
      <c r="C838" s="696" t="s">
        <v>4114</v>
      </c>
      <c r="D838" s="696" t="s">
        <v>4238</v>
      </c>
      <c r="E838" s="696" t="s">
        <v>4146</v>
      </c>
      <c r="F838" s="711">
        <v>47</v>
      </c>
      <c r="G838" s="711">
        <v>8084</v>
      </c>
      <c r="H838" s="711">
        <v>1</v>
      </c>
      <c r="I838" s="711">
        <v>172</v>
      </c>
      <c r="J838" s="711">
        <v>33</v>
      </c>
      <c r="K838" s="711">
        <v>5676</v>
      </c>
      <c r="L838" s="711">
        <v>0.7021276595744681</v>
      </c>
      <c r="M838" s="711">
        <v>172</v>
      </c>
      <c r="N838" s="711">
        <v>21</v>
      </c>
      <c r="O838" s="711">
        <v>3626</v>
      </c>
      <c r="P838" s="701">
        <v>0.44854032657100446</v>
      </c>
      <c r="Q838" s="712">
        <v>172.66666666666666</v>
      </c>
    </row>
    <row r="839" spans="1:17" ht="14.4" customHeight="1" x14ac:dyDescent="0.3">
      <c r="A839" s="695" t="s">
        <v>4898</v>
      </c>
      <c r="B839" s="696" t="s">
        <v>4082</v>
      </c>
      <c r="C839" s="696" t="s">
        <v>4114</v>
      </c>
      <c r="D839" s="696" t="s">
        <v>4175</v>
      </c>
      <c r="E839" s="696" t="s">
        <v>4172</v>
      </c>
      <c r="F839" s="711"/>
      <c r="G839" s="711"/>
      <c r="H839" s="711"/>
      <c r="I839" s="711"/>
      <c r="J839" s="711">
        <v>6</v>
      </c>
      <c r="K839" s="711">
        <v>2190</v>
      </c>
      <c r="L839" s="711"/>
      <c r="M839" s="711">
        <v>365</v>
      </c>
      <c r="N839" s="711">
        <v>2</v>
      </c>
      <c r="O839" s="711">
        <v>734</v>
      </c>
      <c r="P839" s="701"/>
      <c r="Q839" s="712">
        <v>367</v>
      </c>
    </row>
    <row r="840" spans="1:17" ht="14.4" customHeight="1" x14ac:dyDescent="0.3">
      <c r="A840" s="695" t="s">
        <v>4898</v>
      </c>
      <c r="B840" s="696" t="s">
        <v>4082</v>
      </c>
      <c r="C840" s="696" t="s">
        <v>4114</v>
      </c>
      <c r="D840" s="696" t="s">
        <v>4180</v>
      </c>
      <c r="E840" s="696" t="s">
        <v>4181</v>
      </c>
      <c r="F840" s="711">
        <v>18</v>
      </c>
      <c r="G840" s="711">
        <v>10782</v>
      </c>
      <c r="H840" s="711">
        <v>1</v>
      </c>
      <c r="I840" s="711">
        <v>599</v>
      </c>
      <c r="J840" s="711">
        <v>6</v>
      </c>
      <c r="K840" s="711">
        <v>3606</v>
      </c>
      <c r="L840" s="711">
        <v>0.33444629938786868</v>
      </c>
      <c r="M840" s="711">
        <v>601</v>
      </c>
      <c r="N840" s="711">
        <v>5</v>
      </c>
      <c r="O840" s="711">
        <v>3013</v>
      </c>
      <c r="P840" s="701">
        <v>0.27944722685958079</v>
      </c>
      <c r="Q840" s="712">
        <v>602.6</v>
      </c>
    </row>
    <row r="841" spans="1:17" ht="14.4" customHeight="1" x14ac:dyDescent="0.3">
      <c r="A841" s="695" t="s">
        <v>4898</v>
      </c>
      <c r="B841" s="696" t="s">
        <v>4082</v>
      </c>
      <c r="C841" s="696" t="s">
        <v>4114</v>
      </c>
      <c r="D841" s="696" t="s">
        <v>4182</v>
      </c>
      <c r="E841" s="696" t="s">
        <v>4183</v>
      </c>
      <c r="F841" s="711">
        <v>1</v>
      </c>
      <c r="G841" s="711">
        <v>268</v>
      </c>
      <c r="H841" s="711">
        <v>1</v>
      </c>
      <c r="I841" s="711">
        <v>268</v>
      </c>
      <c r="J841" s="711"/>
      <c r="K841" s="711"/>
      <c r="L841" s="711"/>
      <c r="M841" s="711"/>
      <c r="N841" s="711"/>
      <c r="O841" s="711"/>
      <c r="P841" s="701"/>
      <c r="Q841" s="712"/>
    </row>
    <row r="842" spans="1:17" ht="14.4" customHeight="1" x14ac:dyDescent="0.3">
      <c r="A842" s="695" t="s">
        <v>4898</v>
      </c>
      <c r="B842" s="696" t="s">
        <v>4082</v>
      </c>
      <c r="C842" s="696" t="s">
        <v>4114</v>
      </c>
      <c r="D842" s="696" t="s">
        <v>4257</v>
      </c>
      <c r="E842" s="696" t="s">
        <v>4258</v>
      </c>
      <c r="F842" s="711">
        <v>2</v>
      </c>
      <c r="G842" s="711">
        <v>200</v>
      </c>
      <c r="H842" s="711">
        <v>1</v>
      </c>
      <c r="I842" s="711">
        <v>100</v>
      </c>
      <c r="J842" s="711">
        <v>3</v>
      </c>
      <c r="K842" s="711">
        <v>300</v>
      </c>
      <c r="L842" s="711">
        <v>1.5</v>
      </c>
      <c r="M842" s="711">
        <v>100</v>
      </c>
      <c r="N842" s="711">
        <v>6</v>
      </c>
      <c r="O842" s="711">
        <v>600</v>
      </c>
      <c r="P842" s="701">
        <v>3</v>
      </c>
      <c r="Q842" s="712">
        <v>100</v>
      </c>
    </row>
    <row r="843" spans="1:17" ht="14.4" customHeight="1" x14ac:dyDescent="0.3">
      <c r="A843" s="695" t="s">
        <v>4898</v>
      </c>
      <c r="B843" s="696" t="s">
        <v>4082</v>
      </c>
      <c r="C843" s="696" t="s">
        <v>4114</v>
      </c>
      <c r="D843" s="696" t="s">
        <v>4239</v>
      </c>
      <c r="E843" s="696" t="s">
        <v>4233</v>
      </c>
      <c r="F843" s="711">
        <v>23</v>
      </c>
      <c r="G843" s="711">
        <v>23207</v>
      </c>
      <c r="H843" s="711">
        <v>1</v>
      </c>
      <c r="I843" s="711">
        <v>1009</v>
      </c>
      <c r="J843" s="711">
        <v>25</v>
      </c>
      <c r="K843" s="711">
        <v>25300</v>
      </c>
      <c r="L843" s="711">
        <v>1.0901883052527255</v>
      </c>
      <c r="M843" s="711">
        <v>1012</v>
      </c>
      <c r="N843" s="711">
        <v>6</v>
      </c>
      <c r="O843" s="711">
        <v>6072</v>
      </c>
      <c r="P843" s="701">
        <v>0.26164519326065411</v>
      </c>
      <c r="Q843" s="712">
        <v>1012</v>
      </c>
    </row>
    <row r="844" spans="1:17" ht="14.4" customHeight="1" x14ac:dyDescent="0.3">
      <c r="A844" s="695" t="s">
        <v>4898</v>
      </c>
      <c r="B844" s="696" t="s">
        <v>4082</v>
      </c>
      <c r="C844" s="696" t="s">
        <v>4114</v>
      </c>
      <c r="D844" s="696" t="s">
        <v>4186</v>
      </c>
      <c r="E844" s="696" t="s">
        <v>4142</v>
      </c>
      <c r="F844" s="711">
        <v>4</v>
      </c>
      <c r="G844" s="711">
        <v>1332</v>
      </c>
      <c r="H844" s="711">
        <v>1</v>
      </c>
      <c r="I844" s="711">
        <v>333</v>
      </c>
      <c r="J844" s="711">
        <v>1</v>
      </c>
      <c r="K844" s="711">
        <v>335</v>
      </c>
      <c r="L844" s="711">
        <v>0.25150150150150152</v>
      </c>
      <c r="M844" s="711">
        <v>335</v>
      </c>
      <c r="N844" s="711"/>
      <c r="O844" s="711"/>
      <c r="P844" s="701"/>
      <c r="Q844" s="712"/>
    </row>
    <row r="845" spans="1:17" ht="14.4" customHeight="1" x14ac:dyDescent="0.3">
      <c r="A845" s="695" t="s">
        <v>4898</v>
      </c>
      <c r="B845" s="696" t="s">
        <v>4082</v>
      </c>
      <c r="C845" s="696" t="s">
        <v>4114</v>
      </c>
      <c r="D845" s="696" t="s">
        <v>4187</v>
      </c>
      <c r="E845" s="696" t="s">
        <v>4144</v>
      </c>
      <c r="F845" s="711"/>
      <c r="G845" s="711"/>
      <c r="H845" s="711"/>
      <c r="I845" s="711"/>
      <c r="J845" s="711">
        <v>1</v>
      </c>
      <c r="K845" s="711">
        <v>362</v>
      </c>
      <c r="L845" s="711"/>
      <c r="M845" s="711">
        <v>362</v>
      </c>
      <c r="N845" s="711">
        <v>1</v>
      </c>
      <c r="O845" s="711">
        <v>364</v>
      </c>
      <c r="P845" s="701"/>
      <c r="Q845" s="712">
        <v>364</v>
      </c>
    </row>
    <row r="846" spans="1:17" ht="14.4" customHeight="1" x14ac:dyDescent="0.3">
      <c r="A846" s="695" t="s">
        <v>4898</v>
      </c>
      <c r="B846" s="696" t="s">
        <v>4082</v>
      </c>
      <c r="C846" s="696" t="s">
        <v>4114</v>
      </c>
      <c r="D846" s="696" t="s">
        <v>4249</v>
      </c>
      <c r="E846" s="696" t="s">
        <v>4233</v>
      </c>
      <c r="F846" s="711">
        <v>17</v>
      </c>
      <c r="G846" s="711">
        <v>14603</v>
      </c>
      <c r="H846" s="711">
        <v>1</v>
      </c>
      <c r="I846" s="711">
        <v>859</v>
      </c>
      <c r="J846" s="711">
        <v>9</v>
      </c>
      <c r="K846" s="711">
        <v>7740</v>
      </c>
      <c r="L846" s="711">
        <v>0.53002807642265293</v>
      </c>
      <c r="M846" s="711">
        <v>860</v>
      </c>
      <c r="N846" s="711">
        <v>17</v>
      </c>
      <c r="O846" s="711">
        <v>14634</v>
      </c>
      <c r="P846" s="701">
        <v>1.0021228514688763</v>
      </c>
      <c r="Q846" s="712">
        <v>860.82352941176475</v>
      </c>
    </row>
    <row r="847" spans="1:17" ht="14.4" customHeight="1" x14ac:dyDescent="0.3">
      <c r="A847" s="695" t="s">
        <v>4898</v>
      </c>
      <c r="B847" s="696" t="s">
        <v>4082</v>
      </c>
      <c r="C847" s="696" t="s">
        <v>4114</v>
      </c>
      <c r="D847" s="696" t="s">
        <v>4188</v>
      </c>
      <c r="E847" s="696" t="s">
        <v>4189</v>
      </c>
      <c r="F847" s="711">
        <v>46</v>
      </c>
      <c r="G847" s="711">
        <v>23874</v>
      </c>
      <c r="H847" s="711">
        <v>1</v>
      </c>
      <c r="I847" s="711">
        <v>519</v>
      </c>
      <c r="J847" s="711">
        <v>23</v>
      </c>
      <c r="K847" s="711">
        <v>11960</v>
      </c>
      <c r="L847" s="711">
        <v>0.50096339113680155</v>
      </c>
      <c r="M847" s="711">
        <v>520</v>
      </c>
      <c r="N847" s="711">
        <v>14</v>
      </c>
      <c r="O847" s="711">
        <v>7296</v>
      </c>
      <c r="P847" s="701">
        <v>0.30560442322191506</v>
      </c>
      <c r="Q847" s="712">
        <v>521.14285714285711</v>
      </c>
    </row>
    <row r="848" spans="1:17" ht="14.4" customHeight="1" x14ac:dyDescent="0.3">
      <c r="A848" s="695" t="s">
        <v>4898</v>
      </c>
      <c r="B848" s="696" t="s">
        <v>4082</v>
      </c>
      <c r="C848" s="696" t="s">
        <v>4114</v>
      </c>
      <c r="D848" s="696" t="s">
        <v>4259</v>
      </c>
      <c r="E848" s="696" t="s">
        <v>4189</v>
      </c>
      <c r="F848" s="711">
        <v>6</v>
      </c>
      <c r="G848" s="711">
        <v>4788</v>
      </c>
      <c r="H848" s="711">
        <v>1</v>
      </c>
      <c r="I848" s="711">
        <v>798</v>
      </c>
      <c r="J848" s="711">
        <v>7</v>
      </c>
      <c r="K848" s="711">
        <v>5607</v>
      </c>
      <c r="L848" s="711">
        <v>1.1710526315789473</v>
      </c>
      <c r="M848" s="711">
        <v>801</v>
      </c>
      <c r="N848" s="711">
        <v>13</v>
      </c>
      <c r="O848" s="711">
        <v>10437</v>
      </c>
      <c r="P848" s="701">
        <v>2.1798245614035086</v>
      </c>
      <c r="Q848" s="712">
        <v>802.84615384615381</v>
      </c>
    </row>
    <row r="849" spans="1:17" ht="14.4" customHeight="1" x14ac:dyDescent="0.3">
      <c r="A849" s="695" t="s">
        <v>4898</v>
      </c>
      <c r="B849" s="696" t="s">
        <v>4082</v>
      </c>
      <c r="C849" s="696" t="s">
        <v>4114</v>
      </c>
      <c r="D849" s="696" t="s">
        <v>4260</v>
      </c>
      <c r="E849" s="696" t="s">
        <v>4189</v>
      </c>
      <c r="F849" s="711">
        <v>99</v>
      </c>
      <c r="G849" s="711">
        <v>58014</v>
      </c>
      <c r="H849" s="711">
        <v>1</v>
      </c>
      <c r="I849" s="711">
        <v>586</v>
      </c>
      <c r="J849" s="711">
        <v>60</v>
      </c>
      <c r="K849" s="711">
        <v>35340</v>
      </c>
      <c r="L849" s="711">
        <v>0.60916330540903918</v>
      </c>
      <c r="M849" s="711">
        <v>589</v>
      </c>
      <c r="N849" s="711">
        <v>47</v>
      </c>
      <c r="O849" s="711">
        <v>27803</v>
      </c>
      <c r="P849" s="701">
        <v>0.47924638880270282</v>
      </c>
      <c r="Q849" s="712">
        <v>591.55319148936167</v>
      </c>
    </row>
    <row r="850" spans="1:17" ht="14.4" customHeight="1" x14ac:dyDescent="0.3">
      <c r="A850" s="695" t="s">
        <v>4898</v>
      </c>
      <c r="B850" s="696" t="s">
        <v>4082</v>
      </c>
      <c r="C850" s="696" t="s">
        <v>4114</v>
      </c>
      <c r="D850" s="696" t="s">
        <v>4894</v>
      </c>
      <c r="E850" s="696" t="s">
        <v>4189</v>
      </c>
      <c r="F850" s="711">
        <v>6</v>
      </c>
      <c r="G850" s="711">
        <v>4386</v>
      </c>
      <c r="H850" s="711">
        <v>1</v>
      </c>
      <c r="I850" s="711">
        <v>731</v>
      </c>
      <c r="J850" s="711">
        <v>2</v>
      </c>
      <c r="K850" s="711">
        <v>1464</v>
      </c>
      <c r="L850" s="711">
        <v>0.33378932968536251</v>
      </c>
      <c r="M850" s="711">
        <v>732</v>
      </c>
      <c r="N850" s="711">
        <v>3</v>
      </c>
      <c r="O850" s="711">
        <v>2196</v>
      </c>
      <c r="P850" s="701">
        <v>0.5006839945280438</v>
      </c>
      <c r="Q850" s="712">
        <v>732</v>
      </c>
    </row>
    <row r="851" spans="1:17" ht="14.4" customHeight="1" x14ac:dyDescent="0.3">
      <c r="A851" s="695" t="s">
        <v>4898</v>
      </c>
      <c r="B851" s="696" t="s">
        <v>4082</v>
      </c>
      <c r="C851" s="696" t="s">
        <v>4114</v>
      </c>
      <c r="D851" s="696" t="s">
        <v>4245</v>
      </c>
      <c r="E851" s="696" t="s">
        <v>4241</v>
      </c>
      <c r="F851" s="711">
        <v>1</v>
      </c>
      <c r="G851" s="711">
        <v>604</v>
      </c>
      <c r="H851" s="711">
        <v>1</v>
      </c>
      <c r="I851" s="711">
        <v>604</v>
      </c>
      <c r="J851" s="711">
        <v>1</v>
      </c>
      <c r="K851" s="711">
        <v>606</v>
      </c>
      <c r="L851" s="711">
        <v>1.0033112582781456</v>
      </c>
      <c r="M851" s="711">
        <v>606</v>
      </c>
      <c r="N851" s="711"/>
      <c r="O851" s="711"/>
      <c r="P851" s="701"/>
      <c r="Q851" s="712"/>
    </row>
    <row r="852" spans="1:17" ht="14.4" customHeight="1" x14ac:dyDescent="0.3">
      <c r="A852" s="695" t="s">
        <v>4898</v>
      </c>
      <c r="B852" s="696" t="s">
        <v>4082</v>
      </c>
      <c r="C852" s="696" t="s">
        <v>4114</v>
      </c>
      <c r="D852" s="696" t="s">
        <v>4240</v>
      </c>
      <c r="E852" s="696" t="s">
        <v>4241</v>
      </c>
      <c r="F852" s="711"/>
      <c r="G852" s="711"/>
      <c r="H852" s="711"/>
      <c r="I852" s="711"/>
      <c r="J852" s="711">
        <v>2</v>
      </c>
      <c r="K852" s="711">
        <v>1040</v>
      </c>
      <c r="L852" s="711"/>
      <c r="M852" s="711">
        <v>520</v>
      </c>
      <c r="N852" s="711"/>
      <c r="O852" s="711"/>
      <c r="P852" s="701"/>
      <c r="Q852" s="712"/>
    </row>
    <row r="853" spans="1:17" ht="14.4" customHeight="1" x14ac:dyDescent="0.3">
      <c r="A853" s="695" t="s">
        <v>4899</v>
      </c>
      <c r="B853" s="696" t="s">
        <v>4082</v>
      </c>
      <c r="C853" s="696" t="s">
        <v>4103</v>
      </c>
      <c r="D853" s="696" t="s">
        <v>4228</v>
      </c>
      <c r="E853" s="696" t="s">
        <v>4229</v>
      </c>
      <c r="F853" s="711"/>
      <c r="G853" s="711"/>
      <c r="H853" s="711"/>
      <c r="I853" s="711"/>
      <c r="J853" s="711">
        <v>9</v>
      </c>
      <c r="K853" s="711">
        <v>8142.75</v>
      </c>
      <c r="L853" s="711"/>
      <c r="M853" s="711">
        <v>904.75</v>
      </c>
      <c r="N853" s="711">
        <v>11</v>
      </c>
      <c r="O853" s="711">
        <v>9952.25</v>
      </c>
      <c r="P853" s="701"/>
      <c r="Q853" s="712">
        <v>904.75</v>
      </c>
    </row>
    <row r="854" spans="1:17" ht="14.4" customHeight="1" x14ac:dyDescent="0.3">
      <c r="A854" s="695" t="s">
        <v>4899</v>
      </c>
      <c r="B854" s="696" t="s">
        <v>4082</v>
      </c>
      <c r="C854" s="696" t="s">
        <v>4114</v>
      </c>
      <c r="D854" s="696" t="s">
        <v>4266</v>
      </c>
      <c r="E854" s="696" t="s">
        <v>4267</v>
      </c>
      <c r="F854" s="711"/>
      <c r="G854" s="711"/>
      <c r="H854" s="711"/>
      <c r="I854" s="711"/>
      <c r="J854" s="711">
        <v>1</v>
      </c>
      <c r="K854" s="711">
        <v>1134</v>
      </c>
      <c r="L854" s="711"/>
      <c r="M854" s="711">
        <v>1134</v>
      </c>
      <c r="N854" s="711">
        <v>2</v>
      </c>
      <c r="O854" s="711">
        <v>2276</v>
      </c>
      <c r="P854" s="701"/>
      <c r="Q854" s="712">
        <v>1138</v>
      </c>
    </row>
    <row r="855" spans="1:17" ht="14.4" customHeight="1" x14ac:dyDescent="0.3">
      <c r="A855" s="695" t="s">
        <v>4899</v>
      </c>
      <c r="B855" s="696" t="s">
        <v>4082</v>
      </c>
      <c r="C855" s="696" t="s">
        <v>4114</v>
      </c>
      <c r="D855" s="696" t="s">
        <v>4119</v>
      </c>
      <c r="E855" s="696" t="s">
        <v>4120</v>
      </c>
      <c r="F855" s="711">
        <v>1</v>
      </c>
      <c r="G855" s="711">
        <v>34</v>
      </c>
      <c r="H855" s="711">
        <v>1</v>
      </c>
      <c r="I855" s="711">
        <v>34</v>
      </c>
      <c r="J855" s="711">
        <v>2</v>
      </c>
      <c r="K855" s="711">
        <v>68</v>
      </c>
      <c r="L855" s="711">
        <v>2</v>
      </c>
      <c r="M855" s="711">
        <v>34</v>
      </c>
      <c r="N855" s="711">
        <v>3</v>
      </c>
      <c r="O855" s="711">
        <v>105</v>
      </c>
      <c r="P855" s="701">
        <v>3.0882352941176472</v>
      </c>
      <c r="Q855" s="712">
        <v>35</v>
      </c>
    </row>
    <row r="856" spans="1:17" ht="14.4" customHeight="1" x14ac:dyDescent="0.3">
      <c r="A856" s="695" t="s">
        <v>4899</v>
      </c>
      <c r="B856" s="696" t="s">
        <v>4082</v>
      </c>
      <c r="C856" s="696" t="s">
        <v>4114</v>
      </c>
      <c r="D856" s="696" t="s">
        <v>4125</v>
      </c>
      <c r="E856" s="696" t="s">
        <v>4078</v>
      </c>
      <c r="F856" s="711">
        <v>30</v>
      </c>
      <c r="G856" s="711">
        <v>4680</v>
      </c>
      <c r="H856" s="711">
        <v>1</v>
      </c>
      <c r="I856" s="711">
        <v>156</v>
      </c>
      <c r="J856" s="711"/>
      <c r="K856" s="711"/>
      <c r="L856" s="711"/>
      <c r="M856" s="711"/>
      <c r="N856" s="711"/>
      <c r="O856" s="711"/>
      <c r="P856" s="701"/>
      <c r="Q856" s="712"/>
    </row>
    <row r="857" spans="1:17" ht="14.4" customHeight="1" x14ac:dyDescent="0.3">
      <c r="A857" s="695" t="s">
        <v>4899</v>
      </c>
      <c r="B857" s="696" t="s">
        <v>4082</v>
      </c>
      <c r="C857" s="696" t="s">
        <v>4114</v>
      </c>
      <c r="D857" s="696" t="s">
        <v>4126</v>
      </c>
      <c r="E857" s="696" t="s">
        <v>4078</v>
      </c>
      <c r="F857" s="711">
        <v>36</v>
      </c>
      <c r="G857" s="711">
        <v>2808</v>
      </c>
      <c r="H857" s="711">
        <v>1</v>
      </c>
      <c r="I857" s="711">
        <v>78</v>
      </c>
      <c r="J857" s="711"/>
      <c r="K857" s="711"/>
      <c r="L857" s="711"/>
      <c r="M857" s="711"/>
      <c r="N857" s="711"/>
      <c r="O857" s="711"/>
      <c r="P857" s="701"/>
      <c r="Q857" s="712"/>
    </row>
    <row r="858" spans="1:17" ht="14.4" customHeight="1" x14ac:dyDescent="0.3">
      <c r="A858" s="695" t="s">
        <v>4899</v>
      </c>
      <c r="B858" s="696" t="s">
        <v>4082</v>
      </c>
      <c r="C858" s="696" t="s">
        <v>4114</v>
      </c>
      <c r="D858" s="696" t="s">
        <v>4127</v>
      </c>
      <c r="E858" s="696" t="s">
        <v>4128</v>
      </c>
      <c r="F858" s="711">
        <v>512</v>
      </c>
      <c r="G858" s="711">
        <v>118272</v>
      </c>
      <c r="H858" s="711">
        <v>1</v>
      </c>
      <c r="I858" s="711">
        <v>231</v>
      </c>
      <c r="J858" s="711">
        <v>533</v>
      </c>
      <c r="K858" s="711">
        <v>123656</v>
      </c>
      <c r="L858" s="711">
        <v>1.0455221861471862</v>
      </c>
      <c r="M858" s="711">
        <v>232</v>
      </c>
      <c r="N858" s="711">
        <v>849</v>
      </c>
      <c r="O858" s="711">
        <v>197624</v>
      </c>
      <c r="P858" s="701">
        <v>1.6709280303030303</v>
      </c>
      <c r="Q858" s="712">
        <v>232.77267373380448</v>
      </c>
    </row>
    <row r="859" spans="1:17" ht="14.4" customHeight="1" x14ac:dyDescent="0.3">
      <c r="A859" s="695" t="s">
        <v>4899</v>
      </c>
      <c r="B859" s="696" t="s">
        <v>4082</v>
      </c>
      <c r="C859" s="696" t="s">
        <v>4114</v>
      </c>
      <c r="D859" s="696" t="s">
        <v>4129</v>
      </c>
      <c r="E859" s="696" t="s">
        <v>4130</v>
      </c>
      <c r="F859" s="711">
        <v>673</v>
      </c>
      <c r="G859" s="711">
        <v>78068</v>
      </c>
      <c r="H859" s="711">
        <v>1</v>
      </c>
      <c r="I859" s="711">
        <v>116</v>
      </c>
      <c r="J859" s="711">
        <v>789</v>
      </c>
      <c r="K859" s="711">
        <v>91524</v>
      </c>
      <c r="L859" s="711">
        <v>1.1723625557206538</v>
      </c>
      <c r="M859" s="711">
        <v>116</v>
      </c>
      <c r="N859" s="711">
        <v>491</v>
      </c>
      <c r="O859" s="711">
        <v>57378</v>
      </c>
      <c r="P859" s="701">
        <v>0.73497463749551672</v>
      </c>
      <c r="Q859" s="712">
        <v>116.85947046843177</v>
      </c>
    </row>
    <row r="860" spans="1:17" ht="14.4" customHeight="1" x14ac:dyDescent="0.3">
      <c r="A860" s="695" t="s">
        <v>4899</v>
      </c>
      <c r="B860" s="696" t="s">
        <v>4082</v>
      </c>
      <c r="C860" s="696" t="s">
        <v>4114</v>
      </c>
      <c r="D860" s="696" t="s">
        <v>4131</v>
      </c>
      <c r="E860" s="696" t="s">
        <v>4132</v>
      </c>
      <c r="F860" s="711">
        <v>3</v>
      </c>
      <c r="G860" s="711">
        <v>957</v>
      </c>
      <c r="H860" s="711">
        <v>1</v>
      </c>
      <c r="I860" s="711">
        <v>319</v>
      </c>
      <c r="J860" s="711">
        <v>13</v>
      </c>
      <c r="K860" s="711">
        <v>4160</v>
      </c>
      <c r="L860" s="711">
        <v>4.3469174503657264</v>
      </c>
      <c r="M860" s="711">
        <v>320</v>
      </c>
      <c r="N860" s="711">
        <v>21</v>
      </c>
      <c r="O860" s="711">
        <v>6740</v>
      </c>
      <c r="P860" s="701">
        <v>7.042842215256008</v>
      </c>
      <c r="Q860" s="712">
        <v>320.95238095238096</v>
      </c>
    </row>
    <row r="861" spans="1:17" ht="14.4" customHeight="1" x14ac:dyDescent="0.3">
      <c r="A861" s="695" t="s">
        <v>4899</v>
      </c>
      <c r="B861" s="696" t="s">
        <v>4082</v>
      </c>
      <c r="C861" s="696" t="s">
        <v>4114</v>
      </c>
      <c r="D861" s="696" t="s">
        <v>4133</v>
      </c>
      <c r="E861" s="696" t="s">
        <v>4134</v>
      </c>
      <c r="F861" s="711">
        <v>25</v>
      </c>
      <c r="G861" s="711">
        <v>12075</v>
      </c>
      <c r="H861" s="711">
        <v>1</v>
      </c>
      <c r="I861" s="711">
        <v>483</v>
      </c>
      <c r="J861" s="711">
        <v>35</v>
      </c>
      <c r="K861" s="711">
        <v>16940</v>
      </c>
      <c r="L861" s="711">
        <v>1.4028985507246376</v>
      </c>
      <c r="M861" s="711">
        <v>484</v>
      </c>
      <c r="N861" s="711">
        <v>32</v>
      </c>
      <c r="O861" s="711">
        <v>15508</v>
      </c>
      <c r="P861" s="701">
        <v>1.2843064182194617</v>
      </c>
      <c r="Q861" s="712">
        <v>484.625</v>
      </c>
    </row>
    <row r="862" spans="1:17" ht="14.4" customHeight="1" x14ac:dyDescent="0.3">
      <c r="A862" s="695" t="s">
        <v>4899</v>
      </c>
      <c r="B862" s="696" t="s">
        <v>4082</v>
      </c>
      <c r="C862" s="696" t="s">
        <v>4114</v>
      </c>
      <c r="D862" s="696" t="s">
        <v>4135</v>
      </c>
      <c r="E862" s="696" t="s">
        <v>4136</v>
      </c>
      <c r="F862" s="711">
        <v>12</v>
      </c>
      <c r="G862" s="711">
        <v>8112</v>
      </c>
      <c r="H862" s="711">
        <v>1</v>
      </c>
      <c r="I862" s="711">
        <v>676</v>
      </c>
      <c r="J862" s="711">
        <v>3</v>
      </c>
      <c r="K862" s="711">
        <v>2031</v>
      </c>
      <c r="L862" s="711">
        <v>0.25036982248520712</v>
      </c>
      <c r="M862" s="711">
        <v>677</v>
      </c>
      <c r="N862" s="711">
        <v>3</v>
      </c>
      <c r="O862" s="711">
        <v>2031</v>
      </c>
      <c r="P862" s="701">
        <v>0.25036982248520712</v>
      </c>
      <c r="Q862" s="712">
        <v>677</v>
      </c>
    </row>
    <row r="863" spans="1:17" ht="14.4" customHeight="1" x14ac:dyDescent="0.3">
      <c r="A863" s="695" t="s">
        <v>4899</v>
      </c>
      <c r="B863" s="696" t="s">
        <v>4082</v>
      </c>
      <c r="C863" s="696" t="s">
        <v>4114</v>
      </c>
      <c r="D863" s="696" t="s">
        <v>4139</v>
      </c>
      <c r="E863" s="696" t="s">
        <v>4134</v>
      </c>
      <c r="F863" s="711">
        <v>40</v>
      </c>
      <c r="G863" s="711">
        <v>22000</v>
      </c>
      <c r="H863" s="711">
        <v>1</v>
      </c>
      <c r="I863" s="711">
        <v>550</v>
      </c>
      <c r="J863" s="711">
        <v>13</v>
      </c>
      <c r="K863" s="711">
        <v>7189</v>
      </c>
      <c r="L863" s="711">
        <v>0.32677272727272727</v>
      </c>
      <c r="M863" s="711">
        <v>553</v>
      </c>
      <c r="N863" s="711">
        <v>23</v>
      </c>
      <c r="O863" s="711">
        <v>12723</v>
      </c>
      <c r="P863" s="701">
        <v>0.57831818181818184</v>
      </c>
      <c r="Q863" s="712">
        <v>553.17391304347825</v>
      </c>
    </row>
    <row r="864" spans="1:17" ht="14.4" customHeight="1" x14ac:dyDescent="0.3">
      <c r="A864" s="695" t="s">
        <v>4899</v>
      </c>
      <c r="B864" s="696" t="s">
        <v>4082</v>
      </c>
      <c r="C864" s="696" t="s">
        <v>4114</v>
      </c>
      <c r="D864" s="696" t="s">
        <v>4140</v>
      </c>
      <c r="E864" s="696" t="s">
        <v>4136</v>
      </c>
      <c r="F864" s="711">
        <v>39</v>
      </c>
      <c r="G864" s="711">
        <v>28977</v>
      </c>
      <c r="H864" s="711">
        <v>1</v>
      </c>
      <c r="I864" s="711">
        <v>743</v>
      </c>
      <c r="J864" s="711">
        <v>121</v>
      </c>
      <c r="K864" s="711">
        <v>90266</v>
      </c>
      <c r="L864" s="711">
        <v>3.1150912792904717</v>
      </c>
      <c r="M864" s="711">
        <v>746</v>
      </c>
      <c r="N864" s="711">
        <v>149</v>
      </c>
      <c r="O864" s="711">
        <v>111502</v>
      </c>
      <c r="P864" s="701">
        <v>3.8479483728474309</v>
      </c>
      <c r="Q864" s="712">
        <v>748.33557046979865</v>
      </c>
    </row>
    <row r="865" spans="1:17" ht="14.4" customHeight="1" x14ac:dyDescent="0.3">
      <c r="A865" s="695" t="s">
        <v>4899</v>
      </c>
      <c r="B865" s="696" t="s">
        <v>4082</v>
      </c>
      <c r="C865" s="696" t="s">
        <v>4114</v>
      </c>
      <c r="D865" s="696" t="s">
        <v>4232</v>
      </c>
      <c r="E865" s="696" t="s">
        <v>4233</v>
      </c>
      <c r="F865" s="711">
        <v>1570</v>
      </c>
      <c r="G865" s="711">
        <v>1256000</v>
      </c>
      <c r="H865" s="711">
        <v>1</v>
      </c>
      <c r="I865" s="711">
        <v>800</v>
      </c>
      <c r="J865" s="711">
        <v>1531</v>
      </c>
      <c r="K865" s="711">
        <v>1229393</v>
      </c>
      <c r="L865" s="711">
        <v>0.97881608280254773</v>
      </c>
      <c r="M865" s="711">
        <v>803</v>
      </c>
      <c r="N865" s="711">
        <v>711</v>
      </c>
      <c r="O865" s="711">
        <v>572329</v>
      </c>
      <c r="P865" s="701">
        <v>0.45567595541401273</v>
      </c>
      <c r="Q865" s="712">
        <v>804.96343178621657</v>
      </c>
    </row>
    <row r="866" spans="1:17" ht="14.4" customHeight="1" x14ac:dyDescent="0.3">
      <c r="A866" s="695" t="s">
        <v>4899</v>
      </c>
      <c r="B866" s="696" t="s">
        <v>4082</v>
      </c>
      <c r="C866" s="696" t="s">
        <v>4114</v>
      </c>
      <c r="D866" s="696" t="s">
        <v>4141</v>
      </c>
      <c r="E866" s="696" t="s">
        <v>4142</v>
      </c>
      <c r="F866" s="711"/>
      <c r="G866" s="711"/>
      <c r="H866" s="711"/>
      <c r="I866" s="711"/>
      <c r="J866" s="711">
        <v>1</v>
      </c>
      <c r="K866" s="711">
        <v>439</v>
      </c>
      <c r="L866" s="711"/>
      <c r="M866" s="711">
        <v>439</v>
      </c>
      <c r="N866" s="711"/>
      <c r="O866" s="711"/>
      <c r="P866" s="701"/>
      <c r="Q866" s="712"/>
    </row>
    <row r="867" spans="1:17" ht="14.4" customHeight="1" x14ac:dyDescent="0.3">
      <c r="A867" s="695" t="s">
        <v>4899</v>
      </c>
      <c r="B867" s="696" t="s">
        <v>4082</v>
      </c>
      <c r="C867" s="696" t="s">
        <v>4114</v>
      </c>
      <c r="D867" s="696" t="s">
        <v>4145</v>
      </c>
      <c r="E867" s="696" t="s">
        <v>4146</v>
      </c>
      <c r="F867" s="711">
        <v>407</v>
      </c>
      <c r="G867" s="711">
        <v>83842</v>
      </c>
      <c r="H867" s="711">
        <v>1</v>
      </c>
      <c r="I867" s="711">
        <v>206</v>
      </c>
      <c r="J867" s="711">
        <v>425</v>
      </c>
      <c r="K867" s="711">
        <v>87975</v>
      </c>
      <c r="L867" s="711">
        <v>1.049295102693161</v>
      </c>
      <c r="M867" s="711">
        <v>207</v>
      </c>
      <c r="N867" s="711">
        <v>252</v>
      </c>
      <c r="O867" s="711">
        <v>52404</v>
      </c>
      <c r="P867" s="701">
        <v>0.62503279979008131</v>
      </c>
      <c r="Q867" s="712">
        <v>207.95238095238096</v>
      </c>
    </row>
    <row r="868" spans="1:17" ht="14.4" customHeight="1" x14ac:dyDescent="0.3">
      <c r="A868" s="695" t="s">
        <v>4899</v>
      </c>
      <c r="B868" s="696" t="s">
        <v>4082</v>
      </c>
      <c r="C868" s="696" t="s">
        <v>4114</v>
      </c>
      <c r="D868" s="696" t="s">
        <v>4147</v>
      </c>
      <c r="E868" s="696" t="s">
        <v>4148</v>
      </c>
      <c r="F868" s="711"/>
      <c r="G868" s="711"/>
      <c r="H868" s="711"/>
      <c r="I868" s="711"/>
      <c r="J868" s="711"/>
      <c r="K868" s="711"/>
      <c r="L868" s="711"/>
      <c r="M868" s="711"/>
      <c r="N868" s="711">
        <v>1</v>
      </c>
      <c r="O868" s="711">
        <v>645</v>
      </c>
      <c r="P868" s="701"/>
      <c r="Q868" s="712">
        <v>645</v>
      </c>
    </row>
    <row r="869" spans="1:17" ht="14.4" customHeight="1" x14ac:dyDescent="0.3">
      <c r="A869" s="695" t="s">
        <v>4899</v>
      </c>
      <c r="B869" s="696" t="s">
        <v>4082</v>
      </c>
      <c r="C869" s="696" t="s">
        <v>4114</v>
      </c>
      <c r="D869" s="696" t="s">
        <v>4149</v>
      </c>
      <c r="E869" s="696" t="s">
        <v>4150</v>
      </c>
      <c r="F869" s="711">
        <v>1</v>
      </c>
      <c r="G869" s="711">
        <v>326</v>
      </c>
      <c r="H869" s="711">
        <v>1</v>
      </c>
      <c r="I869" s="711">
        <v>326</v>
      </c>
      <c r="J869" s="711">
        <v>5</v>
      </c>
      <c r="K869" s="711">
        <v>1635</v>
      </c>
      <c r="L869" s="711">
        <v>5.0153374233128831</v>
      </c>
      <c r="M869" s="711">
        <v>327</v>
      </c>
      <c r="N869" s="711">
        <v>1</v>
      </c>
      <c r="O869" s="711">
        <v>330</v>
      </c>
      <c r="P869" s="701">
        <v>1.0122699386503067</v>
      </c>
      <c r="Q869" s="712">
        <v>330</v>
      </c>
    </row>
    <row r="870" spans="1:17" ht="14.4" customHeight="1" x14ac:dyDescent="0.3">
      <c r="A870" s="695" t="s">
        <v>4899</v>
      </c>
      <c r="B870" s="696" t="s">
        <v>4082</v>
      </c>
      <c r="C870" s="696" t="s">
        <v>4114</v>
      </c>
      <c r="D870" s="696" t="s">
        <v>4153</v>
      </c>
      <c r="E870" s="696" t="s">
        <v>4154</v>
      </c>
      <c r="F870" s="711">
        <v>2090</v>
      </c>
      <c r="G870" s="711">
        <v>169290</v>
      </c>
      <c r="H870" s="711">
        <v>1</v>
      </c>
      <c r="I870" s="711">
        <v>81</v>
      </c>
      <c r="J870" s="711">
        <v>1870</v>
      </c>
      <c r="K870" s="711">
        <v>153340</v>
      </c>
      <c r="L870" s="711">
        <v>0.9057829759584145</v>
      </c>
      <c r="M870" s="711">
        <v>82</v>
      </c>
      <c r="N870" s="711">
        <v>1959</v>
      </c>
      <c r="O870" s="711">
        <v>162188</v>
      </c>
      <c r="P870" s="701">
        <v>0.95804831945182822</v>
      </c>
      <c r="Q870" s="712">
        <v>82.791220010209287</v>
      </c>
    </row>
    <row r="871" spans="1:17" ht="14.4" customHeight="1" x14ac:dyDescent="0.3">
      <c r="A871" s="695" t="s">
        <v>4899</v>
      </c>
      <c r="B871" s="696" t="s">
        <v>4082</v>
      </c>
      <c r="C871" s="696" t="s">
        <v>4114</v>
      </c>
      <c r="D871" s="696" t="s">
        <v>4157</v>
      </c>
      <c r="E871" s="696" t="s">
        <v>4158</v>
      </c>
      <c r="F871" s="711">
        <v>1</v>
      </c>
      <c r="G871" s="711">
        <v>852</v>
      </c>
      <c r="H871" s="711">
        <v>1</v>
      </c>
      <c r="I871" s="711">
        <v>852</v>
      </c>
      <c r="J871" s="711">
        <v>1</v>
      </c>
      <c r="K871" s="711">
        <v>703</v>
      </c>
      <c r="L871" s="711">
        <v>0.82511737089201875</v>
      </c>
      <c r="M871" s="711">
        <v>703</v>
      </c>
      <c r="N871" s="711">
        <v>2</v>
      </c>
      <c r="O871" s="711">
        <v>1406</v>
      </c>
      <c r="P871" s="701">
        <v>1.6502347417840375</v>
      </c>
      <c r="Q871" s="712">
        <v>703</v>
      </c>
    </row>
    <row r="872" spans="1:17" ht="14.4" customHeight="1" x14ac:dyDescent="0.3">
      <c r="A872" s="695" t="s">
        <v>4899</v>
      </c>
      <c r="B872" s="696" t="s">
        <v>4082</v>
      </c>
      <c r="C872" s="696" t="s">
        <v>4114</v>
      </c>
      <c r="D872" s="696" t="s">
        <v>4159</v>
      </c>
      <c r="E872" s="696" t="s">
        <v>4160</v>
      </c>
      <c r="F872" s="711"/>
      <c r="G872" s="711"/>
      <c r="H872" s="711"/>
      <c r="I872" s="711"/>
      <c r="J872" s="711"/>
      <c r="K872" s="711"/>
      <c r="L872" s="711"/>
      <c r="M872" s="711"/>
      <c r="N872" s="711">
        <v>1</v>
      </c>
      <c r="O872" s="711">
        <v>0</v>
      </c>
      <c r="P872" s="701"/>
      <c r="Q872" s="712">
        <v>0</v>
      </c>
    </row>
    <row r="873" spans="1:17" ht="14.4" customHeight="1" x14ac:dyDescent="0.3">
      <c r="A873" s="695" t="s">
        <v>4899</v>
      </c>
      <c r="B873" s="696" t="s">
        <v>4082</v>
      </c>
      <c r="C873" s="696" t="s">
        <v>4114</v>
      </c>
      <c r="D873" s="696" t="s">
        <v>4234</v>
      </c>
      <c r="E873" s="696" t="s">
        <v>4233</v>
      </c>
      <c r="F873" s="711">
        <v>122</v>
      </c>
      <c r="G873" s="711">
        <v>112972</v>
      </c>
      <c r="H873" s="711">
        <v>1</v>
      </c>
      <c r="I873" s="711">
        <v>926</v>
      </c>
      <c r="J873" s="711">
        <v>73</v>
      </c>
      <c r="K873" s="711">
        <v>67817</v>
      </c>
      <c r="L873" s="711">
        <v>0.60029918917961977</v>
      </c>
      <c r="M873" s="711">
        <v>929</v>
      </c>
      <c r="N873" s="711">
        <v>64</v>
      </c>
      <c r="O873" s="711">
        <v>59520</v>
      </c>
      <c r="P873" s="701">
        <v>0.52685621215876499</v>
      </c>
      <c r="Q873" s="712">
        <v>930</v>
      </c>
    </row>
    <row r="874" spans="1:17" ht="14.4" customHeight="1" x14ac:dyDescent="0.3">
      <c r="A874" s="695" t="s">
        <v>4899</v>
      </c>
      <c r="B874" s="696" t="s">
        <v>4082</v>
      </c>
      <c r="C874" s="696" t="s">
        <v>4114</v>
      </c>
      <c r="D874" s="696" t="s">
        <v>4161</v>
      </c>
      <c r="E874" s="696" t="s">
        <v>4162</v>
      </c>
      <c r="F874" s="711"/>
      <c r="G874" s="711"/>
      <c r="H874" s="711"/>
      <c r="I874" s="711"/>
      <c r="J874" s="711">
        <v>1</v>
      </c>
      <c r="K874" s="711">
        <v>0</v>
      </c>
      <c r="L874" s="711"/>
      <c r="M874" s="711">
        <v>0</v>
      </c>
      <c r="N874" s="711"/>
      <c r="O874" s="711"/>
      <c r="P874" s="701"/>
      <c r="Q874" s="712"/>
    </row>
    <row r="875" spans="1:17" ht="14.4" customHeight="1" x14ac:dyDescent="0.3">
      <c r="A875" s="695" t="s">
        <v>4899</v>
      </c>
      <c r="B875" s="696" t="s">
        <v>4082</v>
      </c>
      <c r="C875" s="696" t="s">
        <v>4114</v>
      </c>
      <c r="D875" s="696" t="s">
        <v>4163</v>
      </c>
      <c r="E875" s="696" t="s">
        <v>4164</v>
      </c>
      <c r="F875" s="711"/>
      <c r="G875" s="711"/>
      <c r="H875" s="711"/>
      <c r="I875" s="711"/>
      <c r="J875" s="711"/>
      <c r="K875" s="711"/>
      <c r="L875" s="711"/>
      <c r="M875" s="711"/>
      <c r="N875" s="711">
        <v>5</v>
      </c>
      <c r="O875" s="711">
        <v>560</v>
      </c>
      <c r="P875" s="701"/>
      <c r="Q875" s="712">
        <v>112</v>
      </c>
    </row>
    <row r="876" spans="1:17" ht="14.4" customHeight="1" x14ac:dyDescent="0.3">
      <c r="A876" s="695" t="s">
        <v>4899</v>
      </c>
      <c r="B876" s="696" t="s">
        <v>4082</v>
      </c>
      <c r="C876" s="696" t="s">
        <v>4114</v>
      </c>
      <c r="D876" s="696" t="s">
        <v>4235</v>
      </c>
      <c r="E876" s="696" t="s">
        <v>4233</v>
      </c>
      <c r="F876" s="711">
        <v>289</v>
      </c>
      <c r="G876" s="711">
        <v>211837</v>
      </c>
      <c r="H876" s="711">
        <v>1</v>
      </c>
      <c r="I876" s="711">
        <v>733</v>
      </c>
      <c r="J876" s="711">
        <v>115</v>
      </c>
      <c r="K876" s="711">
        <v>84410</v>
      </c>
      <c r="L876" s="711">
        <v>0.39846674565821832</v>
      </c>
      <c r="M876" s="711">
        <v>734</v>
      </c>
      <c r="N876" s="711">
        <v>980</v>
      </c>
      <c r="O876" s="711">
        <v>719926</v>
      </c>
      <c r="P876" s="701">
        <v>3.3984903487115092</v>
      </c>
      <c r="Q876" s="712">
        <v>734.61836734693873</v>
      </c>
    </row>
    <row r="877" spans="1:17" ht="14.4" customHeight="1" x14ac:dyDescent="0.3">
      <c r="A877" s="695" t="s">
        <v>4899</v>
      </c>
      <c r="B877" s="696" t="s">
        <v>4082</v>
      </c>
      <c r="C877" s="696" t="s">
        <v>4114</v>
      </c>
      <c r="D877" s="696" t="s">
        <v>4243</v>
      </c>
      <c r="E877" s="696" t="s">
        <v>4244</v>
      </c>
      <c r="F877" s="711">
        <v>1</v>
      </c>
      <c r="G877" s="711">
        <v>58</v>
      </c>
      <c r="H877" s="711">
        <v>1</v>
      </c>
      <c r="I877" s="711">
        <v>58</v>
      </c>
      <c r="J877" s="711"/>
      <c r="K877" s="711"/>
      <c r="L877" s="711"/>
      <c r="M877" s="711"/>
      <c r="N877" s="711"/>
      <c r="O877" s="711"/>
      <c r="P877" s="701"/>
      <c r="Q877" s="712"/>
    </row>
    <row r="878" spans="1:17" ht="14.4" customHeight="1" x14ac:dyDescent="0.3">
      <c r="A878" s="695" t="s">
        <v>4899</v>
      </c>
      <c r="B878" s="696" t="s">
        <v>4082</v>
      </c>
      <c r="C878" s="696" t="s">
        <v>4114</v>
      </c>
      <c r="D878" s="696" t="s">
        <v>4236</v>
      </c>
      <c r="E878" s="696" t="s">
        <v>4237</v>
      </c>
      <c r="F878" s="711">
        <v>6</v>
      </c>
      <c r="G878" s="711">
        <v>3138</v>
      </c>
      <c r="H878" s="711">
        <v>1</v>
      </c>
      <c r="I878" s="711">
        <v>523</v>
      </c>
      <c r="J878" s="711">
        <v>14</v>
      </c>
      <c r="K878" s="711">
        <v>7336</v>
      </c>
      <c r="L878" s="711">
        <v>2.3377947737412366</v>
      </c>
      <c r="M878" s="711">
        <v>524</v>
      </c>
      <c r="N878" s="711">
        <v>7</v>
      </c>
      <c r="O878" s="711">
        <v>3682</v>
      </c>
      <c r="P878" s="701">
        <v>1.1733588272785214</v>
      </c>
      <c r="Q878" s="712">
        <v>526</v>
      </c>
    </row>
    <row r="879" spans="1:17" ht="14.4" customHeight="1" x14ac:dyDescent="0.3">
      <c r="A879" s="695" t="s">
        <v>4899</v>
      </c>
      <c r="B879" s="696" t="s">
        <v>4082</v>
      </c>
      <c r="C879" s="696" t="s">
        <v>4114</v>
      </c>
      <c r="D879" s="696" t="s">
        <v>4171</v>
      </c>
      <c r="E879" s="696" t="s">
        <v>4172</v>
      </c>
      <c r="F879" s="711">
        <v>1</v>
      </c>
      <c r="G879" s="711">
        <v>295</v>
      </c>
      <c r="H879" s="711">
        <v>1</v>
      </c>
      <c r="I879" s="711">
        <v>295</v>
      </c>
      <c r="J879" s="711">
        <v>2</v>
      </c>
      <c r="K879" s="711">
        <v>592</v>
      </c>
      <c r="L879" s="711">
        <v>2.006779661016949</v>
      </c>
      <c r="M879" s="711">
        <v>296</v>
      </c>
      <c r="N879" s="711">
        <v>2</v>
      </c>
      <c r="O879" s="711">
        <v>594</v>
      </c>
      <c r="P879" s="701">
        <v>2.0135593220338981</v>
      </c>
      <c r="Q879" s="712">
        <v>297</v>
      </c>
    </row>
    <row r="880" spans="1:17" ht="14.4" customHeight="1" x14ac:dyDescent="0.3">
      <c r="A880" s="695" t="s">
        <v>4899</v>
      </c>
      <c r="B880" s="696" t="s">
        <v>4082</v>
      </c>
      <c r="C880" s="696" t="s">
        <v>4114</v>
      </c>
      <c r="D880" s="696" t="s">
        <v>4238</v>
      </c>
      <c r="E880" s="696" t="s">
        <v>4146</v>
      </c>
      <c r="F880" s="711">
        <v>89</v>
      </c>
      <c r="G880" s="711">
        <v>15308</v>
      </c>
      <c r="H880" s="711">
        <v>1</v>
      </c>
      <c r="I880" s="711">
        <v>172</v>
      </c>
      <c r="J880" s="711">
        <v>37</v>
      </c>
      <c r="K880" s="711">
        <v>6364</v>
      </c>
      <c r="L880" s="711">
        <v>0.4157303370786517</v>
      </c>
      <c r="M880" s="711">
        <v>172</v>
      </c>
      <c r="N880" s="711">
        <v>284</v>
      </c>
      <c r="O880" s="711">
        <v>49028</v>
      </c>
      <c r="P880" s="701">
        <v>3.2027697935719885</v>
      </c>
      <c r="Q880" s="712">
        <v>172.63380281690141</v>
      </c>
    </row>
    <row r="881" spans="1:17" ht="14.4" customHeight="1" x14ac:dyDescent="0.3">
      <c r="A881" s="695" t="s">
        <v>4899</v>
      </c>
      <c r="B881" s="696" t="s">
        <v>4082</v>
      </c>
      <c r="C881" s="696" t="s">
        <v>4114</v>
      </c>
      <c r="D881" s="696" t="s">
        <v>4175</v>
      </c>
      <c r="E881" s="696" t="s">
        <v>4172</v>
      </c>
      <c r="F881" s="711"/>
      <c r="G881" s="711"/>
      <c r="H881" s="711"/>
      <c r="I881" s="711"/>
      <c r="J881" s="711">
        <v>3</v>
      </c>
      <c r="K881" s="711">
        <v>1095</v>
      </c>
      <c r="L881" s="711"/>
      <c r="M881" s="711">
        <v>365</v>
      </c>
      <c r="N881" s="711"/>
      <c r="O881" s="711"/>
      <c r="P881" s="701"/>
      <c r="Q881" s="712"/>
    </row>
    <row r="882" spans="1:17" ht="14.4" customHeight="1" x14ac:dyDescent="0.3">
      <c r="A882" s="695" t="s">
        <v>4899</v>
      </c>
      <c r="B882" s="696" t="s">
        <v>4082</v>
      </c>
      <c r="C882" s="696" t="s">
        <v>4114</v>
      </c>
      <c r="D882" s="696" t="s">
        <v>4182</v>
      </c>
      <c r="E882" s="696" t="s">
        <v>4183</v>
      </c>
      <c r="F882" s="711">
        <v>12</v>
      </c>
      <c r="G882" s="711">
        <v>3216</v>
      </c>
      <c r="H882" s="711">
        <v>1</v>
      </c>
      <c r="I882" s="711">
        <v>268</v>
      </c>
      <c r="J882" s="711">
        <v>12</v>
      </c>
      <c r="K882" s="711">
        <v>3228</v>
      </c>
      <c r="L882" s="711">
        <v>1.0037313432835822</v>
      </c>
      <c r="M882" s="711">
        <v>269</v>
      </c>
      <c r="N882" s="711">
        <v>12</v>
      </c>
      <c r="O882" s="711">
        <v>3234</v>
      </c>
      <c r="P882" s="701">
        <v>1.0055970149253732</v>
      </c>
      <c r="Q882" s="712">
        <v>269.5</v>
      </c>
    </row>
    <row r="883" spans="1:17" ht="14.4" customHeight="1" x14ac:dyDescent="0.3">
      <c r="A883" s="695" t="s">
        <v>4899</v>
      </c>
      <c r="B883" s="696" t="s">
        <v>4082</v>
      </c>
      <c r="C883" s="696" t="s">
        <v>4114</v>
      </c>
      <c r="D883" s="696" t="s">
        <v>4257</v>
      </c>
      <c r="E883" s="696" t="s">
        <v>4258</v>
      </c>
      <c r="F883" s="711">
        <v>6</v>
      </c>
      <c r="G883" s="711">
        <v>600</v>
      </c>
      <c r="H883" s="711">
        <v>1</v>
      </c>
      <c r="I883" s="711">
        <v>100</v>
      </c>
      <c r="J883" s="711">
        <v>1</v>
      </c>
      <c r="K883" s="711">
        <v>100</v>
      </c>
      <c r="L883" s="711">
        <v>0.16666666666666666</v>
      </c>
      <c r="M883" s="711">
        <v>100</v>
      </c>
      <c r="N883" s="711"/>
      <c r="O883" s="711"/>
      <c r="P883" s="701"/>
      <c r="Q883" s="712"/>
    </row>
    <row r="884" spans="1:17" ht="14.4" customHeight="1" x14ac:dyDescent="0.3">
      <c r="A884" s="695" t="s">
        <v>4899</v>
      </c>
      <c r="B884" s="696" t="s">
        <v>4082</v>
      </c>
      <c r="C884" s="696" t="s">
        <v>4114</v>
      </c>
      <c r="D884" s="696" t="s">
        <v>4186</v>
      </c>
      <c r="E884" s="696" t="s">
        <v>4142</v>
      </c>
      <c r="F884" s="711"/>
      <c r="G884" s="711"/>
      <c r="H884" s="711"/>
      <c r="I884" s="711"/>
      <c r="J884" s="711"/>
      <c r="K884" s="711"/>
      <c r="L884" s="711"/>
      <c r="M884" s="711"/>
      <c r="N884" s="711">
        <v>1</v>
      </c>
      <c r="O884" s="711">
        <v>335</v>
      </c>
      <c r="P884" s="701"/>
      <c r="Q884" s="712">
        <v>335</v>
      </c>
    </row>
    <row r="885" spans="1:17" ht="14.4" customHeight="1" x14ac:dyDescent="0.3">
      <c r="A885" s="695" t="s">
        <v>4899</v>
      </c>
      <c r="B885" s="696" t="s">
        <v>4082</v>
      </c>
      <c r="C885" s="696" t="s">
        <v>4114</v>
      </c>
      <c r="D885" s="696" t="s">
        <v>4249</v>
      </c>
      <c r="E885" s="696" t="s">
        <v>4233</v>
      </c>
      <c r="F885" s="711">
        <v>22</v>
      </c>
      <c r="G885" s="711">
        <v>18898</v>
      </c>
      <c r="H885" s="711">
        <v>1</v>
      </c>
      <c r="I885" s="711">
        <v>859</v>
      </c>
      <c r="J885" s="711">
        <v>2</v>
      </c>
      <c r="K885" s="711">
        <v>1720</v>
      </c>
      <c r="L885" s="711">
        <v>9.1014922213990893E-2</v>
      </c>
      <c r="M885" s="711">
        <v>860</v>
      </c>
      <c r="N885" s="711"/>
      <c r="O885" s="711"/>
      <c r="P885" s="701"/>
      <c r="Q885" s="712"/>
    </row>
    <row r="886" spans="1:17" ht="14.4" customHeight="1" x14ac:dyDescent="0.3">
      <c r="A886" s="695" t="s">
        <v>4899</v>
      </c>
      <c r="B886" s="696" t="s">
        <v>4082</v>
      </c>
      <c r="C886" s="696" t="s">
        <v>4114</v>
      </c>
      <c r="D886" s="696" t="s">
        <v>4261</v>
      </c>
      <c r="E886" s="696" t="s">
        <v>4233</v>
      </c>
      <c r="F886" s="711">
        <v>2</v>
      </c>
      <c r="G886" s="711">
        <v>1884</v>
      </c>
      <c r="H886" s="711">
        <v>1</v>
      </c>
      <c r="I886" s="711">
        <v>942</v>
      </c>
      <c r="J886" s="711"/>
      <c r="K886" s="711"/>
      <c r="L886" s="711"/>
      <c r="M886" s="711"/>
      <c r="N886" s="711"/>
      <c r="O886" s="711"/>
      <c r="P886" s="701"/>
      <c r="Q886" s="712"/>
    </row>
    <row r="887" spans="1:17" ht="14.4" customHeight="1" x14ac:dyDescent="0.3">
      <c r="A887" s="695" t="s">
        <v>4899</v>
      </c>
      <c r="B887" s="696" t="s">
        <v>4082</v>
      </c>
      <c r="C887" s="696" t="s">
        <v>4114</v>
      </c>
      <c r="D887" s="696" t="s">
        <v>4192</v>
      </c>
      <c r="E887" s="696" t="s">
        <v>4132</v>
      </c>
      <c r="F887" s="711">
        <v>11</v>
      </c>
      <c r="G887" s="711">
        <v>4246</v>
      </c>
      <c r="H887" s="711">
        <v>1</v>
      </c>
      <c r="I887" s="711">
        <v>386</v>
      </c>
      <c r="J887" s="711">
        <v>5</v>
      </c>
      <c r="K887" s="711">
        <v>1945</v>
      </c>
      <c r="L887" s="711">
        <v>0.45807819123881299</v>
      </c>
      <c r="M887" s="711">
        <v>389</v>
      </c>
      <c r="N887" s="711">
        <v>3</v>
      </c>
      <c r="O887" s="711">
        <v>1171</v>
      </c>
      <c r="P887" s="701">
        <v>0.27578897786151674</v>
      </c>
      <c r="Q887" s="712">
        <v>390.33333333333331</v>
      </c>
    </row>
    <row r="888" spans="1:17" ht="14.4" customHeight="1" x14ac:dyDescent="0.3">
      <c r="A888" s="695" t="s">
        <v>4900</v>
      </c>
      <c r="B888" s="696" t="s">
        <v>4082</v>
      </c>
      <c r="C888" s="696" t="s">
        <v>4103</v>
      </c>
      <c r="D888" s="696" t="s">
        <v>4228</v>
      </c>
      <c r="E888" s="696" t="s">
        <v>4229</v>
      </c>
      <c r="F888" s="711"/>
      <c r="G888" s="711"/>
      <c r="H888" s="711"/>
      <c r="I888" s="711"/>
      <c r="J888" s="711"/>
      <c r="K888" s="711"/>
      <c r="L888" s="711"/>
      <c r="M888" s="711"/>
      <c r="N888" s="711">
        <v>7</v>
      </c>
      <c r="O888" s="711">
        <v>6333.25</v>
      </c>
      <c r="P888" s="701"/>
      <c r="Q888" s="712">
        <v>904.75</v>
      </c>
    </row>
    <row r="889" spans="1:17" ht="14.4" customHeight="1" x14ac:dyDescent="0.3">
      <c r="A889" s="695" t="s">
        <v>4900</v>
      </c>
      <c r="B889" s="696" t="s">
        <v>4082</v>
      </c>
      <c r="C889" s="696" t="s">
        <v>4114</v>
      </c>
      <c r="D889" s="696" t="s">
        <v>4125</v>
      </c>
      <c r="E889" s="696" t="s">
        <v>4078</v>
      </c>
      <c r="F889" s="711">
        <v>2</v>
      </c>
      <c r="G889" s="711">
        <v>312</v>
      </c>
      <c r="H889" s="711">
        <v>1</v>
      </c>
      <c r="I889" s="711">
        <v>156</v>
      </c>
      <c r="J889" s="711"/>
      <c r="K889" s="711"/>
      <c r="L889" s="711"/>
      <c r="M889" s="711"/>
      <c r="N889" s="711"/>
      <c r="O889" s="711"/>
      <c r="P889" s="701"/>
      <c r="Q889" s="712"/>
    </row>
    <row r="890" spans="1:17" ht="14.4" customHeight="1" x14ac:dyDescent="0.3">
      <c r="A890" s="695" t="s">
        <v>4900</v>
      </c>
      <c r="B890" s="696" t="s">
        <v>4082</v>
      </c>
      <c r="C890" s="696" t="s">
        <v>4114</v>
      </c>
      <c r="D890" s="696" t="s">
        <v>4126</v>
      </c>
      <c r="E890" s="696" t="s">
        <v>4078</v>
      </c>
      <c r="F890" s="711">
        <v>14</v>
      </c>
      <c r="G890" s="711">
        <v>1092</v>
      </c>
      <c r="H890" s="711">
        <v>1</v>
      </c>
      <c r="I890" s="711">
        <v>78</v>
      </c>
      <c r="J890" s="711"/>
      <c r="K890" s="711"/>
      <c r="L890" s="711"/>
      <c r="M890" s="711"/>
      <c r="N890" s="711"/>
      <c r="O890" s="711"/>
      <c r="P890" s="701"/>
      <c r="Q890" s="712"/>
    </row>
    <row r="891" spans="1:17" ht="14.4" customHeight="1" x14ac:dyDescent="0.3">
      <c r="A891" s="695" t="s">
        <v>4900</v>
      </c>
      <c r="B891" s="696" t="s">
        <v>4082</v>
      </c>
      <c r="C891" s="696" t="s">
        <v>4114</v>
      </c>
      <c r="D891" s="696" t="s">
        <v>4127</v>
      </c>
      <c r="E891" s="696" t="s">
        <v>4128</v>
      </c>
      <c r="F891" s="711">
        <v>96</v>
      </c>
      <c r="G891" s="711">
        <v>22176</v>
      </c>
      <c r="H891" s="711">
        <v>1</v>
      </c>
      <c r="I891" s="711">
        <v>231</v>
      </c>
      <c r="J891" s="711">
        <v>72</v>
      </c>
      <c r="K891" s="711">
        <v>16704</v>
      </c>
      <c r="L891" s="711">
        <v>0.75324675324675328</v>
      </c>
      <c r="M891" s="711">
        <v>232</v>
      </c>
      <c r="N891" s="711">
        <v>140</v>
      </c>
      <c r="O891" s="711">
        <v>32590</v>
      </c>
      <c r="P891" s="701">
        <v>1.4696067821067822</v>
      </c>
      <c r="Q891" s="712">
        <v>232.78571428571428</v>
      </c>
    </row>
    <row r="892" spans="1:17" ht="14.4" customHeight="1" x14ac:dyDescent="0.3">
      <c r="A892" s="695" t="s">
        <v>4900</v>
      </c>
      <c r="B892" s="696" t="s">
        <v>4082</v>
      </c>
      <c r="C892" s="696" t="s">
        <v>4114</v>
      </c>
      <c r="D892" s="696" t="s">
        <v>4129</v>
      </c>
      <c r="E892" s="696" t="s">
        <v>4130</v>
      </c>
      <c r="F892" s="711">
        <v>223</v>
      </c>
      <c r="G892" s="711">
        <v>25868</v>
      </c>
      <c r="H892" s="711">
        <v>1</v>
      </c>
      <c r="I892" s="711">
        <v>116</v>
      </c>
      <c r="J892" s="711">
        <v>255</v>
      </c>
      <c r="K892" s="711">
        <v>29580</v>
      </c>
      <c r="L892" s="711">
        <v>1.1434977578475336</v>
      </c>
      <c r="M892" s="711">
        <v>116</v>
      </c>
      <c r="N892" s="711">
        <v>243</v>
      </c>
      <c r="O892" s="711">
        <v>28366</v>
      </c>
      <c r="P892" s="701">
        <v>1.0965671872583886</v>
      </c>
      <c r="Q892" s="712">
        <v>116.73251028806584</v>
      </c>
    </row>
    <row r="893" spans="1:17" ht="14.4" customHeight="1" x14ac:dyDescent="0.3">
      <c r="A893" s="695" t="s">
        <v>4900</v>
      </c>
      <c r="B893" s="696" t="s">
        <v>4082</v>
      </c>
      <c r="C893" s="696" t="s">
        <v>4114</v>
      </c>
      <c r="D893" s="696" t="s">
        <v>4133</v>
      </c>
      <c r="E893" s="696" t="s">
        <v>4134</v>
      </c>
      <c r="F893" s="711">
        <v>3</v>
      </c>
      <c r="G893" s="711">
        <v>1449</v>
      </c>
      <c r="H893" s="711">
        <v>1</v>
      </c>
      <c r="I893" s="711">
        <v>483</v>
      </c>
      <c r="J893" s="711">
        <v>3</v>
      </c>
      <c r="K893" s="711">
        <v>1452</v>
      </c>
      <c r="L893" s="711">
        <v>1.0020703933747412</v>
      </c>
      <c r="M893" s="711">
        <v>484</v>
      </c>
      <c r="N893" s="711"/>
      <c r="O893" s="711"/>
      <c r="P893" s="701"/>
      <c r="Q893" s="712"/>
    </row>
    <row r="894" spans="1:17" ht="14.4" customHeight="1" x14ac:dyDescent="0.3">
      <c r="A894" s="695" t="s">
        <v>4900</v>
      </c>
      <c r="B894" s="696" t="s">
        <v>4082</v>
      </c>
      <c r="C894" s="696" t="s">
        <v>4114</v>
      </c>
      <c r="D894" s="696" t="s">
        <v>4135</v>
      </c>
      <c r="E894" s="696" t="s">
        <v>4136</v>
      </c>
      <c r="F894" s="711">
        <v>2</v>
      </c>
      <c r="G894" s="711">
        <v>1352</v>
      </c>
      <c r="H894" s="711">
        <v>1</v>
      </c>
      <c r="I894" s="711">
        <v>676</v>
      </c>
      <c r="J894" s="711">
        <v>3</v>
      </c>
      <c r="K894" s="711">
        <v>2031</v>
      </c>
      <c r="L894" s="711">
        <v>1.5022189349112427</v>
      </c>
      <c r="M894" s="711">
        <v>677</v>
      </c>
      <c r="N894" s="711">
        <v>3</v>
      </c>
      <c r="O894" s="711">
        <v>2031</v>
      </c>
      <c r="P894" s="701">
        <v>1.5022189349112427</v>
      </c>
      <c r="Q894" s="712">
        <v>677</v>
      </c>
    </row>
    <row r="895" spans="1:17" ht="14.4" customHeight="1" x14ac:dyDescent="0.3">
      <c r="A895" s="695" t="s">
        <v>4900</v>
      </c>
      <c r="B895" s="696" t="s">
        <v>4082</v>
      </c>
      <c r="C895" s="696" t="s">
        <v>4114</v>
      </c>
      <c r="D895" s="696" t="s">
        <v>4139</v>
      </c>
      <c r="E895" s="696" t="s">
        <v>4134</v>
      </c>
      <c r="F895" s="711"/>
      <c r="G895" s="711"/>
      <c r="H895" s="711"/>
      <c r="I895" s="711"/>
      <c r="J895" s="711">
        <v>10</v>
      </c>
      <c r="K895" s="711">
        <v>5530</v>
      </c>
      <c r="L895" s="711"/>
      <c r="M895" s="711">
        <v>553</v>
      </c>
      <c r="N895" s="711"/>
      <c r="O895" s="711"/>
      <c r="P895" s="701"/>
      <c r="Q895" s="712"/>
    </row>
    <row r="896" spans="1:17" ht="14.4" customHeight="1" x14ac:dyDescent="0.3">
      <c r="A896" s="695" t="s">
        <v>4900</v>
      </c>
      <c r="B896" s="696" t="s">
        <v>4082</v>
      </c>
      <c r="C896" s="696" t="s">
        <v>4114</v>
      </c>
      <c r="D896" s="696" t="s">
        <v>4140</v>
      </c>
      <c r="E896" s="696" t="s">
        <v>4136</v>
      </c>
      <c r="F896" s="711"/>
      <c r="G896" s="711"/>
      <c r="H896" s="711"/>
      <c r="I896" s="711"/>
      <c r="J896" s="711">
        <v>13</v>
      </c>
      <c r="K896" s="711">
        <v>9698</v>
      </c>
      <c r="L896" s="711"/>
      <c r="M896" s="711">
        <v>746</v>
      </c>
      <c r="N896" s="711">
        <v>7</v>
      </c>
      <c r="O896" s="711">
        <v>5234</v>
      </c>
      <c r="P896" s="701"/>
      <c r="Q896" s="712">
        <v>747.71428571428567</v>
      </c>
    </row>
    <row r="897" spans="1:17" ht="14.4" customHeight="1" x14ac:dyDescent="0.3">
      <c r="A897" s="695" t="s">
        <v>4900</v>
      </c>
      <c r="B897" s="696" t="s">
        <v>4082</v>
      </c>
      <c r="C897" s="696" t="s">
        <v>4114</v>
      </c>
      <c r="D897" s="696" t="s">
        <v>4232</v>
      </c>
      <c r="E897" s="696" t="s">
        <v>4233</v>
      </c>
      <c r="F897" s="711">
        <v>261</v>
      </c>
      <c r="G897" s="711">
        <v>208800</v>
      </c>
      <c r="H897" s="711">
        <v>1</v>
      </c>
      <c r="I897" s="711">
        <v>800</v>
      </c>
      <c r="J897" s="711">
        <v>276</v>
      </c>
      <c r="K897" s="711">
        <v>221628</v>
      </c>
      <c r="L897" s="711">
        <v>1.0614367816091954</v>
      </c>
      <c r="M897" s="711">
        <v>803</v>
      </c>
      <c r="N897" s="711">
        <v>260</v>
      </c>
      <c r="O897" s="711">
        <v>209216</v>
      </c>
      <c r="P897" s="701">
        <v>1.001992337164751</v>
      </c>
      <c r="Q897" s="712">
        <v>804.67692307692312</v>
      </c>
    </row>
    <row r="898" spans="1:17" ht="14.4" customHeight="1" x14ac:dyDescent="0.3">
      <c r="A898" s="695" t="s">
        <v>4900</v>
      </c>
      <c r="B898" s="696" t="s">
        <v>4082</v>
      </c>
      <c r="C898" s="696" t="s">
        <v>4114</v>
      </c>
      <c r="D898" s="696" t="s">
        <v>4145</v>
      </c>
      <c r="E898" s="696" t="s">
        <v>4146</v>
      </c>
      <c r="F898" s="711">
        <v>68</v>
      </c>
      <c r="G898" s="711">
        <v>14008</v>
      </c>
      <c r="H898" s="711">
        <v>1</v>
      </c>
      <c r="I898" s="711">
        <v>206</v>
      </c>
      <c r="J898" s="711">
        <v>64</v>
      </c>
      <c r="K898" s="711">
        <v>13248</v>
      </c>
      <c r="L898" s="711">
        <v>0.94574528840662475</v>
      </c>
      <c r="M898" s="711">
        <v>207</v>
      </c>
      <c r="N898" s="711">
        <v>71</v>
      </c>
      <c r="O898" s="711">
        <v>14759</v>
      </c>
      <c r="P898" s="701">
        <v>1.0536122215876642</v>
      </c>
      <c r="Q898" s="712">
        <v>207.87323943661971</v>
      </c>
    </row>
    <row r="899" spans="1:17" ht="14.4" customHeight="1" x14ac:dyDescent="0.3">
      <c r="A899" s="695" t="s">
        <v>4900</v>
      </c>
      <c r="B899" s="696" t="s">
        <v>4082</v>
      </c>
      <c r="C899" s="696" t="s">
        <v>4114</v>
      </c>
      <c r="D899" s="696" t="s">
        <v>4153</v>
      </c>
      <c r="E899" s="696" t="s">
        <v>4154</v>
      </c>
      <c r="F899" s="711">
        <v>464</v>
      </c>
      <c r="G899" s="711">
        <v>37584</v>
      </c>
      <c r="H899" s="711">
        <v>1</v>
      </c>
      <c r="I899" s="711">
        <v>81</v>
      </c>
      <c r="J899" s="711">
        <v>369</v>
      </c>
      <c r="K899" s="711">
        <v>30258</v>
      </c>
      <c r="L899" s="711">
        <v>0.80507662835249039</v>
      </c>
      <c r="M899" s="711">
        <v>82</v>
      </c>
      <c r="N899" s="711">
        <v>358</v>
      </c>
      <c r="O899" s="711">
        <v>29640</v>
      </c>
      <c r="P899" s="701">
        <v>0.78863346104725418</v>
      </c>
      <c r="Q899" s="712">
        <v>82.793296089385478</v>
      </c>
    </row>
    <row r="900" spans="1:17" ht="14.4" customHeight="1" x14ac:dyDescent="0.3">
      <c r="A900" s="695" t="s">
        <v>4900</v>
      </c>
      <c r="B900" s="696" t="s">
        <v>4082</v>
      </c>
      <c r="C900" s="696" t="s">
        <v>4114</v>
      </c>
      <c r="D900" s="696" t="s">
        <v>4159</v>
      </c>
      <c r="E900" s="696" t="s">
        <v>4160</v>
      </c>
      <c r="F900" s="711">
        <v>1</v>
      </c>
      <c r="G900" s="711">
        <v>0</v>
      </c>
      <c r="H900" s="711"/>
      <c r="I900" s="711">
        <v>0</v>
      </c>
      <c r="J900" s="711"/>
      <c r="K900" s="711"/>
      <c r="L900" s="711"/>
      <c r="M900" s="711"/>
      <c r="N900" s="711"/>
      <c r="O900" s="711"/>
      <c r="P900" s="701"/>
      <c r="Q900" s="712"/>
    </row>
    <row r="901" spans="1:17" ht="14.4" customHeight="1" x14ac:dyDescent="0.3">
      <c r="A901" s="695" t="s">
        <v>4900</v>
      </c>
      <c r="B901" s="696" t="s">
        <v>4082</v>
      </c>
      <c r="C901" s="696" t="s">
        <v>4114</v>
      </c>
      <c r="D901" s="696" t="s">
        <v>4234</v>
      </c>
      <c r="E901" s="696" t="s">
        <v>4233</v>
      </c>
      <c r="F901" s="711">
        <v>106</v>
      </c>
      <c r="G901" s="711">
        <v>98156</v>
      </c>
      <c r="H901" s="711">
        <v>1</v>
      </c>
      <c r="I901" s="711">
        <v>926</v>
      </c>
      <c r="J901" s="711">
        <v>4</v>
      </c>
      <c r="K901" s="711">
        <v>3716</v>
      </c>
      <c r="L901" s="711">
        <v>3.7858103427197524E-2</v>
      </c>
      <c r="M901" s="711">
        <v>929</v>
      </c>
      <c r="N901" s="711">
        <v>32</v>
      </c>
      <c r="O901" s="711">
        <v>29816</v>
      </c>
      <c r="P901" s="701">
        <v>0.303761359468601</v>
      </c>
      <c r="Q901" s="712">
        <v>931.75</v>
      </c>
    </row>
    <row r="902" spans="1:17" ht="14.4" customHeight="1" x14ac:dyDescent="0.3">
      <c r="A902" s="695" t="s">
        <v>4900</v>
      </c>
      <c r="B902" s="696" t="s">
        <v>4082</v>
      </c>
      <c r="C902" s="696" t="s">
        <v>4114</v>
      </c>
      <c r="D902" s="696" t="s">
        <v>4235</v>
      </c>
      <c r="E902" s="696" t="s">
        <v>4233</v>
      </c>
      <c r="F902" s="711">
        <v>120</v>
      </c>
      <c r="G902" s="711">
        <v>87960</v>
      </c>
      <c r="H902" s="711">
        <v>1</v>
      </c>
      <c r="I902" s="711">
        <v>733</v>
      </c>
      <c r="J902" s="711">
        <v>59</v>
      </c>
      <c r="K902" s="711">
        <v>43306</v>
      </c>
      <c r="L902" s="711">
        <v>0.49233742610277398</v>
      </c>
      <c r="M902" s="711">
        <v>734</v>
      </c>
      <c r="N902" s="711">
        <v>56</v>
      </c>
      <c r="O902" s="711">
        <v>41120</v>
      </c>
      <c r="P902" s="701">
        <v>0.46748522055479763</v>
      </c>
      <c r="Q902" s="712">
        <v>734.28571428571433</v>
      </c>
    </row>
    <row r="903" spans="1:17" ht="14.4" customHeight="1" x14ac:dyDescent="0.3">
      <c r="A903" s="695" t="s">
        <v>4900</v>
      </c>
      <c r="B903" s="696" t="s">
        <v>4082</v>
      </c>
      <c r="C903" s="696" t="s">
        <v>4114</v>
      </c>
      <c r="D903" s="696" t="s">
        <v>4236</v>
      </c>
      <c r="E903" s="696" t="s">
        <v>4237</v>
      </c>
      <c r="F903" s="711"/>
      <c r="G903" s="711"/>
      <c r="H903" s="711"/>
      <c r="I903" s="711"/>
      <c r="J903" s="711">
        <v>7</v>
      </c>
      <c r="K903" s="711">
        <v>3668</v>
      </c>
      <c r="L903" s="711"/>
      <c r="M903" s="711">
        <v>524</v>
      </c>
      <c r="N903" s="711"/>
      <c r="O903" s="711"/>
      <c r="P903" s="701"/>
      <c r="Q903" s="712"/>
    </row>
    <row r="904" spans="1:17" ht="14.4" customHeight="1" x14ac:dyDescent="0.3">
      <c r="A904" s="695" t="s">
        <v>4900</v>
      </c>
      <c r="B904" s="696" t="s">
        <v>4082</v>
      </c>
      <c r="C904" s="696" t="s">
        <v>4114</v>
      </c>
      <c r="D904" s="696" t="s">
        <v>4238</v>
      </c>
      <c r="E904" s="696" t="s">
        <v>4146</v>
      </c>
      <c r="F904" s="711">
        <v>25</v>
      </c>
      <c r="G904" s="711">
        <v>4300</v>
      </c>
      <c r="H904" s="711">
        <v>1</v>
      </c>
      <c r="I904" s="711">
        <v>172</v>
      </c>
      <c r="J904" s="711">
        <v>15</v>
      </c>
      <c r="K904" s="711">
        <v>2580</v>
      </c>
      <c r="L904" s="711">
        <v>0.6</v>
      </c>
      <c r="M904" s="711">
        <v>172</v>
      </c>
      <c r="N904" s="711">
        <v>17</v>
      </c>
      <c r="O904" s="711">
        <v>2930</v>
      </c>
      <c r="P904" s="701">
        <v>0.68139534883720931</v>
      </c>
      <c r="Q904" s="712">
        <v>172.35294117647058</v>
      </c>
    </row>
    <row r="905" spans="1:17" ht="14.4" customHeight="1" x14ac:dyDescent="0.3">
      <c r="A905" s="695" t="s">
        <v>4900</v>
      </c>
      <c r="B905" s="696" t="s">
        <v>4082</v>
      </c>
      <c r="C905" s="696" t="s">
        <v>4114</v>
      </c>
      <c r="D905" s="696" t="s">
        <v>4180</v>
      </c>
      <c r="E905" s="696" t="s">
        <v>4181</v>
      </c>
      <c r="F905" s="711">
        <v>1</v>
      </c>
      <c r="G905" s="711">
        <v>599</v>
      </c>
      <c r="H905" s="711">
        <v>1</v>
      </c>
      <c r="I905" s="711">
        <v>599</v>
      </c>
      <c r="J905" s="711"/>
      <c r="K905" s="711"/>
      <c r="L905" s="711"/>
      <c r="M905" s="711"/>
      <c r="N905" s="711"/>
      <c r="O905" s="711"/>
      <c r="P905" s="701"/>
      <c r="Q905" s="712"/>
    </row>
    <row r="906" spans="1:17" ht="14.4" customHeight="1" x14ac:dyDescent="0.3">
      <c r="A906" s="695" t="s">
        <v>4900</v>
      </c>
      <c r="B906" s="696" t="s">
        <v>4082</v>
      </c>
      <c r="C906" s="696" t="s">
        <v>4114</v>
      </c>
      <c r="D906" s="696" t="s">
        <v>4182</v>
      </c>
      <c r="E906" s="696" t="s">
        <v>4183</v>
      </c>
      <c r="F906" s="711"/>
      <c r="G906" s="711"/>
      <c r="H906" s="711"/>
      <c r="I906" s="711"/>
      <c r="J906" s="711">
        <v>1</v>
      </c>
      <c r="K906" s="711">
        <v>269</v>
      </c>
      <c r="L906" s="711"/>
      <c r="M906" s="711">
        <v>269</v>
      </c>
      <c r="N906" s="711"/>
      <c r="O906" s="711"/>
      <c r="P906" s="701"/>
      <c r="Q906" s="712"/>
    </row>
    <row r="907" spans="1:17" ht="14.4" customHeight="1" x14ac:dyDescent="0.3">
      <c r="A907" s="695" t="s">
        <v>4900</v>
      </c>
      <c r="B907" s="696" t="s">
        <v>4082</v>
      </c>
      <c r="C907" s="696" t="s">
        <v>4114</v>
      </c>
      <c r="D907" s="696" t="s">
        <v>4249</v>
      </c>
      <c r="E907" s="696" t="s">
        <v>4233</v>
      </c>
      <c r="F907" s="711">
        <v>5</v>
      </c>
      <c r="G907" s="711">
        <v>4295</v>
      </c>
      <c r="H907" s="711">
        <v>1</v>
      </c>
      <c r="I907" s="711">
        <v>859</v>
      </c>
      <c r="J907" s="711">
        <v>4</v>
      </c>
      <c r="K907" s="711">
        <v>3440</v>
      </c>
      <c r="L907" s="711">
        <v>0.80093131548311991</v>
      </c>
      <c r="M907" s="711">
        <v>860</v>
      </c>
      <c r="N907" s="711"/>
      <c r="O907" s="711"/>
      <c r="P907" s="701"/>
      <c r="Q907" s="712"/>
    </row>
    <row r="908" spans="1:17" ht="14.4" customHeight="1" x14ac:dyDescent="0.3">
      <c r="A908" s="695" t="s">
        <v>4900</v>
      </c>
      <c r="B908" s="696" t="s">
        <v>4082</v>
      </c>
      <c r="C908" s="696" t="s">
        <v>4114</v>
      </c>
      <c r="D908" s="696" t="s">
        <v>4192</v>
      </c>
      <c r="E908" s="696" t="s">
        <v>4132</v>
      </c>
      <c r="F908" s="711"/>
      <c r="G908" s="711"/>
      <c r="H908" s="711"/>
      <c r="I908" s="711"/>
      <c r="J908" s="711">
        <v>1</v>
      </c>
      <c r="K908" s="711">
        <v>389</v>
      </c>
      <c r="L908" s="711"/>
      <c r="M908" s="711">
        <v>389</v>
      </c>
      <c r="N908" s="711"/>
      <c r="O908" s="711"/>
      <c r="P908" s="701"/>
      <c r="Q908" s="712"/>
    </row>
    <row r="909" spans="1:17" ht="14.4" customHeight="1" x14ac:dyDescent="0.3">
      <c r="A909" s="695" t="s">
        <v>4901</v>
      </c>
      <c r="B909" s="696" t="s">
        <v>4082</v>
      </c>
      <c r="C909" s="696" t="s">
        <v>4103</v>
      </c>
      <c r="D909" s="696" t="s">
        <v>4228</v>
      </c>
      <c r="E909" s="696" t="s">
        <v>4229</v>
      </c>
      <c r="F909" s="711"/>
      <c r="G909" s="711"/>
      <c r="H909" s="711"/>
      <c r="I909" s="711"/>
      <c r="J909" s="711">
        <v>1</v>
      </c>
      <c r="K909" s="711">
        <v>904.75</v>
      </c>
      <c r="L909" s="711"/>
      <c r="M909" s="711">
        <v>904.75</v>
      </c>
      <c r="N909" s="711">
        <v>6</v>
      </c>
      <c r="O909" s="711">
        <v>5428.5</v>
      </c>
      <c r="P909" s="701"/>
      <c r="Q909" s="712">
        <v>904.75</v>
      </c>
    </row>
    <row r="910" spans="1:17" ht="14.4" customHeight="1" x14ac:dyDescent="0.3">
      <c r="A910" s="695" t="s">
        <v>4901</v>
      </c>
      <c r="B910" s="696" t="s">
        <v>4082</v>
      </c>
      <c r="C910" s="696" t="s">
        <v>4114</v>
      </c>
      <c r="D910" s="696" t="s">
        <v>4119</v>
      </c>
      <c r="E910" s="696" t="s">
        <v>4120</v>
      </c>
      <c r="F910" s="711">
        <v>2</v>
      </c>
      <c r="G910" s="711">
        <v>68</v>
      </c>
      <c r="H910" s="711">
        <v>1</v>
      </c>
      <c r="I910" s="711">
        <v>34</v>
      </c>
      <c r="J910" s="711"/>
      <c r="K910" s="711"/>
      <c r="L910" s="711"/>
      <c r="M910" s="711"/>
      <c r="N910" s="711">
        <v>2</v>
      </c>
      <c r="O910" s="711">
        <v>68</v>
      </c>
      <c r="P910" s="701">
        <v>1</v>
      </c>
      <c r="Q910" s="712">
        <v>34</v>
      </c>
    </row>
    <row r="911" spans="1:17" ht="14.4" customHeight="1" x14ac:dyDescent="0.3">
      <c r="A911" s="695" t="s">
        <v>4901</v>
      </c>
      <c r="B911" s="696" t="s">
        <v>4082</v>
      </c>
      <c r="C911" s="696" t="s">
        <v>4114</v>
      </c>
      <c r="D911" s="696" t="s">
        <v>4125</v>
      </c>
      <c r="E911" s="696" t="s">
        <v>4078</v>
      </c>
      <c r="F911" s="711">
        <v>2</v>
      </c>
      <c r="G911" s="711">
        <v>312</v>
      </c>
      <c r="H911" s="711">
        <v>1</v>
      </c>
      <c r="I911" s="711">
        <v>156</v>
      </c>
      <c r="J911" s="711"/>
      <c r="K911" s="711"/>
      <c r="L911" s="711"/>
      <c r="M911" s="711"/>
      <c r="N911" s="711"/>
      <c r="O911" s="711"/>
      <c r="P911" s="701"/>
      <c r="Q911" s="712"/>
    </row>
    <row r="912" spans="1:17" ht="14.4" customHeight="1" x14ac:dyDescent="0.3">
      <c r="A912" s="695" t="s">
        <v>4901</v>
      </c>
      <c r="B912" s="696" t="s">
        <v>4082</v>
      </c>
      <c r="C912" s="696" t="s">
        <v>4114</v>
      </c>
      <c r="D912" s="696" t="s">
        <v>4126</v>
      </c>
      <c r="E912" s="696" t="s">
        <v>4078</v>
      </c>
      <c r="F912" s="711">
        <v>3</v>
      </c>
      <c r="G912" s="711">
        <v>234</v>
      </c>
      <c r="H912" s="711">
        <v>1</v>
      </c>
      <c r="I912" s="711">
        <v>78</v>
      </c>
      <c r="J912" s="711"/>
      <c r="K912" s="711"/>
      <c r="L912" s="711"/>
      <c r="M912" s="711"/>
      <c r="N912" s="711"/>
      <c r="O912" s="711"/>
      <c r="P912" s="701"/>
      <c r="Q912" s="712"/>
    </row>
    <row r="913" spans="1:17" ht="14.4" customHeight="1" x14ac:dyDescent="0.3">
      <c r="A913" s="695" t="s">
        <v>4901</v>
      </c>
      <c r="B913" s="696" t="s">
        <v>4082</v>
      </c>
      <c r="C913" s="696" t="s">
        <v>4114</v>
      </c>
      <c r="D913" s="696" t="s">
        <v>4127</v>
      </c>
      <c r="E913" s="696" t="s">
        <v>4128</v>
      </c>
      <c r="F913" s="711">
        <v>80</v>
      </c>
      <c r="G913" s="711">
        <v>18480</v>
      </c>
      <c r="H913" s="711">
        <v>1</v>
      </c>
      <c r="I913" s="711">
        <v>231</v>
      </c>
      <c r="J913" s="711">
        <v>100</v>
      </c>
      <c r="K913" s="711">
        <v>23200</v>
      </c>
      <c r="L913" s="711">
        <v>1.2554112554112553</v>
      </c>
      <c r="M913" s="711">
        <v>232</v>
      </c>
      <c r="N913" s="711">
        <v>193</v>
      </c>
      <c r="O913" s="711">
        <v>44892</v>
      </c>
      <c r="P913" s="701">
        <v>2.4292207792207794</v>
      </c>
      <c r="Q913" s="712">
        <v>232.60103626943004</v>
      </c>
    </row>
    <row r="914" spans="1:17" ht="14.4" customHeight="1" x14ac:dyDescent="0.3">
      <c r="A914" s="695" t="s">
        <v>4901</v>
      </c>
      <c r="B914" s="696" t="s">
        <v>4082</v>
      </c>
      <c r="C914" s="696" t="s">
        <v>4114</v>
      </c>
      <c r="D914" s="696" t="s">
        <v>4129</v>
      </c>
      <c r="E914" s="696" t="s">
        <v>4130</v>
      </c>
      <c r="F914" s="711">
        <v>39</v>
      </c>
      <c r="G914" s="711">
        <v>4524</v>
      </c>
      <c r="H914" s="711">
        <v>1</v>
      </c>
      <c r="I914" s="711">
        <v>116</v>
      </c>
      <c r="J914" s="711">
        <v>43</v>
      </c>
      <c r="K914" s="711">
        <v>4988</v>
      </c>
      <c r="L914" s="711">
        <v>1.1025641025641026</v>
      </c>
      <c r="M914" s="711">
        <v>116</v>
      </c>
      <c r="N914" s="711">
        <v>35</v>
      </c>
      <c r="O914" s="711">
        <v>4078</v>
      </c>
      <c r="P914" s="701">
        <v>0.90141467727674629</v>
      </c>
      <c r="Q914" s="712">
        <v>116.51428571428572</v>
      </c>
    </row>
    <row r="915" spans="1:17" ht="14.4" customHeight="1" x14ac:dyDescent="0.3">
      <c r="A915" s="695" t="s">
        <v>4901</v>
      </c>
      <c r="B915" s="696" t="s">
        <v>4082</v>
      </c>
      <c r="C915" s="696" t="s">
        <v>4114</v>
      </c>
      <c r="D915" s="696" t="s">
        <v>4131</v>
      </c>
      <c r="E915" s="696" t="s">
        <v>4132</v>
      </c>
      <c r="F915" s="711"/>
      <c r="G915" s="711"/>
      <c r="H915" s="711"/>
      <c r="I915" s="711"/>
      <c r="J915" s="711">
        <v>2</v>
      </c>
      <c r="K915" s="711">
        <v>640</v>
      </c>
      <c r="L915" s="711"/>
      <c r="M915" s="711">
        <v>320</v>
      </c>
      <c r="N915" s="711"/>
      <c r="O915" s="711"/>
      <c r="P915" s="701"/>
      <c r="Q915" s="712"/>
    </row>
    <row r="916" spans="1:17" ht="14.4" customHeight="1" x14ac:dyDescent="0.3">
      <c r="A916" s="695" t="s">
        <v>4901</v>
      </c>
      <c r="B916" s="696" t="s">
        <v>4082</v>
      </c>
      <c r="C916" s="696" t="s">
        <v>4114</v>
      </c>
      <c r="D916" s="696" t="s">
        <v>4133</v>
      </c>
      <c r="E916" s="696" t="s">
        <v>4134</v>
      </c>
      <c r="F916" s="711">
        <v>13</v>
      </c>
      <c r="G916" s="711">
        <v>6279</v>
      </c>
      <c r="H916" s="711">
        <v>1</v>
      </c>
      <c r="I916" s="711">
        <v>483</v>
      </c>
      <c r="J916" s="711">
        <v>14</v>
      </c>
      <c r="K916" s="711">
        <v>6776</v>
      </c>
      <c r="L916" s="711">
        <v>1.0791527313266445</v>
      </c>
      <c r="M916" s="711">
        <v>484</v>
      </c>
      <c r="N916" s="711"/>
      <c r="O916" s="711"/>
      <c r="P916" s="701"/>
      <c r="Q916" s="712"/>
    </row>
    <row r="917" spans="1:17" ht="14.4" customHeight="1" x14ac:dyDescent="0.3">
      <c r="A917" s="695" t="s">
        <v>4901</v>
      </c>
      <c r="B917" s="696" t="s">
        <v>4082</v>
      </c>
      <c r="C917" s="696" t="s">
        <v>4114</v>
      </c>
      <c r="D917" s="696" t="s">
        <v>4135</v>
      </c>
      <c r="E917" s="696" t="s">
        <v>4136</v>
      </c>
      <c r="F917" s="711">
        <v>81</v>
      </c>
      <c r="G917" s="711">
        <v>54756</v>
      </c>
      <c r="H917" s="711">
        <v>1</v>
      </c>
      <c r="I917" s="711">
        <v>676</v>
      </c>
      <c r="J917" s="711">
        <v>11</v>
      </c>
      <c r="K917" s="711">
        <v>7447</v>
      </c>
      <c r="L917" s="711">
        <v>0.13600336036233471</v>
      </c>
      <c r="M917" s="711">
        <v>677</v>
      </c>
      <c r="N917" s="711">
        <v>26</v>
      </c>
      <c r="O917" s="711">
        <v>17608</v>
      </c>
      <c r="P917" s="701">
        <v>0.32157206516180875</v>
      </c>
      <c r="Q917" s="712">
        <v>677.23076923076928</v>
      </c>
    </row>
    <row r="918" spans="1:17" ht="14.4" customHeight="1" x14ac:dyDescent="0.3">
      <c r="A918" s="695" t="s">
        <v>4901</v>
      </c>
      <c r="B918" s="696" t="s">
        <v>4082</v>
      </c>
      <c r="C918" s="696" t="s">
        <v>4114</v>
      </c>
      <c r="D918" s="696" t="s">
        <v>4139</v>
      </c>
      <c r="E918" s="696" t="s">
        <v>4134</v>
      </c>
      <c r="F918" s="711">
        <v>9</v>
      </c>
      <c r="G918" s="711">
        <v>4950</v>
      </c>
      <c r="H918" s="711">
        <v>1</v>
      </c>
      <c r="I918" s="711">
        <v>550</v>
      </c>
      <c r="J918" s="711"/>
      <c r="K918" s="711"/>
      <c r="L918" s="711"/>
      <c r="M918" s="711"/>
      <c r="N918" s="711"/>
      <c r="O918" s="711"/>
      <c r="P918" s="701"/>
      <c r="Q918" s="712"/>
    </row>
    <row r="919" spans="1:17" ht="14.4" customHeight="1" x14ac:dyDescent="0.3">
      <c r="A919" s="695" t="s">
        <v>4901</v>
      </c>
      <c r="B919" s="696" t="s">
        <v>4082</v>
      </c>
      <c r="C919" s="696" t="s">
        <v>4114</v>
      </c>
      <c r="D919" s="696" t="s">
        <v>4140</v>
      </c>
      <c r="E919" s="696" t="s">
        <v>4136</v>
      </c>
      <c r="F919" s="711">
        <v>2</v>
      </c>
      <c r="G919" s="711">
        <v>1486</v>
      </c>
      <c r="H919" s="711">
        <v>1</v>
      </c>
      <c r="I919" s="711">
        <v>743</v>
      </c>
      <c r="J919" s="711"/>
      <c r="K919" s="711"/>
      <c r="L919" s="711"/>
      <c r="M919" s="711"/>
      <c r="N919" s="711">
        <v>7</v>
      </c>
      <c r="O919" s="711">
        <v>5222</v>
      </c>
      <c r="P919" s="701">
        <v>3.5141318977119784</v>
      </c>
      <c r="Q919" s="712">
        <v>746</v>
      </c>
    </row>
    <row r="920" spans="1:17" ht="14.4" customHeight="1" x14ac:dyDescent="0.3">
      <c r="A920" s="695" t="s">
        <v>4901</v>
      </c>
      <c r="B920" s="696" t="s">
        <v>4082</v>
      </c>
      <c r="C920" s="696" t="s">
        <v>4114</v>
      </c>
      <c r="D920" s="696" t="s">
        <v>4232</v>
      </c>
      <c r="E920" s="696" t="s">
        <v>4233</v>
      </c>
      <c r="F920" s="711">
        <v>6</v>
      </c>
      <c r="G920" s="711">
        <v>4800</v>
      </c>
      <c r="H920" s="711">
        <v>1</v>
      </c>
      <c r="I920" s="711">
        <v>800</v>
      </c>
      <c r="J920" s="711">
        <v>84</v>
      </c>
      <c r="K920" s="711">
        <v>67452</v>
      </c>
      <c r="L920" s="711">
        <v>14.0525</v>
      </c>
      <c r="M920" s="711">
        <v>803</v>
      </c>
      <c r="N920" s="711">
        <v>96</v>
      </c>
      <c r="O920" s="711">
        <v>77276</v>
      </c>
      <c r="P920" s="701">
        <v>16.099166666666665</v>
      </c>
      <c r="Q920" s="712">
        <v>804.95833333333337</v>
      </c>
    </row>
    <row r="921" spans="1:17" ht="14.4" customHeight="1" x14ac:dyDescent="0.3">
      <c r="A921" s="695" t="s">
        <v>4901</v>
      </c>
      <c r="B921" s="696" t="s">
        <v>4082</v>
      </c>
      <c r="C921" s="696" t="s">
        <v>4114</v>
      </c>
      <c r="D921" s="696" t="s">
        <v>4145</v>
      </c>
      <c r="E921" s="696" t="s">
        <v>4146</v>
      </c>
      <c r="F921" s="711">
        <v>9</v>
      </c>
      <c r="G921" s="711">
        <v>1854</v>
      </c>
      <c r="H921" s="711">
        <v>1</v>
      </c>
      <c r="I921" s="711">
        <v>206</v>
      </c>
      <c r="J921" s="711">
        <v>34</v>
      </c>
      <c r="K921" s="711">
        <v>7038</v>
      </c>
      <c r="L921" s="711">
        <v>3.796116504854369</v>
      </c>
      <c r="M921" s="711">
        <v>207</v>
      </c>
      <c r="N921" s="711">
        <v>32</v>
      </c>
      <c r="O921" s="711">
        <v>6648</v>
      </c>
      <c r="P921" s="701">
        <v>3.5857605177993528</v>
      </c>
      <c r="Q921" s="712">
        <v>207.75</v>
      </c>
    </row>
    <row r="922" spans="1:17" ht="14.4" customHeight="1" x14ac:dyDescent="0.3">
      <c r="A922" s="695" t="s">
        <v>4901</v>
      </c>
      <c r="B922" s="696" t="s">
        <v>4082</v>
      </c>
      <c r="C922" s="696" t="s">
        <v>4114</v>
      </c>
      <c r="D922" s="696" t="s">
        <v>4149</v>
      </c>
      <c r="E922" s="696" t="s">
        <v>4150</v>
      </c>
      <c r="F922" s="711"/>
      <c r="G922" s="711"/>
      <c r="H922" s="711"/>
      <c r="I922" s="711"/>
      <c r="J922" s="711"/>
      <c r="K922" s="711"/>
      <c r="L922" s="711"/>
      <c r="M922" s="711"/>
      <c r="N922" s="711">
        <v>1</v>
      </c>
      <c r="O922" s="711">
        <v>327</v>
      </c>
      <c r="P922" s="701"/>
      <c r="Q922" s="712">
        <v>327</v>
      </c>
    </row>
    <row r="923" spans="1:17" ht="14.4" customHeight="1" x14ac:dyDescent="0.3">
      <c r="A923" s="695" t="s">
        <v>4901</v>
      </c>
      <c r="B923" s="696" t="s">
        <v>4082</v>
      </c>
      <c r="C923" s="696" t="s">
        <v>4114</v>
      </c>
      <c r="D923" s="696" t="s">
        <v>4153</v>
      </c>
      <c r="E923" s="696" t="s">
        <v>4154</v>
      </c>
      <c r="F923" s="711">
        <v>10</v>
      </c>
      <c r="G923" s="711">
        <v>810</v>
      </c>
      <c r="H923" s="711">
        <v>1</v>
      </c>
      <c r="I923" s="711">
        <v>81</v>
      </c>
      <c r="J923" s="711">
        <v>100</v>
      </c>
      <c r="K923" s="711">
        <v>8200</v>
      </c>
      <c r="L923" s="711">
        <v>10.123456790123457</v>
      </c>
      <c r="M923" s="711">
        <v>82</v>
      </c>
      <c r="N923" s="711">
        <v>31</v>
      </c>
      <c r="O923" s="711">
        <v>2568</v>
      </c>
      <c r="P923" s="701">
        <v>3.1703703703703705</v>
      </c>
      <c r="Q923" s="712">
        <v>82.838709677419359</v>
      </c>
    </row>
    <row r="924" spans="1:17" ht="14.4" customHeight="1" x14ac:dyDescent="0.3">
      <c r="A924" s="695" t="s">
        <v>4901</v>
      </c>
      <c r="B924" s="696" t="s">
        <v>4082</v>
      </c>
      <c r="C924" s="696" t="s">
        <v>4114</v>
      </c>
      <c r="D924" s="696" t="s">
        <v>4234</v>
      </c>
      <c r="E924" s="696" t="s">
        <v>4233</v>
      </c>
      <c r="F924" s="711">
        <v>5</v>
      </c>
      <c r="G924" s="711">
        <v>4630</v>
      </c>
      <c r="H924" s="711">
        <v>1</v>
      </c>
      <c r="I924" s="711">
        <v>926</v>
      </c>
      <c r="J924" s="711">
        <v>2</v>
      </c>
      <c r="K924" s="711">
        <v>1858</v>
      </c>
      <c r="L924" s="711">
        <v>0.40129589632829371</v>
      </c>
      <c r="M924" s="711">
        <v>929</v>
      </c>
      <c r="N924" s="711">
        <v>12</v>
      </c>
      <c r="O924" s="711">
        <v>11148</v>
      </c>
      <c r="P924" s="701">
        <v>2.4077753779697626</v>
      </c>
      <c r="Q924" s="712">
        <v>929</v>
      </c>
    </row>
    <row r="925" spans="1:17" ht="14.4" customHeight="1" x14ac:dyDescent="0.3">
      <c r="A925" s="695" t="s">
        <v>4901</v>
      </c>
      <c r="B925" s="696" t="s">
        <v>4082</v>
      </c>
      <c r="C925" s="696" t="s">
        <v>4114</v>
      </c>
      <c r="D925" s="696" t="s">
        <v>4161</v>
      </c>
      <c r="E925" s="696" t="s">
        <v>4162</v>
      </c>
      <c r="F925" s="711"/>
      <c r="G925" s="711"/>
      <c r="H925" s="711"/>
      <c r="I925" s="711"/>
      <c r="J925" s="711">
        <v>2</v>
      </c>
      <c r="K925" s="711">
        <v>0</v>
      </c>
      <c r="L925" s="711"/>
      <c r="M925" s="711">
        <v>0</v>
      </c>
      <c r="N925" s="711"/>
      <c r="O925" s="711"/>
      <c r="P925" s="701"/>
      <c r="Q925" s="712"/>
    </row>
    <row r="926" spans="1:17" ht="14.4" customHeight="1" x14ac:dyDescent="0.3">
      <c r="A926" s="695" t="s">
        <v>4901</v>
      </c>
      <c r="B926" s="696" t="s">
        <v>4082</v>
      </c>
      <c r="C926" s="696" t="s">
        <v>4114</v>
      </c>
      <c r="D926" s="696" t="s">
        <v>4235</v>
      </c>
      <c r="E926" s="696" t="s">
        <v>4233</v>
      </c>
      <c r="F926" s="711">
        <v>19</v>
      </c>
      <c r="G926" s="711">
        <v>13927</v>
      </c>
      <c r="H926" s="711">
        <v>1</v>
      </c>
      <c r="I926" s="711">
        <v>733</v>
      </c>
      <c r="J926" s="711">
        <v>35</v>
      </c>
      <c r="K926" s="711">
        <v>25690</v>
      </c>
      <c r="L926" s="711">
        <v>1.8446183672004022</v>
      </c>
      <c r="M926" s="711">
        <v>734</v>
      </c>
      <c r="N926" s="711">
        <v>44</v>
      </c>
      <c r="O926" s="711">
        <v>32320</v>
      </c>
      <c r="P926" s="701">
        <v>2.3206720758239392</v>
      </c>
      <c r="Q926" s="712">
        <v>734.5454545454545</v>
      </c>
    </row>
    <row r="927" spans="1:17" ht="14.4" customHeight="1" x14ac:dyDescent="0.3">
      <c r="A927" s="695" t="s">
        <v>4901</v>
      </c>
      <c r="B927" s="696" t="s">
        <v>4082</v>
      </c>
      <c r="C927" s="696" t="s">
        <v>4114</v>
      </c>
      <c r="D927" s="696" t="s">
        <v>4236</v>
      </c>
      <c r="E927" s="696" t="s">
        <v>4237</v>
      </c>
      <c r="F927" s="711">
        <v>4</v>
      </c>
      <c r="G927" s="711">
        <v>2092</v>
      </c>
      <c r="H927" s="711">
        <v>1</v>
      </c>
      <c r="I927" s="711">
        <v>523</v>
      </c>
      <c r="J927" s="711">
        <v>13</v>
      </c>
      <c r="K927" s="711">
        <v>6812</v>
      </c>
      <c r="L927" s="711">
        <v>3.2562141491395793</v>
      </c>
      <c r="M927" s="711">
        <v>524</v>
      </c>
      <c r="N927" s="711"/>
      <c r="O927" s="711"/>
      <c r="P927" s="701"/>
      <c r="Q927" s="712"/>
    </row>
    <row r="928" spans="1:17" ht="14.4" customHeight="1" x14ac:dyDescent="0.3">
      <c r="A928" s="695" t="s">
        <v>4901</v>
      </c>
      <c r="B928" s="696" t="s">
        <v>4082</v>
      </c>
      <c r="C928" s="696" t="s">
        <v>4114</v>
      </c>
      <c r="D928" s="696" t="s">
        <v>4171</v>
      </c>
      <c r="E928" s="696" t="s">
        <v>4172</v>
      </c>
      <c r="F928" s="711">
        <v>31</v>
      </c>
      <c r="G928" s="711">
        <v>9145</v>
      </c>
      <c r="H928" s="711">
        <v>1</v>
      </c>
      <c r="I928" s="711">
        <v>295</v>
      </c>
      <c r="J928" s="711">
        <v>18</v>
      </c>
      <c r="K928" s="711">
        <v>5328</v>
      </c>
      <c r="L928" s="711">
        <v>0.58261344997266262</v>
      </c>
      <c r="M928" s="711">
        <v>296</v>
      </c>
      <c r="N928" s="711">
        <v>1</v>
      </c>
      <c r="O928" s="711">
        <v>298</v>
      </c>
      <c r="P928" s="701">
        <v>3.2586112629852379E-2</v>
      </c>
      <c r="Q928" s="712">
        <v>298</v>
      </c>
    </row>
    <row r="929" spans="1:17" ht="14.4" customHeight="1" x14ac:dyDescent="0.3">
      <c r="A929" s="695" t="s">
        <v>4901</v>
      </c>
      <c r="B929" s="696" t="s">
        <v>4082</v>
      </c>
      <c r="C929" s="696" t="s">
        <v>4114</v>
      </c>
      <c r="D929" s="696" t="s">
        <v>4238</v>
      </c>
      <c r="E929" s="696" t="s">
        <v>4146</v>
      </c>
      <c r="F929" s="711">
        <v>19</v>
      </c>
      <c r="G929" s="711">
        <v>3268</v>
      </c>
      <c r="H929" s="711">
        <v>1</v>
      </c>
      <c r="I929" s="711">
        <v>172</v>
      </c>
      <c r="J929" s="711">
        <v>11</v>
      </c>
      <c r="K929" s="711">
        <v>1892</v>
      </c>
      <c r="L929" s="711">
        <v>0.57894736842105265</v>
      </c>
      <c r="M929" s="711">
        <v>172</v>
      </c>
      <c r="N929" s="711">
        <v>12</v>
      </c>
      <c r="O929" s="711">
        <v>2072</v>
      </c>
      <c r="P929" s="701">
        <v>0.6340269277845777</v>
      </c>
      <c r="Q929" s="712">
        <v>172.66666666666666</v>
      </c>
    </row>
    <row r="930" spans="1:17" ht="14.4" customHeight="1" x14ac:dyDescent="0.3">
      <c r="A930" s="695" t="s">
        <v>4901</v>
      </c>
      <c r="B930" s="696" t="s">
        <v>4082</v>
      </c>
      <c r="C930" s="696" t="s">
        <v>4114</v>
      </c>
      <c r="D930" s="696" t="s">
        <v>4175</v>
      </c>
      <c r="E930" s="696" t="s">
        <v>4172</v>
      </c>
      <c r="F930" s="711">
        <v>29</v>
      </c>
      <c r="G930" s="711">
        <v>10498</v>
      </c>
      <c r="H930" s="711">
        <v>1</v>
      </c>
      <c r="I930" s="711">
        <v>362</v>
      </c>
      <c r="J930" s="711">
        <v>50</v>
      </c>
      <c r="K930" s="711">
        <v>18250</v>
      </c>
      <c r="L930" s="711">
        <v>1.7384263669270337</v>
      </c>
      <c r="M930" s="711">
        <v>365</v>
      </c>
      <c r="N930" s="711">
        <v>15</v>
      </c>
      <c r="O930" s="711">
        <v>5475</v>
      </c>
      <c r="P930" s="701">
        <v>0.52152791007811017</v>
      </c>
      <c r="Q930" s="712">
        <v>365</v>
      </c>
    </row>
    <row r="931" spans="1:17" ht="14.4" customHeight="1" x14ac:dyDescent="0.3">
      <c r="A931" s="695" t="s">
        <v>4901</v>
      </c>
      <c r="B931" s="696" t="s">
        <v>4082</v>
      </c>
      <c r="C931" s="696" t="s">
        <v>4114</v>
      </c>
      <c r="D931" s="696" t="s">
        <v>4182</v>
      </c>
      <c r="E931" s="696" t="s">
        <v>4183</v>
      </c>
      <c r="F931" s="711"/>
      <c r="G931" s="711"/>
      <c r="H931" s="711"/>
      <c r="I931" s="711"/>
      <c r="J931" s="711">
        <v>1</v>
      </c>
      <c r="K931" s="711">
        <v>269</v>
      </c>
      <c r="L931" s="711"/>
      <c r="M931" s="711">
        <v>269</v>
      </c>
      <c r="N931" s="711"/>
      <c r="O931" s="711"/>
      <c r="P931" s="701"/>
      <c r="Q931" s="712"/>
    </row>
    <row r="932" spans="1:17" ht="14.4" customHeight="1" x14ac:dyDescent="0.3">
      <c r="A932" s="695" t="s">
        <v>4901</v>
      </c>
      <c r="B932" s="696" t="s">
        <v>4082</v>
      </c>
      <c r="C932" s="696" t="s">
        <v>4114</v>
      </c>
      <c r="D932" s="696" t="s">
        <v>4257</v>
      </c>
      <c r="E932" s="696" t="s">
        <v>4258</v>
      </c>
      <c r="F932" s="711"/>
      <c r="G932" s="711"/>
      <c r="H932" s="711"/>
      <c r="I932" s="711"/>
      <c r="J932" s="711">
        <v>1</v>
      </c>
      <c r="K932" s="711">
        <v>100</v>
      </c>
      <c r="L932" s="711"/>
      <c r="M932" s="711">
        <v>100</v>
      </c>
      <c r="N932" s="711"/>
      <c r="O932" s="711"/>
      <c r="P932" s="701"/>
      <c r="Q932" s="712"/>
    </row>
    <row r="933" spans="1:17" ht="14.4" customHeight="1" x14ac:dyDescent="0.3">
      <c r="A933" s="695" t="s">
        <v>4901</v>
      </c>
      <c r="B933" s="696" t="s">
        <v>4082</v>
      </c>
      <c r="C933" s="696" t="s">
        <v>4114</v>
      </c>
      <c r="D933" s="696" t="s">
        <v>4249</v>
      </c>
      <c r="E933" s="696" t="s">
        <v>4233</v>
      </c>
      <c r="F933" s="711"/>
      <c r="G933" s="711"/>
      <c r="H933" s="711"/>
      <c r="I933" s="711"/>
      <c r="J933" s="711"/>
      <c r="K933" s="711"/>
      <c r="L933" s="711"/>
      <c r="M933" s="711"/>
      <c r="N933" s="711">
        <v>6</v>
      </c>
      <c r="O933" s="711">
        <v>5160</v>
      </c>
      <c r="P933" s="701"/>
      <c r="Q933" s="712">
        <v>860</v>
      </c>
    </row>
    <row r="934" spans="1:17" ht="14.4" customHeight="1" x14ac:dyDescent="0.3">
      <c r="A934" s="695" t="s">
        <v>4901</v>
      </c>
      <c r="B934" s="696" t="s">
        <v>4082</v>
      </c>
      <c r="C934" s="696" t="s">
        <v>4114</v>
      </c>
      <c r="D934" s="696" t="s">
        <v>4261</v>
      </c>
      <c r="E934" s="696" t="s">
        <v>4233</v>
      </c>
      <c r="F934" s="711">
        <v>2</v>
      </c>
      <c r="G934" s="711">
        <v>1884</v>
      </c>
      <c r="H934" s="711">
        <v>1</v>
      </c>
      <c r="I934" s="711">
        <v>942</v>
      </c>
      <c r="J934" s="711"/>
      <c r="K934" s="711"/>
      <c r="L934" s="711"/>
      <c r="M934" s="711"/>
      <c r="N934" s="711"/>
      <c r="O934" s="711"/>
      <c r="P934" s="701"/>
      <c r="Q934" s="712"/>
    </row>
    <row r="935" spans="1:17" ht="14.4" customHeight="1" x14ac:dyDescent="0.3">
      <c r="A935" s="695" t="s">
        <v>4901</v>
      </c>
      <c r="B935" s="696" t="s">
        <v>4082</v>
      </c>
      <c r="C935" s="696" t="s">
        <v>4114</v>
      </c>
      <c r="D935" s="696" t="s">
        <v>4192</v>
      </c>
      <c r="E935" s="696" t="s">
        <v>4132</v>
      </c>
      <c r="F935" s="711">
        <v>1</v>
      </c>
      <c r="G935" s="711">
        <v>386</v>
      </c>
      <c r="H935" s="711">
        <v>1</v>
      </c>
      <c r="I935" s="711">
        <v>386</v>
      </c>
      <c r="J935" s="711">
        <v>1</v>
      </c>
      <c r="K935" s="711">
        <v>389</v>
      </c>
      <c r="L935" s="711">
        <v>1.0077720207253886</v>
      </c>
      <c r="M935" s="711">
        <v>389</v>
      </c>
      <c r="N935" s="711"/>
      <c r="O935" s="711"/>
      <c r="P935" s="701"/>
      <c r="Q935" s="712"/>
    </row>
    <row r="936" spans="1:17" ht="14.4" customHeight="1" x14ac:dyDescent="0.3">
      <c r="A936" s="695" t="s">
        <v>4901</v>
      </c>
      <c r="B936" s="696" t="s">
        <v>4082</v>
      </c>
      <c r="C936" s="696" t="s">
        <v>4114</v>
      </c>
      <c r="D936" s="696" t="s">
        <v>4245</v>
      </c>
      <c r="E936" s="696" t="s">
        <v>4241</v>
      </c>
      <c r="F936" s="711"/>
      <c r="G936" s="711"/>
      <c r="H936" s="711"/>
      <c r="I936" s="711"/>
      <c r="J936" s="711"/>
      <c r="K936" s="711"/>
      <c r="L936" s="711"/>
      <c r="M936" s="711"/>
      <c r="N936" s="711">
        <v>2</v>
      </c>
      <c r="O936" s="711">
        <v>1216</v>
      </c>
      <c r="P936" s="701"/>
      <c r="Q936" s="712">
        <v>608</v>
      </c>
    </row>
    <row r="937" spans="1:17" ht="14.4" customHeight="1" x14ac:dyDescent="0.3">
      <c r="A937" s="695" t="s">
        <v>4902</v>
      </c>
      <c r="B937" s="696" t="s">
        <v>4082</v>
      </c>
      <c r="C937" s="696" t="s">
        <v>4103</v>
      </c>
      <c r="D937" s="696" t="s">
        <v>4228</v>
      </c>
      <c r="E937" s="696" t="s">
        <v>4229</v>
      </c>
      <c r="F937" s="711"/>
      <c r="G937" s="711"/>
      <c r="H937" s="711"/>
      <c r="I937" s="711"/>
      <c r="J937" s="711">
        <v>2</v>
      </c>
      <c r="K937" s="711">
        <v>1809.5</v>
      </c>
      <c r="L937" s="711"/>
      <c r="M937" s="711">
        <v>904.75</v>
      </c>
      <c r="N937" s="711">
        <v>8</v>
      </c>
      <c r="O937" s="711">
        <v>7238</v>
      </c>
      <c r="P937" s="701"/>
      <c r="Q937" s="712">
        <v>904.75</v>
      </c>
    </row>
    <row r="938" spans="1:17" ht="14.4" customHeight="1" x14ac:dyDescent="0.3">
      <c r="A938" s="695" t="s">
        <v>4902</v>
      </c>
      <c r="B938" s="696" t="s">
        <v>4082</v>
      </c>
      <c r="C938" s="696" t="s">
        <v>4103</v>
      </c>
      <c r="D938" s="696" t="s">
        <v>4106</v>
      </c>
      <c r="E938" s="696" t="s">
        <v>4107</v>
      </c>
      <c r="F938" s="711"/>
      <c r="G938" s="711"/>
      <c r="H938" s="711"/>
      <c r="I938" s="711"/>
      <c r="J938" s="711"/>
      <c r="K938" s="711"/>
      <c r="L938" s="711"/>
      <c r="M938" s="711"/>
      <c r="N938" s="711">
        <v>1</v>
      </c>
      <c r="O938" s="711">
        <v>242.64</v>
      </c>
      <c r="P938" s="701"/>
      <c r="Q938" s="712">
        <v>242.64</v>
      </c>
    </row>
    <row r="939" spans="1:17" ht="14.4" customHeight="1" x14ac:dyDescent="0.3">
      <c r="A939" s="695" t="s">
        <v>4902</v>
      </c>
      <c r="B939" s="696" t="s">
        <v>4082</v>
      </c>
      <c r="C939" s="696" t="s">
        <v>4114</v>
      </c>
      <c r="D939" s="696" t="s">
        <v>4119</v>
      </c>
      <c r="E939" s="696" t="s">
        <v>4120</v>
      </c>
      <c r="F939" s="711">
        <v>2</v>
      </c>
      <c r="G939" s="711">
        <v>68</v>
      </c>
      <c r="H939" s="711">
        <v>1</v>
      </c>
      <c r="I939" s="711">
        <v>34</v>
      </c>
      <c r="J939" s="711"/>
      <c r="K939" s="711"/>
      <c r="L939" s="711"/>
      <c r="M939" s="711"/>
      <c r="N939" s="711"/>
      <c r="O939" s="711"/>
      <c r="P939" s="701"/>
      <c r="Q939" s="712"/>
    </row>
    <row r="940" spans="1:17" ht="14.4" customHeight="1" x14ac:dyDescent="0.3">
      <c r="A940" s="695" t="s">
        <v>4902</v>
      </c>
      <c r="B940" s="696" t="s">
        <v>4082</v>
      </c>
      <c r="C940" s="696" t="s">
        <v>4114</v>
      </c>
      <c r="D940" s="696" t="s">
        <v>4125</v>
      </c>
      <c r="E940" s="696" t="s">
        <v>4078</v>
      </c>
      <c r="F940" s="711">
        <v>1</v>
      </c>
      <c r="G940" s="711">
        <v>156</v>
      </c>
      <c r="H940" s="711">
        <v>1</v>
      </c>
      <c r="I940" s="711">
        <v>156</v>
      </c>
      <c r="J940" s="711"/>
      <c r="K940" s="711"/>
      <c r="L940" s="711"/>
      <c r="M940" s="711"/>
      <c r="N940" s="711"/>
      <c r="O940" s="711"/>
      <c r="P940" s="701"/>
      <c r="Q940" s="712"/>
    </row>
    <row r="941" spans="1:17" ht="14.4" customHeight="1" x14ac:dyDescent="0.3">
      <c r="A941" s="695" t="s">
        <v>4902</v>
      </c>
      <c r="B941" s="696" t="s">
        <v>4082</v>
      </c>
      <c r="C941" s="696" t="s">
        <v>4114</v>
      </c>
      <c r="D941" s="696" t="s">
        <v>4126</v>
      </c>
      <c r="E941" s="696" t="s">
        <v>4078</v>
      </c>
      <c r="F941" s="711">
        <v>3</v>
      </c>
      <c r="G941" s="711">
        <v>234</v>
      </c>
      <c r="H941" s="711">
        <v>1</v>
      </c>
      <c r="I941" s="711">
        <v>78</v>
      </c>
      <c r="J941" s="711"/>
      <c r="K941" s="711"/>
      <c r="L941" s="711"/>
      <c r="M941" s="711"/>
      <c r="N941" s="711"/>
      <c r="O941" s="711"/>
      <c r="P941" s="701"/>
      <c r="Q941" s="712"/>
    </row>
    <row r="942" spans="1:17" ht="14.4" customHeight="1" x14ac:dyDescent="0.3">
      <c r="A942" s="695" t="s">
        <v>4902</v>
      </c>
      <c r="B942" s="696" t="s">
        <v>4082</v>
      </c>
      <c r="C942" s="696" t="s">
        <v>4114</v>
      </c>
      <c r="D942" s="696" t="s">
        <v>4127</v>
      </c>
      <c r="E942" s="696" t="s">
        <v>4128</v>
      </c>
      <c r="F942" s="711">
        <v>38</v>
      </c>
      <c r="G942" s="711">
        <v>8778</v>
      </c>
      <c r="H942" s="711">
        <v>1</v>
      </c>
      <c r="I942" s="711">
        <v>231</v>
      </c>
      <c r="J942" s="711">
        <v>73</v>
      </c>
      <c r="K942" s="711">
        <v>16936</v>
      </c>
      <c r="L942" s="711">
        <v>1.9293688767372978</v>
      </c>
      <c r="M942" s="711">
        <v>232</v>
      </c>
      <c r="N942" s="711">
        <v>118</v>
      </c>
      <c r="O942" s="711">
        <v>27474</v>
      </c>
      <c r="P942" s="701">
        <v>3.1298701298701297</v>
      </c>
      <c r="Q942" s="712">
        <v>232.83050847457628</v>
      </c>
    </row>
    <row r="943" spans="1:17" ht="14.4" customHeight="1" x14ac:dyDescent="0.3">
      <c r="A943" s="695" t="s">
        <v>4902</v>
      </c>
      <c r="B943" s="696" t="s">
        <v>4082</v>
      </c>
      <c r="C943" s="696" t="s">
        <v>4114</v>
      </c>
      <c r="D943" s="696" t="s">
        <v>4129</v>
      </c>
      <c r="E943" s="696" t="s">
        <v>4130</v>
      </c>
      <c r="F943" s="711">
        <v>9</v>
      </c>
      <c r="G943" s="711">
        <v>1044</v>
      </c>
      <c r="H943" s="711">
        <v>1</v>
      </c>
      <c r="I943" s="711">
        <v>116</v>
      </c>
      <c r="J943" s="711">
        <v>18</v>
      </c>
      <c r="K943" s="711">
        <v>2088</v>
      </c>
      <c r="L943" s="711">
        <v>2</v>
      </c>
      <c r="M943" s="711">
        <v>116</v>
      </c>
      <c r="N943" s="711">
        <v>19</v>
      </c>
      <c r="O943" s="711">
        <v>2226</v>
      </c>
      <c r="P943" s="701">
        <v>2.132183908045977</v>
      </c>
      <c r="Q943" s="712">
        <v>117.15789473684211</v>
      </c>
    </row>
    <row r="944" spans="1:17" ht="14.4" customHeight="1" x14ac:dyDescent="0.3">
      <c r="A944" s="695" t="s">
        <v>4902</v>
      </c>
      <c r="B944" s="696" t="s">
        <v>4082</v>
      </c>
      <c r="C944" s="696" t="s">
        <v>4114</v>
      </c>
      <c r="D944" s="696" t="s">
        <v>4131</v>
      </c>
      <c r="E944" s="696" t="s">
        <v>4132</v>
      </c>
      <c r="F944" s="711">
        <v>2</v>
      </c>
      <c r="G944" s="711">
        <v>638</v>
      </c>
      <c r="H944" s="711">
        <v>1</v>
      </c>
      <c r="I944" s="711">
        <v>319</v>
      </c>
      <c r="J944" s="711">
        <v>2</v>
      </c>
      <c r="K944" s="711">
        <v>640</v>
      </c>
      <c r="L944" s="711">
        <v>1.0031347962382444</v>
      </c>
      <c r="M944" s="711">
        <v>320</v>
      </c>
      <c r="N944" s="711"/>
      <c r="O944" s="711"/>
      <c r="P944" s="701"/>
      <c r="Q944" s="712"/>
    </row>
    <row r="945" spans="1:17" ht="14.4" customHeight="1" x14ac:dyDescent="0.3">
      <c r="A945" s="695" t="s">
        <v>4902</v>
      </c>
      <c r="B945" s="696" t="s">
        <v>4082</v>
      </c>
      <c r="C945" s="696" t="s">
        <v>4114</v>
      </c>
      <c r="D945" s="696" t="s">
        <v>4133</v>
      </c>
      <c r="E945" s="696" t="s">
        <v>4134</v>
      </c>
      <c r="F945" s="711">
        <v>7</v>
      </c>
      <c r="G945" s="711">
        <v>3381</v>
      </c>
      <c r="H945" s="711">
        <v>1</v>
      </c>
      <c r="I945" s="711">
        <v>483</v>
      </c>
      <c r="J945" s="711">
        <v>10</v>
      </c>
      <c r="K945" s="711">
        <v>4840</v>
      </c>
      <c r="L945" s="711">
        <v>1.4315291333924873</v>
      </c>
      <c r="M945" s="711">
        <v>484</v>
      </c>
      <c r="N945" s="711"/>
      <c r="O945" s="711"/>
      <c r="P945" s="701"/>
      <c r="Q945" s="712"/>
    </row>
    <row r="946" spans="1:17" ht="14.4" customHeight="1" x14ac:dyDescent="0.3">
      <c r="A946" s="695" t="s">
        <v>4902</v>
      </c>
      <c r="B946" s="696" t="s">
        <v>4082</v>
      </c>
      <c r="C946" s="696" t="s">
        <v>4114</v>
      </c>
      <c r="D946" s="696" t="s">
        <v>4135</v>
      </c>
      <c r="E946" s="696" t="s">
        <v>4136</v>
      </c>
      <c r="F946" s="711"/>
      <c r="G946" s="711"/>
      <c r="H946" s="711"/>
      <c r="I946" s="711"/>
      <c r="J946" s="711">
        <v>7</v>
      </c>
      <c r="K946" s="711">
        <v>4739</v>
      </c>
      <c r="L946" s="711"/>
      <c r="M946" s="711">
        <v>677</v>
      </c>
      <c r="N946" s="711"/>
      <c r="O946" s="711"/>
      <c r="P946" s="701"/>
      <c r="Q946" s="712"/>
    </row>
    <row r="947" spans="1:17" ht="14.4" customHeight="1" x14ac:dyDescent="0.3">
      <c r="A947" s="695" t="s">
        <v>4902</v>
      </c>
      <c r="B947" s="696" t="s">
        <v>4082</v>
      </c>
      <c r="C947" s="696" t="s">
        <v>4114</v>
      </c>
      <c r="D947" s="696" t="s">
        <v>4139</v>
      </c>
      <c r="E947" s="696" t="s">
        <v>4134</v>
      </c>
      <c r="F947" s="711">
        <v>7</v>
      </c>
      <c r="G947" s="711">
        <v>3850</v>
      </c>
      <c r="H947" s="711">
        <v>1</v>
      </c>
      <c r="I947" s="711">
        <v>550</v>
      </c>
      <c r="J947" s="711">
        <v>6</v>
      </c>
      <c r="K947" s="711">
        <v>3318</v>
      </c>
      <c r="L947" s="711">
        <v>0.86181818181818182</v>
      </c>
      <c r="M947" s="711">
        <v>553</v>
      </c>
      <c r="N947" s="711">
        <v>22</v>
      </c>
      <c r="O947" s="711">
        <v>12218</v>
      </c>
      <c r="P947" s="701">
        <v>3.1735064935064936</v>
      </c>
      <c r="Q947" s="712">
        <v>555.36363636363637</v>
      </c>
    </row>
    <row r="948" spans="1:17" ht="14.4" customHeight="1" x14ac:dyDescent="0.3">
      <c r="A948" s="695" t="s">
        <v>4902</v>
      </c>
      <c r="B948" s="696" t="s">
        <v>4082</v>
      </c>
      <c r="C948" s="696" t="s">
        <v>4114</v>
      </c>
      <c r="D948" s="696" t="s">
        <v>4140</v>
      </c>
      <c r="E948" s="696" t="s">
        <v>4136</v>
      </c>
      <c r="F948" s="711"/>
      <c r="G948" s="711"/>
      <c r="H948" s="711"/>
      <c r="I948" s="711"/>
      <c r="J948" s="711">
        <v>2</v>
      </c>
      <c r="K948" s="711">
        <v>1492</v>
      </c>
      <c r="L948" s="711"/>
      <c r="M948" s="711">
        <v>746</v>
      </c>
      <c r="N948" s="711"/>
      <c r="O948" s="711"/>
      <c r="P948" s="701"/>
      <c r="Q948" s="712"/>
    </row>
    <row r="949" spans="1:17" ht="14.4" customHeight="1" x14ac:dyDescent="0.3">
      <c r="A949" s="695" t="s">
        <v>4902</v>
      </c>
      <c r="B949" s="696" t="s">
        <v>4082</v>
      </c>
      <c r="C949" s="696" t="s">
        <v>4114</v>
      </c>
      <c r="D949" s="696" t="s">
        <v>4232</v>
      </c>
      <c r="E949" s="696" t="s">
        <v>4233</v>
      </c>
      <c r="F949" s="711">
        <v>45</v>
      </c>
      <c r="G949" s="711">
        <v>36000</v>
      </c>
      <c r="H949" s="711">
        <v>1</v>
      </c>
      <c r="I949" s="711">
        <v>800</v>
      </c>
      <c r="J949" s="711">
        <v>74</v>
      </c>
      <c r="K949" s="711">
        <v>59422</v>
      </c>
      <c r="L949" s="711">
        <v>1.650611111111111</v>
      </c>
      <c r="M949" s="711">
        <v>803</v>
      </c>
      <c r="N949" s="711">
        <v>77</v>
      </c>
      <c r="O949" s="711">
        <v>61959</v>
      </c>
      <c r="P949" s="701">
        <v>1.7210833333333333</v>
      </c>
      <c r="Q949" s="712">
        <v>804.66233766233768</v>
      </c>
    </row>
    <row r="950" spans="1:17" ht="14.4" customHeight="1" x14ac:dyDescent="0.3">
      <c r="A950" s="695" t="s">
        <v>4902</v>
      </c>
      <c r="B950" s="696" t="s">
        <v>4082</v>
      </c>
      <c r="C950" s="696" t="s">
        <v>4114</v>
      </c>
      <c r="D950" s="696" t="s">
        <v>4141</v>
      </c>
      <c r="E950" s="696" t="s">
        <v>4142</v>
      </c>
      <c r="F950" s="711"/>
      <c r="G950" s="711"/>
      <c r="H950" s="711"/>
      <c r="I950" s="711"/>
      <c r="J950" s="711">
        <v>1</v>
      </c>
      <c r="K950" s="711">
        <v>439</v>
      </c>
      <c r="L950" s="711"/>
      <c r="M950" s="711">
        <v>439</v>
      </c>
      <c r="N950" s="711">
        <v>2</v>
      </c>
      <c r="O950" s="711">
        <v>885</v>
      </c>
      <c r="P950" s="701"/>
      <c r="Q950" s="712">
        <v>442.5</v>
      </c>
    </row>
    <row r="951" spans="1:17" ht="14.4" customHeight="1" x14ac:dyDescent="0.3">
      <c r="A951" s="695" t="s">
        <v>4902</v>
      </c>
      <c r="B951" s="696" t="s">
        <v>4082</v>
      </c>
      <c r="C951" s="696" t="s">
        <v>4114</v>
      </c>
      <c r="D951" s="696" t="s">
        <v>4143</v>
      </c>
      <c r="E951" s="696" t="s">
        <v>4144</v>
      </c>
      <c r="F951" s="711"/>
      <c r="G951" s="711"/>
      <c r="H951" s="711"/>
      <c r="I951" s="711"/>
      <c r="J951" s="711"/>
      <c r="K951" s="711"/>
      <c r="L951" s="711"/>
      <c r="M951" s="711"/>
      <c r="N951" s="711">
        <v>2</v>
      </c>
      <c r="O951" s="711">
        <v>862</v>
      </c>
      <c r="P951" s="701"/>
      <c r="Q951" s="712">
        <v>431</v>
      </c>
    </row>
    <row r="952" spans="1:17" ht="14.4" customHeight="1" x14ac:dyDescent="0.3">
      <c r="A952" s="695" t="s">
        <v>4902</v>
      </c>
      <c r="B952" s="696" t="s">
        <v>4082</v>
      </c>
      <c r="C952" s="696" t="s">
        <v>4114</v>
      </c>
      <c r="D952" s="696" t="s">
        <v>4255</v>
      </c>
      <c r="E952" s="696" t="s">
        <v>4181</v>
      </c>
      <c r="F952" s="711"/>
      <c r="G952" s="711"/>
      <c r="H952" s="711"/>
      <c r="I952" s="711"/>
      <c r="J952" s="711"/>
      <c r="K952" s="711"/>
      <c r="L952" s="711"/>
      <c r="M952" s="711"/>
      <c r="N952" s="711">
        <v>1</v>
      </c>
      <c r="O952" s="711">
        <v>712</v>
      </c>
      <c r="P952" s="701"/>
      <c r="Q952" s="712">
        <v>712</v>
      </c>
    </row>
    <row r="953" spans="1:17" ht="14.4" customHeight="1" x14ac:dyDescent="0.3">
      <c r="A953" s="695" t="s">
        <v>4902</v>
      </c>
      <c r="B953" s="696" t="s">
        <v>4082</v>
      </c>
      <c r="C953" s="696" t="s">
        <v>4114</v>
      </c>
      <c r="D953" s="696" t="s">
        <v>4145</v>
      </c>
      <c r="E953" s="696" t="s">
        <v>4146</v>
      </c>
      <c r="F953" s="711">
        <v>15</v>
      </c>
      <c r="G953" s="711">
        <v>3090</v>
      </c>
      <c r="H953" s="711">
        <v>1</v>
      </c>
      <c r="I953" s="711">
        <v>206</v>
      </c>
      <c r="J953" s="711">
        <v>17</v>
      </c>
      <c r="K953" s="711">
        <v>3519</v>
      </c>
      <c r="L953" s="711">
        <v>1.1388349514563108</v>
      </c>
      <c r="M953" s="711">
        <v>207</v>
      </c>
      <c r="N953" s="711">
        <v>18</v>
      </c>
      <c r="O953" s="711">
        <v>3744</v>
      </c>
      <c r="P953" s="701">
        <v>1.2116504854368932</v>
      </c>
      <c r="Q953" s="712">
        <v>208</v>
      </c>
    </row>
    <row r="954" spans="1:17" ht="14.4" customHeight="1" x14ac:dyDescent="0.3">
      <c r="A954" s="695" t="s">
        <v>4902</v>
      </c>
      <c r="B954" s="696" t="s">
        <v>4082</v>
      </c>
      <c r="C954" s="696" t="s">
        <v>4114</v>
      </c>
      <c r="D954" s="696" t="s">
        <v>4149</v>
      </c>
      <c r="E954" s="696" t="s">
        <v>4150</v>
      </c>
      <c r="F954" s="711"/>
      <c r="G954" s="711"/>
      <c r="H954" s="711"/>
      <c r="I954" s="711"/>
      <c r="J954" s="711">
        <v>9</v>
      </c>
      <c r="K954" s="711">
        <v>2943</v>
      </c>
      <c r="L954" s="711"/>
      <c r="M954" s="711">
        <v>327</v>
      </c>
      <c r="N954" s="711">
        <v>4</v>
      </c>
      <c r="O954" s="711">
        <v>1311</v>
      </c>
      <c r="P954" s="701"/>
      <c r="Q954" s="712">
        <v>327.75</v>
      </c>
    </row>
    <row r="955" spans="1:17" ht="14.4" customHeight="1" x14ac:dyDescent="0.3">
      <c r="A955" s="695" t="s">
        <v>4902</v>
      </c>
      <c r="B955" s="696" t="s">
        <v>4082</v>
      </c>
      <c r="C955" s="696" t="s">
        <v>4114</v>
      </c>
      <c r="D955" s="696" t="s">
        <v>4153</v>
      </c>
      <c r="E955" s="696" t="s">
        <v>4154</v>
      </c>
      <c r="F955" s="711">
        <v>89</v>
      </c>
      <c r="G955" s="711">
        <v>7209</v>
      </c>
      <c r="H955" s="711">
        <v>1</v>
      </c>
      <c r="I955" s="711">
        <v>81</v>
      </c>
      <c r="J955" s="711">
        <v>140</v>
      </c>
      <c r="K955" s="711">
        <v>11480</v>
      </c>
      <c r="L955" s="711">
        <v>1.5924538770980718</v>
      </c>
      <c r="M955" s="711">
        <v>82</v>
      </c>
      <c r="N955" s="711">
        <v>153</v>
      </c>
      <c r="O955" s="711">
        <v>12690</v>
      </c>
      <c r="P955" s="701">
        <v>1.7602996254681649</v>
      </c>
      <c r="Q955" s="712">
        <v>82.941176470588232</v>
      </c>
    </row>
    <row r="956" spans="1:17" ht="14.4" customHeight="1" x14ac:dyDescent="0.3">
      <c r="A956" s="695" t="s">
        <v>4902</v>
      </c>
      <c r="B956" s="696" t="s">
        <v>4082</v>
      </c>
      <c r="C956" s="696" t="s">
        <v>4114</v>
      </c>
      <c r="D956" s="696" t="s">
        <v>4157</v>
      </c>
      <c r="E956" s="696" t="s">
        <v>4158</v>
      </c>
      <c r="F956" s="711"/>
      <c r="G956" s="711"/>
      <c r="H956" s="711"/>
      <c r="I956" s="711"/>
      <c r="J956" s="711">
        <v>2</v>
      </c>
      <c r="K956" s="711">
        <v>1406</v>
      </c>
      <c r="L956" s="711"/>
      <c r="M956" s="711">
        <v>703</v>
      </c>
      <c r="N956" s="711"/>
      <c r="O956" s="711"/>
      <c r="P956" s="701"/>
      <c r="Q956" s="712"/>
    </row>
    <row r="957" spans="1:17" ht="14.4" customHeight="1" x14ac:dyDescent="0.3">
      <c r="A957" s="695" t="s">
        <v>4902</v>
      </c>
      <c r="B957" s="696" t="s">
        <v>4082</v>
      </c>
      <c r="C957" s="696" t="s">
        <v>4114</v>
      </c>
      <c r="D957" s="696" t="s">
        <v>4234</v>
      </c>
      <c r="E957" s="696" t="s">
        <v>4233</v>
      </c>
      <c r="F957" s="711">
        <v>37</v>
      </c>
      <c r="G957" s="711">
        <v>34262</v>
      </c>
      <c r="H957" s="711">
        <v>1</v>
      </c>
      <c r="I957" s="711">
        <v>926</v>
      </c>
      <c r="J957" s="711">
        <v>31</v>
      </c>
      <c r="K957" s="711">
        <v>28799</v>
      </c>
      <c r="L957" s="711">
        <v>0.84055221528223689</v>
      </c>
      <c r="M957" s="711">
        <v>929</v>
      </c>
      <c r="N957" s="711">
        <v>35</v>
      </c>
      <c r="O957" s="711">
        <v>32567</v>
      </c>
      <c r="P957" s="701">
        <v>0.95052828206175943</v>
      </c>
      <c r="Q957" s="712">
        <v>930.48571428571427</v>
      </c>
    </row>
    <row r="958" spans="1:17" ht="14.4" customHeight="1" x14ac:dyDescent="0.3">
      <c r="A958" s="695" t="s">
        <v>4902</v>
      </c>
      <c r="B958" s="696" t="s">
        <v>4082</v>
      </c>
      <c r="C958" s="696" t="s">
        <v>4114</v>
      </c>
      <c r="D958" s="696" t="s">
        <v>4161</v>
      </c>
      <c r="E958" s="696" t="s">
        <v>4162</v>
      </c>
      <c r="F958" s="711"/>
      <c r="G958" s="711"/>
      <c r="H958" s="711"/>
      <c r="I958" s="711"/>
      <c r="J958" s="711">
        <v>3</v>
      </c>
      <c r="K958" s="711">
        <v>0</v>
      </c>
      <c r="L958" s="711"/>
      <c r="M958" s="711">
        <v>0</v>
      </c>
      <c r="N958" s="711"/>
      <c r="O958" s="711"/>
      <c r="P958" s="701"/>
      <c r="Q958" s="712"/>
    </row>
    <row r="959" spans="1:17" ht="14.4" customHeight="1" x14ac:dyDescent="0.3">
      <c r="A959" s="695" t="s">
        <v>4902</v>
      </c>
      <c r="B959" s="696" t="s">
        <v>4082</v>
      </c>
      <c r="C959" s="696" t="s">
        <v>4114</v>
      </c>
      <c r="D959" s="696" t="s">
        <v>4163</v>
      </c>
      <c r="E959" s="696" t="s">
        <v>4164</v>
      </c>
      <c r="F959" s="711">
        <v>14</v>
      </c>
      <c r="G959" s="711">
        <v>1554</v>
      </c>
      <c r="H959" s="711">
        <v>1</v>
      </c>
      <c r="I959" s="711">
        <v>111</v>
      </c>
      <c r="J959" s="711">
        <v>16</v>
      </c>
      <c r="K959" s="711">
        <v>1792</v>
      </c>
      <c r="L959" s="711">
        <v>1.1531531531531531</v>
      </c>
      <c r="M959" s="711">
        <v>112</v>
      </c>
      <c r="N959" s="711">
        <v>52</v>
      </c>
      <c r="O959" s="711">
        <v>5844</v>
      </c>
      <c r="P959" s="701">
        <v>3.7606177606177607</v>
      </c>
      <c r="Q959" s="712">
        <v>112.38461538461539</v>
      </c>
    </row>
    <row r="960" spans="1:17" ht="14.4" customHeight="1" x14ac:dyDescent="0.3">
      <c r="A960" s="695" t="s">
        <v>4902</v>
      </c>
      <c r="B960" s="696" t="s">
        <v>4082</v>
      </c>
      <c r="C960" s="696" t="s">
        <v>4114</v>
      </c>
      <c r="D960" s="696" t="s">
        <v>4235</v>
      </c>
      <c r="E960" s="696" t="s">
        <v>4233</v>
      </c>
      <c r="F960" s="711">
        <v>4</v>
      </c>
      <c r="G960" s="711">
        <v>2932</v>
      </c>
      <c r="H960" s="711">
        <v>1</v>
      </c>
      <c r="I960" s="711">
        <v>733</v>
      </c>
      <c r="J960" s="711">
        <v>19</v>
      </c>
      <c r="K960" s="711">
        <v>13946</v>
      </c>
      <c r="L960" s="711">
        <v>4.7564802182810366</v>
      </c>
      <c r="M960" s="711">
        <v>734</v>
      </c>
      <c r="N960" s="711">
        <v>23</v>
      </c>
      <c r="O960" s="711">
        <v>16912</v>
      </c>
      <c r="P960" s="701">
        <v>5.7680763983628927</v>
      </c>
      <c r="Q960" s="712">
        <v>735.304347826087</v>
      </c>
    </row>
    <row r="961" spans="1:17" ht="14.4" customHeight="1" x14ac:dyDescent="0.3">
      <c r="A961" s="695" t="s">
        <v>4902</v>
      </c>
      <c r="B961" s="696" t="s">
        <v>4082</v>
      </c>
      <c r="C961" s="696" t="s">
        <v>4114</v>
      </c>
      <c r="D961" s="696" t="s">
        <v>4236</v>
      </c>
      <c r="E961" s="696" t="s">
        <v>4237</v>
      </c>
      <c r="F961" s="711">
        <v>22</v>
      </c>
      <c r="G961" s="711">
        <v>11506</v>
      </c>
      <c r="H961" s="711">
        <v>1</v>
      </c>
      <c r="I961" s="711">
        <v>523</v>
      </c>
      <c r="J961" s="711">
        <v>63</v>
      </c>
      <c r="K961" s="711">
        <v>33012</v>
      </c>
      <c r="L961" s="711">
        <v>2.8691117677733358</v>
      </c>
      <c r="M961" s="711">
        <v>524</v>
      </c>
      <c r="N961" s="711">
        <v>48</v>
      </c>
      <c r="O961" s="711">
        <v>25198</v>
      </c>
      <c r="P961" s="701">
        <v>2.1899878324352513</v>
      </c>
      <c r="Q961" s="712">
        <v>524.95833333333337</v>
      </c>
    </row>
    <row r="962" spans="1:17" ht="14.4" customHeight="1" x14ac:dyDescent="0.3">
      <c r="A962" s="695" t="s">
        <v>4902</v>
      </c>
      <c r="B962" s="696" t="s">
        <v>4082</v>
      </c>
      <c r="C962" s="696" t="s">
        <v>4114</v>
      </c>
      <c r="D962" s="696" t="s">
        <v>4171</v>
      </c>
      <c r="E962" s="696" t="s">
        <v>4172</v>
      </c>
      <c r="F962" s="711">
        <v>4</v>
      </c>
      <c r="G962" s="711">
        <v>1180</v>
      </c>
      <c r="H962" s="711">
        <v>1</v>
      </c>
      <c r="I962" s="711">
        <v>295</v>
      </c>
      <c r="J962" s="711">
        <v>15</v>
      </c>
      <c r="K962" s="711">
        <v>4440</v>
      </c>
      <c r="L962" s="711">
        <v>3.7627118644067798</v>
      </c>
      <c r="M962" s="711">
        <v>296</v>
      </c>
      <c r="N962" s="711">
        <v>2</v>
      </c>
      <c r="O962" s="711">
        <v>592</v>
      </c>
      <c r="P962" s="701">
        <v>0.50169491525423726</v>
      </c>
      <c r="Q962" s="712">
        <v>296</v>
      </c>
    </row>
    <row r="963" spans="1:17" ht="14.4" customHeight="1" x14ac:dyDescent="0.3">
      <c r="A963" s="695" t="s">
        <v>4902</v>
      </c>
      <c r="B963" s="696" t="s">
        <v>4082</v>
      </c>
      <c r="C963" s="696" t="s">
        <v>4114</v>
      </c>
      <c r="D963" s="696" t="s">
        <v>4238</v>
      </c>
      <c r="E963" s="696" t="s">
        <v>4146</v>
      </c>
      <c r="F963" s="711">
        <v>1</v>
      </c>
      <c r="G963" s="711">
        <v>172</v>
      </c>
      <c r="H963" s="711">
        <v>1</v>
      </c>
      <c r="I963" s="711">
        <v>172</v>
      </c>
      <c r="J963" s="711">
        <v>3</v>
      </c>
      <c r="K963" s="711">
        <v>516</v>
      </c>
      <c r="L963" s="711">
        <v>3</v>
      </c>
      <c r="M963" s="711">
        <v>172</v>
      </c>
      <c r="N963" s="711">
        <v>6</v>
      </c>
      <c r="O963" s="711">
        <v>1038</v>
      </c>
      <c r="P963" s="701">
        <v>6.0348837209302326</v>
      </c>
      <c r="Q963" s="712">
        <v>173</v>
      </c>
    </row>
    <row r="964" spans="1:17" ht="14.4" customHeight="1" x14ac:dyDescent="0.3">
      <c r="A964" s="695" t="s">
        <v>4902</v>
      </c>
      <c r="B964" s="696" t="s">
        <v>4082</v>
      </c>
      <c r="C964" s="696" t="s">
        <v>4114</v>
      </c>
      <c r="D964" s="696" t="s">
        <v>4175</v>
      </c>
      <c r="E964" s="696" t="s">
        <v>4172</v>
      </c>
      <c r="F964" s="711">
        <v>13</v>
      </c>
      <c r="G964" s="711">
        <v>4706</v>
      </c>
      <c r="H964" s="711">
        <v>1</v>
      </c>
      <c r="I964" s="711">
        <v>362</v>
      </c>
      <c r="J964" s="711">
        <v>20</v>
      </c>
      <c r="K964" s="711">
        <v>7300</v>
      </c>
      <c r="L964" s="711">
        <v>1.5512112197195069</v>
      </c>
      <c r="M964" s="711">
        <v>365</v>
      </c>
      <c r="N964" s="711">
        <v>22</v>
      </c>
      <c r="O964" s="711">
        <v>8078</v>
      </c>
      <c r="P964" s="701">
        <v>1.7165320866978326</v>
      </c>
      <c r="Q964" s="712">
        <v>367.18181818181819</v>
      </c>
    </row>
    <row r="965" spans="1:17" ht="14.4" customHeight="1" x14ac:dyDescent="0.3">
      <c r="A965" s="695" t="s">
        <v>4902</v>
      </c>
      <c r="B965" s="696" t="s">
        <v>4082</v>
      </c>
      <c r="C965" s="696" t="s">
        <v>4114</v>
      </c>
      <c r="D965" s="696" t="s">
        <v>4180</v>
      </c>
      <c r="E965" s="696" t="s">
        <v>4181</v>
      </c>
      <c r="F965" s="711"/>
      <c r="G965" s="711"/>
      <c r="H965" s="711"/>
      <c r="I965" s="711"/>
      <c r="J965" s="711">
        <v>2</v>
      </c>
      <c r="K965" s="711">
        <v>1202</v>
      </c>
      <c r="L965" s="711"/>
      <c r="M965" s="711">
        <v>601</v>
      </c>
      <c r="N965" s="711"/>
      <c r="O965" s="711"/>
      <c r="P965" s="701"/>
      <c r="Q965" s="712"/>
    </row>
    <row r="966" spans="1:17" ht="14.4" customHeight="1" x14ac:dyDescent="0.3">
      <c r="A966" s="695" t="s">
        <v>4902</v>
      </c>
      <c r="B966" s="696" t="s">
        <v>4082</v>
      </c>
      <c r="C966" s="696" t="s">
        <v>4114</v>
      </c>
      <c r="D966" s="696" t="s">
        <v>4239</v>
      </c>
      <c r="E966" s="696" t="s">
        <v>4233</v>
      </c>
      <c r="F966" s="711">
        <v>4</v>
      </c>
      <c r="G966" s="711">
        <v>4036</v>
      </c>
      <c r="H966" s="711">
        <v>1</v>
      </c>
      <c r="I966" s="711">
        <v>1009</v>
      </c>
      <c r="J966" s="711"/>
      <c r="K966" s="711"/>
      <c r="L966" s="711"/>
      <c r="M966" s="711"/>
      <c r="N966" s="711"/>
      <c r="O966" s="711"/>
      <c r="P966" s="701"/>
      <c r="Q966" s="712"/>
    </row>
    <row r="967" spans="1:17" ht="14.4" customHeight="1" x14ac:dyDescent="0.3">
      <c r="A967" s="695" t="s">
        <v>4902</v>
      </c>
      <c r="B967" s="696" t="s">
        <v>4082</v>
      </c>
      <c r="C967" s="696" t="s">
        <v>4114</v>
      </c>
      <c r="D967" s="696" t="s">
        <v>4186</v>
      </c>
      <c r="E967" s="696" t="s">
        <v>4142</v>
      </c>
      <c r="F967" s="711">
        <v>3</v>
      </c>
      <c r="G967" s="711">
        <v>999</v>
      </c>
      <c r="H967" s="711">
        <v>1</v>
      </c>
      <c r="I967" s="711">
        <v>333</v>
      </c>
      <c r="J967" s="711"/>
      <c r="K967" s="711"/>
      <c r="L967" s="711"/>
      <c r="M967" s="711"/>
      <c r="N967" s="711">
        <v>1</v>
      </c>
      <c r="O967" s="711">
        <v>335</v>
      </c>
      <c r="P967" s="701">
        <v>0.33533533533533533</v>
      </c>
      <c r="Q967" s="712">
        <v>335</v>
      </c>
    </row>
    <row r="968" spans="1:17" ht="14.4" customHeight="1" x14ac:dyDescent="0.3">
      <c r="A968" s="695" t="s">
        <v>4902</v>
      </c>
      <c r="B968" s="696" t="s">
        <v>4082</v>
      </c>
      <c r="C968" s="696" t="s">
        <v>4114</v>
      </c>
      <c r="D968" s="696" t="s">
        <v>4249</v>
      </c>
      <c r="E968" s="696" t="s">
        <v>4233</v>
      </c>
      <c r="F968" s="711">
        <v>3</v>
      </c>
      <c r="G968" s="711">
        <v>2577</v>
      </c>
      <c r="H968" s="711">
        <v>1</v>
      </c>
      <c r="I968" s="711">
        <v>859</v>
      </c>
      <c r="J968" s="711"/>
      <c r="K968" s="711"/>
      <c r="L968" s="711"/>
      <c r="M968" s="711"/>
      <c r="N968" s="711"/>
      <c r="O968" s="711"/>
      <c r="P968" s="701"/>
      <c r="Q968" s="712"/>
    </row>
    <row r="969" spans="1:17" ht="14.4" customHeight="1" x14ac:dyDescent="0.3">
      <c r="A969" s="695" t="s">
        <v>4902</v>
      </c>
      <c r="B969" s="696" t="s">
        <v>4082</v>
      </c>
      <c r="C969" s="696" t="s">
        <v>4114</v>
      </c>
      <c r="D969" s="696" t="s">
        <v>4260</v>
      </c>
      <c r="E969" s="696" t="s">
        <v>4189</v>
      </c>
      <c r="F969" s="711"/>
      <c r="G969" s="711"/>
      <c r="H969" s="711"/>
      <c r="I969" s="711"/>
      <c r="J969" s="711"/>
      <c r="K969" s="711"/>
      <c r="L969" s="711"/>
      <c r="M969" s="711"/>
      <c r="N969" s="711">
        <v>3</v>
      </c>
      <c r="O969" s="711">
        <v>1779</v>
      </c>
      <c r="P969" s="701"/>
      <c r="Q969" s="712">
        <v>593</v>
      </c>
    </row>
    <row r="970" spans="1:17" ht="14.4" customHeight="1" x14ac:dyDescent="0.3">
      <c r="A970" s="695" t="s">
        <v>4902</v>
      </c>
      <c r="B970" s="696" t="s">
        <v>4082</v>
      </c>
      <c r="C970" s="696" t="s">
        <v>4114</v>
      </c>
      <c r="D970" s="696" t="s">
        <v>4192</v>
      </c>
      <c r="E970" s="696" t="s">
        <v>4132</v>
      </c>
      <c r="F970" s="711">
        <v>3</v>
      </c>
      <c r="G970" s="711">
        <v>1158</v>
      </c>
      <c r="H970" s="711">
        <v>1</v>
      </c>
      <c r="I970" s="711">
        <v>386</v>
      </c>
      <c r="J970" s="711"/>
      <c r="K970" s="711"/>
      <c r="L970" s="711"/>
      <c r="M970" s="711"/>
      <c r="N970" s="711"/>
      <c r="O970" s="711"/>
      <c r="P970" s="701"/>
      <c r="Q970" s="712"/>
    </row>
    <row r="971" spans="1:17" ht="14.4" customHeight="1" x14ac:dyDescent="0.3">
      <c r="A971" s="695" t="s">
        <v>4903</v>
      </c>
      <c r="B971" s="696" t="s">
        <v>4082</v>
      </c>
      <c r="C971" s="696" t="s">
        <v>4114</v>
      </c>
      <c r="D971" s="696" t="s">
        <v>4125</v>
      </c>
      <c r="E971" s="696" t="s">
        <v>4078</v>
      </c>
      <c r="F971" s="711">
        <v>1</v>
      </c>
      <c r="G971" s="711">
        <v>156</v>
      </c>
      <c r="H971" s="711">
        <v>1</v>
      </c>
      <c r="I971" s="711">
        <v>156</v>
      </c>
      <c r="J971" s="711"/>
      <c r="K971" s="711"/>
      <c r="L971" s="711"/>
      <c r="M971" s="711"/>
      <c r="N971" s="711"/>
      <c r="O971" s="711"/>
      <c r="P971" s="701"/>
      <c r="Q971" s="712"/>
    </row>
    <row r="972" spans="1:17" ht="14.4" customHeight="1" x14ac:dyDescent="0.3">
      <c r="A972" s="695" t="s">
        <v>4903</v>
      </c>
      <c r="B972" s="696" t="s">
        <v>4082</v>
      </c>
      <c r="C972" s="696" t="s">
        <v>4114</v>
      </c>
      <c r="D972" s="696" t="s">
        <v>4127</v>
      </c>
      <c r="E972" s="696" t="s">
        <v>4128</v>
      </c>
      <c r="F972" s="711">
        <v>85</v>
      </c>
      <c r="G972" s="711">
        <v>19635</v>
      </c>
      <c r="H972" s="711">
        <v>1</v>
      </c>
      <c r="I972" s="711">
        <v>231</v>
      </c>
      <c r="J972" s="711">
        <v>107</v>
      </c>
      <c r="K972" s="711">
        <v>24824</v>
      </c>
      <c r="L972" s="711">
        <v>1.2642729819200407</v>
      </c>
      <c r="M972" s="711">
        <v>232</v>
      </c>
      <c r="N972" s="711">
        <v>94</v>
      </c>
      <c r="O972" s="711">
        <v>21908</v>
      </c>
      <c r="P972" s="701">
        <v>1.1157626687038451</v>
      </c>
      <c r="Q972" s="712">
        <v>233.06382978723406</v>
      </c>
    </row>
    <row r="973" spans="1:17" ht="14.4" customHeight="1" x14ac:dyDescent="0.3">
      <c r="A973" s="695" t="s">
        <v>4903</v>
      </c>
      <c r="B973" s="696" t="s">
        <v>4082</v>
      </c>
      <c r="C973" s="696" t="s">
        <v>4114</v>
      </c>
      <c r="D973" s="696" t="s">
        <v>4129</v>
      </c>
      <c r="E973" s="696" t="s">
        <v>4130</v>
      </c>
      <c r="F973" s="711">
        <v>82</v>
      </c>
      <c r="G973" s="711">
        <v>9512</v>
      </c>
      <c r="H973" s="711">
        <v>1</v>
      </c>
      <c r="I973" s="711">
        <v>116</v>
      </c>
      <c r="J973" s="711">
        <v>97</v>
      </c>
      <c r="K973" s="711">
        <v>11252</v>
      </c>
      <c r="L973" s="711">
        <v>1.1829268292682926</v>
      </c>
      <c r="M973" s="711">
        <v>116</v>
      </c>
      <c r="N973" s="711">
        <v>75</v>
      </c>
      <c r="O973" s="711">
        <v>8782</v>
      </c>
      <c r="P973" s="701">
        <v>0.92325483599663583</v>
      </c>
      <c r="Q973" s="712">
        <v>117.09333333333333</v>
      </c>
    </row>
    <row r="974" spans="1:17" ht="14.4" customHeight="1" x14ac:dyDescent="0.3">
      <c r="A974" s="695" t="s">
        <v>4903</v>
      </c>
      <c r="B974" s="696" t="s">
        <v>4082</v>
      </c>
      <c r="C974" s="696" t="s">
        <v>4114</v>
      </c>
      <c r="D974" s="696" t="s">
        <v>4133</v>
      </c>
      <c r="E974" s="696" t="s">
        <v>4134</v>
      </c>
      <c r="F974" s="711">
        <v>2</v>
      </c>
      <c r="G974" s="711">
        <v>966</v>
      </c>
      <c r="H974" s="711">
        <v>1</v>
      </c>
      <c r="I974" s="711">
        <v>483</v>
      </c>
      <c r="J974" s="711">
        <v>2</v>
      </c>
      <c r="K974" s="711">
        <v>968</v>
      </c>
      <c r="L974" s="711">
        <v>1.0020703933747412</v>
      </c>
      <c r="M974" s="711">
        <v>484</v>
      </c>
      <c r="N974" s="711">
        <v>3</v>
      </c>
      <c r="O974" s="711">
        <v>1458</v>
      </c>
      <c r="P974" s="701">
        <v>1.5093167701863355</v>
      </c>
      <c r="Q974" s="712">
        <v>486</v>
      </c>
    </row>
    <row r="975" spans="1:17" ht="14.4" customHeight="1" x14ac:dyDescent="0.3">
      <c r="A975" s="695" t="s">
        <v>4903</v>
      </c>
      <c r="B975" s="696" t="s">
        <v>4082</v>
      </c>
      <c r="C975" s="696" t="s">
        <v>4114</v>
      </c>
      <c r="D975" s="696" t="s">
        <v>4135</v>
      </c>
      <c r="E975" s="696" t="s">
        <v>4136</v>
      </c>
      <c r="F975" s="711">
        <v>6</v>
      </c>
      <c r="G975" s="711">
        <v>4056</v>
      </c>
      <c r="H975" s="711">
        <v>1</v>
      </c>
      <c r="I975" s="711">
        <v>676</v>
      </c>
      <c r="J975" s="711"/>
      <c r="K975" s="711"/>
      <c r="L975" s="711"/>
      <c r="M975" s="711"/>
      <c r="N975" s="711"/>
      <c r="O975" s="711"/>
      <c r="P975" s="701"/>
      <c r="Q975" s="712"/>
    </row>
    <row r="976" spans="1:17" ht="14.4" customHeight="1" x14ac:dyDescent="0.3">
      <c r="A976" s="695" t="s">
        <v>4903</v>
      </c>
      <c r="B976" s="696" t="s">
        <v>4082</v>
      </c>
      <c r="C976" s="696" t="s">
        <v>4114</v>
      </c>
      <c r="D976" s="696" t="s">
        <v>4139</v>
      </c>
      <c r="E976" s="696" t="s">
        <v>4134</v>
      </c>
      <c r="F976" s="711">
        <v>1</v>
      </c>
      <c r="G976" s="711">
        <v>550</v>
      </c>
      <c r="H976" s="711">
        <v>1</v>
      </c>
      <c r="I976" s="711">
        <v>550</v>
      </c>
      <c r="J976" s="711">
        <v>5</v>
      </c>
      <c r="K976" s="711">
        <v>2765</v>
      </c>
      <c r="L976" s="711">
        <v>5.0272727272727273</v>
      </c>
      <c r="M976" s="711">
        <v>553</v>
      </c>
      <c r="N976" s="711">
        <v>1</v>
      </c>
      <c r="O976" s="711">
        <v>557</v>
      </c>
      <c r="P976" s="701">
        <v>1.0127272727272727</v>
      </c>
      <c r="Q976" s="712">
        <v>557</v>
      </c>
    </row>
    <row r="977" spans="1:17" ht="14.4" customHeight="1" x14ac:dyDescent="0.3">
      <c r="A977" s="695" t="s">
        <v>4903</v>
      </c>
      <c r="B977" s="696" t="s">
        <v>4082</v>
      </c>
      <c r="C977" s="696" t="s">
        <v>4114</v>
      </c>
      <c r="D977" s="696" t="s">
        <v>4140</v>
      </c>
      <c r="E977" s="696" t="s">
        <v>4136</v>
      </c>
      <c r="F977" s="711"/>
      <c r="G977" s="711"/>
      <c r="H977" s="711"/>
      <c r="I977" s="711"/>
      <c r="J977" s="711">
        <v>3</v>
      </c>
      <c r="K977" s="711">
        <v>2238</v>
      </c>
      <c r="L977" s="711"/>
      <c r="M977" s="711">
        <v>746</v>
      </c>
      <c r="N977" s="711"/>
      <c r="O977" s="711"/>
      <c r="P977" s="701"/>
      <c r="Q977" s="712"/>
    </row>
    <row r="978" spans="1:17" ht="14.4" customHeight="1" x14ac:dyDescent="0.3">
      <c r="A978" s="695" t="s">
        <v>4903</v>
      </c>
      <c r="B978" s="696" t="s">
        <v>4082</v>
      </c>
      <c r="C978" s="696" t="s">
        <v>4114</v>
      </c>
      <c r="D978" s="696" t="s">
        <v>4232</v>
      </c>
      <c r="E978" s="696" t="s">
        <v>4233</v>
      </c>
      <c r="F978" s="711"/>
      <c r="G978" s="711"/>
      <c r="H978" s="711"/>
      <c r="I978" s="711"/>
      <c r="J978" s="711">
        <v>5</v>
      </c>
      <c r="K978" s="711">
        <v>4015</v>
      </c>
      <c r="L978" s="711"/>
      <c r="M978" s="711">
        <v>803</v>
      </c>
      <c r="N978" s="711"/>
      <c r="O978" s="711"/>
      <c r="P978" s="701"/>
      <c r="Q978" s="712"/>
    </row>
    <row r="979" spans="1:17" ht="14.4" customHeight="1" x14ac:dyDescent="0.3">
      <c r="A979" s="695" t="s">
        <v>4903</v>
      </c>
      <c r="B979" s="696" t="s">
        <v>4082</v>
      </c>
      <c r="C979" s="696" t="s">
        <v>4114</v>
      </c>
      <c r="D979" s="696" t="s">
        <v>4145</v>
      </c>
      <c r="E979" s="696" t="s">
        <v>4146</v>
      </c>
      <c r="F979" s="711"/>
      <c r="G979" s="711"/>
      <c r="H979" s="711"/>
      <c r="I979" s="711"/>
      <c r="J979" s="711">
        <v>1</v>
      </c>
      <c r="K979" s="711">
        <v>207</v>
      </c>
      <c r="L979" s="711"/>
      <c r="M979" s="711">
        <v>207</v>
      </c>
      <c r="N979" s="711"/>
      <c r="O979" s="711"/>
      <c r="P979" s="701"/>
      <c r="Q979" s="712"/>
    </row>
    <row r="980" spans="1:17" ht="14.4" customHeight="1" x14ac:dyDescent="0.3">
      <c r="A980" s="695" t="s">
        <v>4903</v>
      </c>
      <c r="B980" s="696" t="s">
        <v>4082</v>
      </c>
      <c r="C980" s="696" t="s">
        <v>4114</v>
      </c>
      <c r="D980" s="696" t="s">
        <v>4149</v>
      </c>
      <c r="E980" s="696" t="s">
        <v>4150</v>
      </c>
      <c r="F980" s="711">
        <v>1</v>
      </c>
      <c r="G980" s="711">
        <v>326</v>
      </c>
      <c r="H980" s="711">
        <v>1</v>
      </c>
      <c r="I980" s="711">
        <v>326</v>
      </c>
      <c r="J980" s="711">
        <v>1</v>
      </c>
      <c r="K980" s="711">
        <v>327</v>
      </c>
      <c r="L980" s="711">
        <v>1.0030674846625767</v>
      </c>
      <c r="M980" s="711">
        <v>327</v>
      </c>
      <c r="N980" s="711"/>
      <c r="O980" s="711"/>
      <c r="P980" s="701"/>
      <c r="Q980" s="712"/>
    </row>
    <row r="981" spans="1:17" ht="14.4" customHeight="1" x14ac:dyDescent="0.3">
      <c r="A981" s="695" t="s">
        <v>4903</v>
      </c>
      <c r="B981" s="696" t="s">
        <v>4082</v>
      </c>
      <c r="C981" s="696" t="s">
        <v>4114</v>
      </c>
      <c r="D981" s="696" t="s">
        <v>4151</v>
      </c>
      <c r="E981" s="696" t="s">
        <v>4152</v>
      </c>
      <c r="F981" s="711"/>
      <c r="G981" s="711"/>
      <c r="H981" s="711"/>
      <c r="I981" s="711"/>
      <c r="J981" s="711">
        <v>1</v>
      </c>
      <c r="K981" s="711">
        <v>0</v>
      </c>
      <c r="L981" s="711"/>
      <c r="M981" s="711">
        <v>0</v>
      </c>
      <c r="N981" s="711"/>
      <c r="O981" s="711"/>
      <c r="P981" s="701"/>
      <c r="Q981" s="712"/>
    </row>
    <row r="982" spans="1:17" ht="14.4" customHeight="1" x14ac:dyDescent="0.3">
      <c r="A982" s="695" t="s">
        <v>4903</v>
      </c>
      <c r="B982" s="696" t="s">
        <v>4082</v>
      </c>
      <c r="C982" s="696" t="s">
        <v>4114</v>
      </c>
      <c r="D982" s="696" t="s">
        <v>4153</v>
      </c>
      <c r="E982" s="696" t="s">
        <v>4154</v>
      </c>
      <c r="F982" s="711">
        <v>11</v>
      </c>
      <c r="G982" s="711">
        <v>891</v>
      </c>
      <c r="H982" s="711">
        <v>1</v>
      </c>
      <c r="I982" s="711">
        <v>81</v>
      </c>
      <c r="J982" s="711">
        <v>7</v>
      </c>
      <c r="K982" s="711">
        <v>574</v>
      </c>
      <c r="L982" s="711">
        <v>0.64421997755331084</v>
      </c>
      <c r="M982" s="711">
        <v>82</v>
      </c>
      <c r="N982" s="711"/>
      <c r="O982" s="711"/>
      <c r="P982" s="701"/>
      <c r="Q982" s="712"/>
    </row>
    <row r="983" spans="1:17" ht="14.4" customHeight="1" x14ac:dyDescent="0.3">
      <c r="A983" s="695" t="s">
        <v>4903</v>
      </c>
      <c r="B983" s="696" t="s">
        <v>4082</v>
      </c>
      <c r="C983" s="696" t="s">
        <v>4114</v>
      </c>
      <c r="D983" s="696" t="s">
        <v>4235</v>
      </c>
      <c r="E983" s="696" t="s">
        <v>4233</v>
      </c>
      <c r="F983" s="711">
        <v>5</v>
      </c>
      <c r="G983" s="711">
        <v>3665</v>
      </c>
      <c r="H983" s="711">
        <v>1</v>
      </c>
      <c r="I983" s="711">
        <v>733</v>
      </c>
      <c r="J983" s="711"/>
      <c r="K983" s="711"/>
      <c r="L983" s="711"/>
      <c r="M983" s="711"/>
      <c r="N983" s="711"/>
      <c r="O983" s="711"/>
      <c r="P983" s="701"/>
      <c r="Q983" s="712"/>
    </row>
    <row r="984" spans="1:17" ht="14.4" customHeight="1" x14ac:dyDescent="0.3">
      <c r="A984" s="695" t="s">
        <v>4903</v>
      </c>
      <c r="B984" s="696" t="s">
        <v>4082</v>
      </c>
      <c r="C984" s="696" t="s">
        <v>4114</v>
      </c>
      <c r="D984" s="696" t="s">
        <v>4236</v>
      </c>
      <c r="E984" s="696" t="s">
        <v>4237</v>
      </c>
      <c r="F984" s="711"/>
      <c r="G984" s="711"/>
      <c r="H984" s="711"/>
      <c r="I984" s="711"/>
      <c r="J984" s="711"/>
      <c r="K984" s="711"/>
      <c r="L984" s="711"/>
      <c r="M984" s="711"/>
      <c r="N984" s="711">
        <v>1</v>
      </c>
      <c r="O984" s="711">
        <v>524</v>
      </c>
      <c r="P984" s="701"/>
      <c r="Q984" s="712">
        <v>524</v>
      </c>
    </row>
    <row r="985" spans="1:17" ht="14.4" customHeight="1" x14ac:dyDescent="0.3">
      <c r="A985" s="695" t="s">
        <v>4903</v>
      </c>
      <c r="B985" s="696" t="s">
        <v>4082</v>
      </c>
      <c r="C985" s="696" t="s">
        <v>4114</v>
      </c>
      <c r="D985" s="696" t="s">
        <v>4171</v>
      </c>
      <c r="E985" s="696" t="s">
        <v>4172</v>
      </c>
      <c r="F985" s="711">
        <v>77</v>
      </c>
      <c r="G985" s="711">
        <v>22715</v>
      </c>
      <c r="H985" s="711">
        <v>1</v>
      </c>
      <c r="I985" s="711">
        <v>295</v>
      </c>
      <c r="J985" s="711">
        <v>94</v>
      </c>
      <c r="K985" s="711">
        <v>27824</v>
      </c>
      <c r="L985" s="711">
        <v>1.2249174554259301</v>
      </c>
      <c r="M985" s="711">
        <v>296</v>
      </c>
      <c r="N985" s="711">
        <v>69</v>
      </c>
      <c r="O985" s="711">
        <v>20500</v>
      </c>
      <c r="P985" s="701">
        <v>0.90248734316530932</v>
      </c>
      <c r="Q985" s="712">
        <v>297.10144927536231</v>
      </c>
    </row>
    <row r="986" spans="1:17" ht="14.4" customHeight="1" x14ac:dyDescent="0.3">
      <c r="A986" s="695" t="s">
        <v>4903</v>
      </c>
      <c r="B986" s="696" t="s">
        <v>4082</v>
      </c>
      <c r="C986" s="696" t="s">
        <v>4114</v>
      </c>
      <c r="D986" s="696" t="s">
        <v>4238</v>
      </c>
      <c r="E986" s="696" t="s">
        <v>4146</v>
      </c>
      <c r="F986" s="711">
        <v>2</v>
      </c>
      <c r="G986" s="711">
        <v>344</v>
      </c>
      <c r="H986" s="711">
        <v>1</v>
      </c>
      <c r="I986" s="711">
        <v>172</v>
      </c>
      <c r="J986" s="711"/>
      <c r="K986" s="711"/>
      <c r="L986" s="711"/>
      <c r="M986" s="711"/>
      <c r="N986" s="711"/>
      <c r="O986" s="711"/>
      <c r="P986" s="701"/>
      <c r="Q986" s="712"/>
    </row>
    <row r="987" spans="1:17" ht="14.4" customHeight="1" x14ac:dyDescent="0.3">
      <c r="A987" s="695" t="s">
        <v>4903</v>
      </c>
      <c r="B987" s="696" t="s">
        <v>4082</v>
      </c>
      <c r="C987" s="696" t="s">
        <v>4114</v>
      </c>
      <c r="D987" s="696" t="s">
        <v>4175</v>
      </c>
      <c r="E987" s="696" t="s">
        <v>4172</v>
      </c>
      <c r="F987" s="711">
        <v>3</v>
      </c>
      <c r="G987" s="711">
        <v>1086</v>
      </c>
      <c r="H987" s="711">
        <v>1</v>
      </c>
      <c r="I987" s="711">
        <v>362</v>
      </c>
      <c r="J987" s="711">
        <v>4</v>
      </c>
      <c r="K987" s="711">
        <v>1460</v>
      </c>
      <c r="L987" s="711">
        <v>1.3443830570902393</v>
      </c>
      <c r="M987" s="711">
        <v>365</v>
      </c>
      <c r="N987" s="711">
        <v>2</v>
      </c>
      <c r="O987" s="711">
        <v>730</v>
      </c>
      <c r="P987" s="701">
        <v>0.67219152854511965</v>
      </c>
      <c r="Q987" s="712">
        <v>365</v>
      </c>
    </row>
    <row r="988" spans="1:17" ht="14.4" customHeight="1" x14ac:dyDescent="0.3">
      <c r="A988" s="695" t="s">
        <v>4904</v>
      </c>
      <c r="B988" s="696" t="s">
        <v>4082</v>
      </c>
      <c r="C988" s="696" t="s">
        <v>4114</v>
      </c>
      <c r="D988" s="696" t="s">
        <v>4127</v>
      </c>
      <c r="E988" s="696" t="s">
        <v>4128</v>
      </c>
      <c r="F988" s="711">
        <v>1</v>
      </c>
      <c r="G988" s="711">
        <v>231</v>
      </c>
      <c r="H988" s="711">
        <v>1</v>
      </c>
      <c r="I988" s="711">
        <v>231</v>
      </c>
      <c r="J988" s="711"/>
      <c r="K988" s="711"/>
      <c r="L988" s="711"/>
      <c r="M988" s="711"/>
      <c r="N988" s="711"/>
      <c r="O988" s="711"/>
      <c r="P988" s="701"/>
      <c r="Q988" s="712"/>
    </row>
    <row r="989" spans="1:17" ht="14.4" customHeight="1" x14ac:dyDescent="0.3">
      <c r="A989" s="695" t="s">
        <v>4904</v>
      </c>
      <c r="B989" s="696" t="s">
        <v>4082</v>
      </c>
      <c r="C989" s="696" t="s">
        <v>4114</v>
      </c>
      <c r="D989" s="696" t="s">
        <v>4149</v>
      </c>
      <c r="E989" s="696" t="s">
        <v>4150</v>
      </c>
      <c r="F989" s="711">
        <v>1</v>
      </c>
      <c r="G989" s="711">
        <v>326</v>
      </c>
      <c r="H989" s="711">
        <v>1</v>
      </c>
      <c r="I989" s="711">
        <v>326</v>
      </c>
      <c r="J989" s="711"/>
      <c r="K989" s="711"/>
      <c r="L989" s="711"/>
      <c r="M989" s="711"/>
      <c r="N989" s="711">
        <v>1</v>
      </c>
      <c r="O989" s="711">
        <v>327</v>
      </c>
      <c r="P989" s="701">
        <v>1.0030674846625767</v>
      </c>
      <c r="Q989" s="712">
        <v>327</v>
      </c>
    </row>
    <row r="990" spans="1:17" ht="14.4" customHeight="1" x14ac:dyDescent="0.3">
      <c r="A990" s="695" t="s">
        <v>4905</v>
      </c>
      <c r="B990" s="696" t="s">
        <v>4082</v>
      </c>
      <c r="C990" s="696" t="s">
        <v>4114</v>
      </c>
      <c r="D990" s="696" t="s">
        <v>4119</v>
      </c>
      <c r="E990" s="696" t="s">
        <v>4120</v>
      </c>
      <c r="F990" s="711"/>
      <c r="G990" s="711"/>
      <c r="H990" s="711"/>
      <c r="I990" s="711"/>
      <c r="J990" s="711">
        <v>1</v>
      </c>
      <c r="K990" s="711">
        <v>34</v>
      </c>
      <c r="L990" s="711"/>
      <c r="M990" s="711">
        <v>34</v>
      </c>
      <c r="N990" s="711"/>
      <c r="O990" s="711"/>
      <c r="P990" s="701"/>
      <c r="Q990" s="712"/>
    </row>
    <row r="991" spans="1:17" ht="14.4" customHeight="1" x14ac:dyDescent="0.3">
      <c r="A991" s="695" t="s">
        <v>4905</v>
      </c>
      <c r="B991" s="696" t="s">
        <v>4082</v>
      </c>
      <c r="C991" s="696" t="s">
        <v>4114</v>
      </c>
      <c r="D991" s="696" t="s">
        <v>4127</v>
      </c>
      <c r="E991" s="696" t="s">
        <v>4128</v>
      </c>
      <c r="F991" s="711">
        <v>45</v>
      </c>
      <c r="G991" s="711">
        <v>10395</v>
      </c>
      <c r="H991" s="711">
        <v>1</v>
      </c>
      <c r="I991" s="711">
        <v>231</v>
      </c>
      <c r="J991" s="711">
        <v>43</v>
      </c>
      <c r="K991" s="711">
        <v>9976</v>
      </c>
      <c r="L991" s="711">
        <v>0.95969215969215971</v>
      </c>
      <c r="M991" s="711">
        <v>232</v>
      </c>
      <c r="N991" s="711">
        <v>46</v>
      </c>
      <c r="O991" s="711">
        <v>10692</v>
      </c>
      <c r="P991" s="701">
        <v>1.0285714285714285</v>
      </c>
      <c r="Q991" s="712">
        <v>232.43478260869566</v>
      </c>
    </row>
    <row r="992" spans="1:17" ht="14.4" customHeight="1" x14ac:dyDescent="0.3">
      <c r="A992" s="695" t="s">
        <v>4905</v>
      </c>
      <c r="B992" s="696" t="s">
        <v>4082</v>
      </c>
      <c r="C992" s="696" t="s">
        <v>4114</v>
      </c>
      <c r="D992" s="696" t="s">
        <v>4129</v>
      </c>
      <c r="E992" s="696" t="s">
        <v>4130</v>
      </c>
      <c r="F992" s="711">
        <v>64</v>
      </c>
      <c r="G992" s="711">
        <v>7424</v>
      </c>
      <c r="H992" s="711">
        <v>1</v>
      </c>
      <c r="I992" s="711">
        <v>116</v>
      </c>
      <c r="J992" s="711">
        <v>58</v>
      </c>
      <c r="K992" s="711">
        <v>6728</v>
      </c>
      <c r="L992" s="711">
        <v>0.90625</v>
      </c>
      <c r="M992" s="711">
        <v>116</v>
      </c>
      <c r="N992" s="711">
        <v>53</v>
      </c>
      <c r="O992" s="711">
        <v>6176</v>
      </c>
      <c r="P992" s="701">
        <v>0.8318965517241379</v>
      </c>
      <c r="Q992" s="712">
        <v>116.52830188679245</v>
      </c>
    </row>
    <row r="993" spans="1:17" ht="14.4" customHeight="1" x14ac:dyDescent="0.3">
      <c r="A993" s="695" t="s">
        <v>4905</v>
      </c>
      <c r="B993" s="696" t="s">
        <v>4082</v>
      </c>
      <c r="C993" s="696" t="s">
        <v>4114</v>
      </c>
      <c r="D993" s="696" t="s">
        <v>4131</v>
      </c>
      <c r="E993" s="696" t="s">
        <v>4132</v>
      </c>
      <c r="F993" s="711">
        <v>1</v>
      </c>
      <c r="G993" s="711">
        <v>319</v>
      </c>
      <c r="H993" s="711">
        <v>1</v>
      </c>
      <c r="I993" s="711">
        <v>319</v>
      </c>
      <c r="J993" s="711"/>
      <c r="K993" s="711"/>
      <c r="L993" s="711"/>
      <c r="M993" s="711"/>
      <c r="N993" s="711"/>
      <c r="O993" s="711"/>
      <c r="P993" s="701"/>
      <c r="Q993" s="712"/>
    </row>
    <row r="994" spans="1:17" ht="14.4" customHeight="1" x14ac:dyDescent="0.3">
      <c r="A994" s="695" t="s">
        <v>4905</v>
      </c>
      <c r="B994" s="696" t="s">
        <v>4082</v>
      </c>
      <c r="C994" s="696" t="s">
        <v>4114</v>
      </c>
      <c r="D994" s="696" t="s">
        <v>4133</v>
      </c>
      <c r="E994" s="696" t="s">
        <v>4134</v>
      </c>
      <c r="F994" s="711">
        <v>11</v>
      </c>
      <c r="G994" s="711">
        <v>5313</v>
      </c>
      <c r="H994" s="711">
        <v>1</v>
      </c>
      <c r="I994" s="711">
        <v>483</v>
      </c>
      <c r="J994" s="711">
        <v>15</v>
      </c>
      <c r="K994" s="711">
        <v>7260</v>
      </c>
      <c r="L994" s="711">
        <v>1.3664596273291925</v>
      </c>
      <c r="M994" s="711">
        <v>484</v>
      </c>
      <c r="N994" s="711">
        <v>9</v>
      </c>
      <c r="O994" s="711">
        <v>4356</v>
      </c>
      <c r="P994" s="701">
        <v>0.81987577639751552</v>
      </c>
      <c r="Q994" s="712">
        <v>484</v>
      </c>
    </row>
    <row r="995" spans="1:17" ht="14.4" customHeight="1" x14ac:dyDescent="0.3">
      <c r="A995" s="695" t="s">
        <v>4905</v>
      </c>
      <c r="B995" s="696" t="s">
        <v>4082</v>
      </c>
      <c r="C995" s="696" t="s">
        <v>4114</v>
      </c>
      <c r="D995" s="696" t="s">
        <v>4135</v>
      </c>
      <c r="E995" s="696" t="s">
        <v>4136</v>
      </c>
      <c r="F995" s="711"/>
      <c r="G995" s="711"/>
      <c r="H995" s="711"/>
      <c r="I995" s="711"/>
      <c r="J995" s="711">
        <v>6</v>
      </c>
      <c r="K995" s="711">
        <v>4062</v>
      </c>
      <c r="L995" s="711"/>
      <c r="M995" s="711">
        <v>677</v>
      </c>
      <c r="N995" s="711"/>
      <c r="O995" s="711"/>
      <c r="P995" s="701"/>
      <c r="Q995" s="712"/>
    </row>
    <row r="996" spans="1:17" ht="14.4" customHeight="1" x14ac:dyDescent="0.3">
      <c r="A996" s="695" t="s">
        <v>4905</v>
      </c>
      <c r="B996" s="696" t="s">
        <v>4082</v>
      </c>
      <c r="C996" s="696" t="s">
        <v>4114</v>
      </c>
      <c r="D996" s="696" t="s">
        <v>4139</v>
      </c>
      <c r="E996" s="696" t="s">
        <v>4134</v>
      </c>
      <c r="F996" s="711">
        <v>6</v>
      </c>
      <c r="G996" s="711">
        <v>3300</v>
      </c>
      <c r="H996" s="711">
        <v>1</v>
      </c>
      <c r="I996" s="711">
        <v>550</v>
      </c>
      <c r="J996" s="711">
        <v>7</v>
      </c>
      <c r="K996" s="711">
        <v>3871</v>
      </c>
      <c r="L996" s="711">
        <v>1.1730303030303031</v>
      </c>
      <c r="M996" s="711">
        <v>553</v>
      </c>
      <c r="N996" s="711">
        <v>7</v>
      </c>
      <c r="O996" s="711">
        <v>3891</v>
      </c>
      <c r="P996" s="701">
        <v>1.1790909090909092</v>
      </c>
      <c r="Q996" s="712">
        <v>555.85714285714289</v>
      </c>
    </row>
    <row r="997" spans="1:17" ht="14.4" customHeight="1" x14ac:dyDescent="0.3">
      <c r="A997" s="695" t="s">
        <v>4905</v>
      </c>
      <c r="B997" s="696" t="s">
        <v>4082</v>
      </c>
      <c r="C997" s="696" t="s">
        <v>4114</v>
      </c>
      <c r="D997" s="696" t="s">
        <v>4140</v>
      </c>
      <c r="E997" s="696" t="s">
        <v>4136</v>
      </c>
      <c r="F997" s="711"/>
      <c r="G997" s="711"/>
      <c r="H997" s="711"/>
      <c r="I997" s="711"/>
      <c r="J997" s="711"/>
      <c r="K997" s="711"/>
      <c r="L997" s="711"/>
      <c r="M997" s="711"/>
      <c r="N997" s="711">
        <v>2</v>
      </c>
      <c r="O997" s="711">
        <v>1492</v>
      </c>
      <c r="P997" s="701"/>
      <c r="Q997" s="712">
        <v>746</v>
      </c>
    </row>
    <row r="998" spans="1:17" ht="14.4" customHeight="1" x14ac:dyDescent="0.3">
      <c r="A998" s="695" t="s">
        <v>4905</v>
      </c>
      <c r="B998" s="696" t="s">
        <v>4082</v>
      </c>
      <c r="C998" s="696" t="s">
        <v>4114</v>
      </c>
      <c r="D998" s="696" t="s">
        <v>4232</v>
      </c>
      <c r="E998" s="696" t="s">
        <v>4233</v>
      </c>
      <c r="F998" s="711">
        <v>7</v>
      </c>
      <c r="G998" s="711">
        <v>5600</v>
      </c>
      <c r="H998" s="711">
        <v>1</v>
      </c>
      <c r="I998" s="711">
        <v>800</v>
      </c>
      <c r="J998" s="711">
        <v>14</v>
      </c>
      <c r="K998" s="711">
        <v>11242</v>
      </c>
      <c r="L998" s="711">
        <v>2.0074999999999998</v>
      </c>
      <c r="M998" s="711">
        <v>803</v>
      </c>
      <c r="N998" s="711">
        <v>4</v>
      </c>
      <c r="O998" s="711">
        <v>3224</v>
      </c>
      <c r="P998" s="701">
        <v>0.57571428571428573</v>
      </c>
      <c r="Q998" s="712">
        <v>806</v>
      </c>
    </row>
    <row r="999" spans="1:17" ht="14.4" customHeight="1" x14ac:dyDescent="0.3">
      <c r="A999" s="695" t="s">
        <v>4905</v>
      </c>
      <c r="B999" s="696" t="s">
        <v>4082</v>
      </c>
      <c r="C999" s="696" t="s">
        <v>4114</v>
      </c>
      <c r="D999" s="696" t="s">
        <v>4141</v>
      </c>
      <c r="E999" s="696" t="s">
        <v>4142</v>
      </c>
      <c r="F999" s="711">
        <v>1</v>
      </c>
      <c r="G999" s="711">
        <v>435</v>
      </c>
      <c r="H999" s="711">
        <v>1</v>
      </c>
      <c r="I999" s="711">
        <v>435</v>
      </c>
      <c r="J999" s="711">
        <v>1</v>
      </c>
      <c r="K999" s="711">
        <v>439</v>
      </c>
      <c r="L999" s="711">
        <v>1.0091954022988505</v>
      </c>
      <c r="M999" s="711">
        <v>439</v>
      </c>
      <c r="N999" s="711">
        <v>3</v>
      </c>
      <c r="O999" s="711">
        <v>1324</v>
      </c>
      <c r="P999" s="701">
        <v>3.0436781609195402</v>
      </c>
      <c r="Q999" s="712">
        <v>441.33333333333331</v>
      </c>
    </row>
    <row r="1000" spans="1:17" ht="14.4" customHeight="1" x14ac:dyDescent="0.3">
      <c r="A1000" s="695" t="s">
        <v>4905</v>
      </c>
      <c r="B1000" s="696" t="s">
        <v>4082</v>
      </c>
      <c r="C1000" s="696" t="s">
        <v>4114</v>
      </c>
      <c r="D1000" s="696" t="s">
        <v>4145</v>
      </c>
      <c r="E1000" s="696" t="s">
        <v>4146</v>
      </c>
      <c r="F1000" s="711">
        <v>2</v>
      </c>
      <c r="G1000" s="711">
        <v>412</v>
      </c>
      <c r="H1000" s="711">
        <v>1</v>
      </c>
      <c r="I1000" s="711">
        <v>206</v>
      </c>
      <c r="J1000" s="711">
        <v>2</v>
      </c>
      <c r="K1000" s="711">
        <v>414</v>
      </c>
      <c r="L1000" s="711">
        <v>1.0048543689320388</v>
      </c>
      <c r="M1000" s="711">
        <v>207</v>
      </c>
      <c r="N1000" s="711">
        <v>3</v>
      </c>
      <c r="O1000" s="711">
        <v>623</v>
      </c>
      <c r="P1000" s="701">
        <v>1.5121359223300972</v>
      </c>
      <c r="Q1000" s="712">
        <v>207.66666666666666</v>
      </c>
    </row>
    <row r="1001" spans="1:17" ht="14.4" customHeight="1" x14ac:dyDescent="0.3">
      <c r="A1001" s="695" t="s">
        <v>4905</v>
      </c>
      <c r="B1001" s="696" t="s">
        <v>4082</v>
      </c>
      <c r="C1001" s="696" t="s">
        <v>4114</v>
      </c>
      <c r="D1001" s="696" t="s">
        <v>4149</v>
      </c>
      <c r="E1001" s="696" t="s">
        <v>4150</v>
      </c>
      <c r="F1001" s="711">
        <v>4</v>
      </c>
      <c r="G1001" s="711">
        <v>1304</v>
      </c>
      <c r="H1001" s="711">
        <v>1</v>
      </c>
      <c r="I1001" s="711">
        <v>326</v>
      </c>
      <c r="J1001" s="711">
        <v>7</v>
      </c>
      <c r="K1001" s="711">
        <v>2289</v>
      </c>
      <c r="L1001" s="711">
        <v>1.7553680981595092</v>
      </c>
      <c r="M1001" s="711">
        <v>327</v>
      </c>
      <c r="N1001" s="711">
        <v>1</v>
      </c>
      <c r="O1001" s="711">
        <v>327</v>
      </c>
      <c r="P1001" s="701">
        <v>0.25076687116564417</v>
      </c>
      <c r="Q1001" s="712">
        <v>327</v>
      </c>
    </row>
    <row r="1002" spans="1:17" ht="14.4" customHeight="1" x14ac:dyDescent="0.3">
      <c r="A1002" s="695" t="s">
        <v>4905</v>
      </c>
      <c r="B1002" s="696" t="s">
        <v>4082</v>
      </c>
      <c r="C1002" s="696" t="s">
        <v>4114</v>
      </c>
      <c r="D1002" s="696" t="s">
        <v>4153</v>
      </c>
      <c r="E1002" s="696" t="s">
        <v>4154</v>
      </c>
      <c r="F1002" s="711">
        <v>12</v>
      </c>
      <c r="G1002" s="711">
        <v>972</v>
      </c>
      <c r="H1002" s="711">
        <v>1</v>
      </c>
      <c r="I1002" s="711">
        <v>81</v>
      </c>
      <c r="J1002" s="711">
        <v>19</v>
      </c>
      <c r="K1002" s="711">
        <v>1558</v>
      </c>
      <c r="L1002" s="711">
        <v>1.6028806584362141</v>
      </c>
      <c r="M1002" s="711">
        <v>82</v>
      </c>
      <c r="N1002" s="711">
        <v>13</v>
      </c>
      <c r="O1002" s="711">
        <v>1076</v>
      </c>
      <c r="P1002" s="701">
        <v>1.1069958847736625</v>
      </c>
      <c r="Q1002" s="712">
        <v>82.769230769230774</v>
      </c>
    </row>
    <row r="1003" spans="1:17" ht="14.4" customHeight="1" x14ac:dyDescent="0.3">
      <c r="A1003" s="695" t="s">
        <v>4905</v>
      </c>
      <c r="B1003" s="696" t="s">
        <v>4082</v>
      </c>
      <c r="C1003" s="696" t="s">
        <v>4114</v>
      </c>
      <c r="D1003" s="696" t="s">
        <v>4157</v>
      </c>
      <c r="E1003" s="696" t="s">
        <v>4158</v>
      </c>
      <c r="F1003" s="711"/>
      <c r="G1003" s="711"/>
      <c r="H1003" s="711"/>
      <c r="I1003" s="711"/>
      <c r="J1003" s="711"/>
      <c r="K1003" s="711"/>
      <c r="L1003" s="711"/>
      <c r="M1003" s="711"/>
      <c r="N1003" s="711">
        <v>2</v>
      </c>
      <c r="O1003" s="711">
        <v>1409</v>
      </c>
      <c r="P1003" s="701"/>
      <c r="Q1003" s="712">
        <v>704.5</v>
      </c>
    </row>
    <row r="1004" spans="1:17" ht="14.4" customHeight="1" x14ac:dyDescent="0.3">
      <c r="A1004" s="695" t="s">
        <v>4905</v>
      </c>
      <c r="B1004" s="696" t="s">
        <v>4082</v>
      </c>
      <c r="C1004" s="696" t="s">
        <v>4114</v>
      </c>
      <c r="D1004" s="696" t="s">
        <v>4235</v>
      </c>
      <c r="E1004" s="696" t="s">
        <v>4233</v>
      </c>
      <c r="F1004" s="711">
        <v>3</v>
      </c>
      <c r="G1004" s="711">
        <v>2199</v>
      </c>
      <c r="H1004" s="711">
        <v>1</v>
      </c>
      <c r="I1004" s="711">
        <v>733</v>
      </c>
      <c r="J1004" s="711">
        <v>7</v>
      </c>
      <c r="K1004" s="711">
        <v>5138</v>
      </c>
      <c r="L1004" s="711">
        <v>2.3365165984538425</v>
      </c>
      <c r="M1004" s="711">
        <v>734</v>
      </c>
      <c r="N1004" s="711">
        <v>2</v>
      </c>
      <c r="O1004" s="711">
        <v>1468</v>
      </c>
      <c r="P1004" s="701">
        <v>0.66757617098681221</v>
      </c>
      <c r="Q1004" s="712">
        <v>734</v>
      </c>
    </row>
    <row r="1005" spans="1:17" ht="14.4" customHeight="1" x14ac:dyDescent="0.3">
      <c r="A1005" s="695" t="s">
        <v>4905</v>
      </c>
      <c r="B1005" s="696" t="s">
        <v>4082</v>
      </c>
      <c r="C1005" s="696" t="s">
        <v>4114</v>
      </c>
      <c r="D1005" s="696" t="s">
        <v>4171</v>
      </c>
      <c r="E1005" s="696" t="s">
        <v>4172</v>
      </c>
      <c r="F1005" s="711">
        <v>36</v>
      </c>
      <c r="G1005" s="711">
        <v>10620</v>
      </c>
      <c r="H1005" s="711">
        <v>1</v>
      </c>
      <c r="I1005" s="711">
        <v>295</v>
      </c>
      <c r="J1005" s="711">
        <v>33</v>
      </c>
      <c r="K1005" s="711">
        <v>9768</v>
      </c>
      <c r="L1005" s="711">
        <v>0.91977401129943503</v>
      </c>
      <c r="M1005" s="711">
        <v>296</v>
      </c>
      <c r="N1005" s="711">
        <v>19</v>
      </c>
      <c r="O1005" s="711">
        <v>5632</v>
      </c>
      <c r="P1005" s="701">
        <v>0.53032015065913374</v>
      </c>
      <c r="Q1005" s="712">
        <v>296.42105263157896</v>
      </c>
    </row>
    <row r="1006" spans="1:17" ht="14.4" customHeight="1" x14ac:dyDescent="0.3">
      <c r="A1006" s="695" t="s">
        <v>4905</v>
      </c>
      <c r="B1006" s="696" t="s">
        <v>4082</v>
      </c>
      <c r="C1006" s="696" t="s">
        <v>4114</v>
      </c>
      <c r="D1006" s="696" t="s">
        <v>4238</v>
      </c>
      <c r="E1006" s="696" t="s">
        <v>4146</v>
      </c>
      <c r="F1006" s="711">
        <v>1</v>
      </c>
      <c r="G1006" s="711">
        <v>172</v>
      </c>
      <c r="H1006" s="711">
        <v>1</v>
      </c>
      <c r="I1006" s="711">
        <v>172</v>
      </c>
      <c r="J1006" s="711">
        <v>1</v>
      </c>
      <c r="K1006" s="711">
        <v>172</v>
      </c>
      <c r="L1006" s="711">
        <v>1</v>
      </c>
      <c r="M1006" s="711">
        <v>172</v>
      </c>
      <c r="N1006" s="711">
        <v>1</v>
      </c>
      <c r="O1006" s="711">
        <v>172</v>
      </c>
      <c r="P1006" s="701">
        <v>1</v>
      </c>
      <c r="Q1006" s="712">
        <v>172</v>
      </c>
    </row>
    <row r="1007" spans="1:17" ht="14.4" customHeight="1" x14ac:dyDescent="0.3">
      <c r="A1007" s="695" t="s">
        <v>4905</v>
      </c>
      <c r="B1007" s="696" t="s">
        <v>4082</v>
      </c>
      <c r="C1007" s="696" t="s">
        <v>4114</v>
      </c>
      <c r="D1007" s="696" t="s">
        <v>4175</v>
      </c>
      <c r="E1007" s="696" t="s">
        <v>4172</v>
      </c>
      <c r="F1007" s="711"/>
      <c r="G1007" s="711"/>
      <c r="H1007" s="711"/>
      <c r="I1007" s="711"/>
      <c r="J1007" s="711">
        <v>8</v>
      </c>
      <c r="K1007" s="711">
        <v>2920</v>
      </c>
      <c r="L1007" s="711"/>
      <c r="M1007" s="711">
        <v>365</v>
      </c>
      <c r="N1007" s="711">
        <v>7</v>
      </c>
      <c r="O1007" s="711">
        <v>2555</v>
      </c>
      <c r="P1007" s="701"/>
      <c r="Q1007" s="712">
        <v>365</v>
      </c>
    </row>
    <row r="1008" spans="1:17" ht="14.4" customHeight="1" x14ac:dyDescent="0.3">
      <c r="A1008" s="695" t="s">
        <v>4905</v>
      </c>
      <c r="B1008" s="696" t="s">
        <v>4082</v>
      </c>
      <c r="C1008" s="696" t="s">
        <v>4114</v>
      </c>
      <c r="D1008" s="696" t="s">
        <v>4186</v>
      </c>
      <c r="E1008" s="696" t="s">
        <v>4142</v>
      </c>
      <c r="F1008" s="711"/>
      <c r="G1008" s="711"/>
      <c r="H1008" s="711"/>
      <c r="I1008" s="711"/>
      <c r="J1008" s="711">
        <v>1</v>
      </c>
      <c r="K1008" s="711">
        <v>335</v>
      </c>
      <c r="L1008" s="711"/>
      <c r="M1008" s="711">
        <v>335</v>
      </c>
      <c r="N1008" s="711">
        <v>1</v>
      </c>
      <c r="O1008" s="711">
        <v>335</v>
      </c>
      <c r="P1008" s="701"/>
      <c r="Q1008" s="712">
        <v>335</v>
      </c>
    </row>
    <row r="1009" spans="1:17" ht="14.4" customHeight="1" x14ac:dyDescent="0.3">
      <c r="A1009" s="695" t="s">
        <v>4905</v>
      </c>
      <c r="B1009" s="696" t="s">
        <v>4082</v>
      </c>
      <c r="C1009" s="696" t="s">
        <v>4114</v>
      </c>
      <c r="D1009" s="696" t="s">
        <v>4190</v>
      </c>
      <c r="E1009" s="696" t="s">
        <v>4191</v>
      </c>
      <c r="F1009" s="711"/>
      <c r="G1009" s="711"/>
      <c r="H1009" s="711"/>
      <c r="I1009" s="711"/>
      <c r="J1009" s="711"/>
      <c r="K1009" s="711"/>
      <c r="L1009" s="711"/>
      <c r="M1009" s="711"/>
      <c r="N1009" s="711">
        <v>1</v>
      </c>
      <c r="O1009" s="711">
        <v>163</v>
      </c>
      <c r="P1009" s="701"/>
      <c r="Q1009" s="712">
        <v>163</v>
      </c>
    </row>
    <row r="1010" spans="1:17" ht="14.4" customHeight="1" x14ac:dyDescent="0.3">
      <c r="A1010" s="695" t="s">
        <v>4906</v>
      </c>
      <c r="B1010" s="696" t="s">
        <v>4082</v>
      </c>
      <c r="C1010" s="696" t="s">
        <v>4103</v>
      </c>
      <c r="D1010" s="696" t="s">
        <v>4228</v>
      </c>
      <c r="E1010" s="696" t="s">
        <v>4229</v>
      </c>
      <c r="F1010" s="711"/>
      <c r="G1010" s="711"/>
      <c r="H1010" s="711"/>
      <c r="I1010" s="711"/>
      <c r="J1010" s="711">
        <v>2</v>
      </c>
      <c r="K1010" s="711">
        <v>1809.5</v>
      </c>
      <c r="L1010" s="711"/>
      <c r="M1010" s="711">
        <v>904.75</v>
      </c>
      <c r="N1010" s="711">
        <v>1</v>
      </c>
      <c r="O1010" s="711">
        <v>904.75</v>
      </c>
      <c r="P1010" s="701"/>
      <c r="Q1010" s="712">
        <v>904.75</v>
      </c>
    </row>
    <row r="1011" spans="1:17" ht="14.4" customHeight="1" x14ac:dyDescent="0.3">
      <c r="A1011" s="695" t="s">
        <v>4906</v>
      </c>
      <c r="B1011" s="696" t="s">
        <v>4082</v>
      </c>
      <c r="C1011" s="696" t="s">
        <v>4114</v>
      </c>
      <c r="D1011" s="696" t="s">
        <v>4119</v>
      </c>
      <c r="E1011" s="696" t="s">
        <v>4120</v>
      </c>
      <c r="F1011" s="711">
        <v>1</v>
      </c>
      <c r="G1011" s="711">
        <v>34</v>
      </c>
      <c r="H1011" s="711">
        <v>1</v>
      </c>
      <c r="I1011" s="711">
        <v>34</v>
      </c>
      <c r="J1011" s="711">
        <v>1</v>
      </c>
      <c r="K1011" s="711">
        <v>34</v>
      </c>
      <c r="L1011" s="711">
        <v>1</v>
      </c>
      <c r="M1011" s="711">
        <v>34</v>
      </c>
      <c r="N1011" s="711"/>
      <c r="O1011" s="711"/>
      <c r="P1011" s="701"/>
      <c r="Q1011" s="712"/>
    </row>
    <row r="1012" spans="1:17" ht="14.4" customHeight="1" x14ac:dyDescent="0.3">
      <c r="A1012" s="695" t="s">
        <v>4906</v>
      </c>
      <c r="B1012" s="696" t="s">
        <v>4082</v>
      </c>
      <c r="C1012" s="696" t="s">
        <v>4114</v>
      </c>
      <c r="D1012" s="696" t="s">
        <v>4125</v>
      </c>
      <c r="E1012" s="696" t="s">
        <v>4078</v>
      </c>
      <c r="F1012" s="711">
        <v>3</v>
      </c>
      <c r="G1012" s="711">
        <v>468</v>
      </c>
      <c r="H1012" s="711">
        <v>1</v>
      </c>
      <c r="I1012" s="711">
        <v>156</v>
      </c>
      <c r="J1012" s="711"/>
      <c r="K1012" s="711"/>
      <c r="L1012" s="711"/>
      <c r="M1012" s="711"/>
      <c r="N1012" s="711"/>
      <c r="O1012" s="711"/>
      <c r="P1012" s="701"/>
      <c r="Q1012" s="712"/>
    </row>
    <row r="1013" spans="1:17" ht="14.4" customHeight="1" x14ac:dyDescent="0.3">
      <c r="A1013" s="695" t="s">
        <v>4906</v>
      </c>
      <c r="B1013" s="696" t="s">
        <v>4082</v>
      </c>
      <c r="C1013" s="696" t="s">
        <v>4114</v>
      </c>
      <c r="D1013" s="696" t="s">
        <v>4126</v>
      </c>
      <c r="E1013" s="696" t="s">
        <v>4078</v>
      </c>
      <c r="F1013" s="711">
        <v>6</v>
      </c>
      <c r="G1013" s="711">
        <v>468</v>
      </c>
      <c r="H1013" s="711">
        <v>1</v>
      </c>
      <c r="I1013" s="711">
        <v>78</v>
      </c>
      <c r="J1013" s="711"/>
      <c r="K1013" s="711"/>
      <c r="L1013" s="711"/>
      <c r="M1013" s="711"/>
      <c r="N1013" s="711"/>
      <c r="O1013" s="711"/>
      <c r="P1013" s="701"/>
      <c r="Q1013" s="712"/>
    </row>
    <row r="1014" spans="1:17" ht="14.4" customHeight="1" x14ac:dyDescent="0.3">
      <c r="A1014" s="695" t="s">
        <v>4906</v>
      </c>
      <c r="B1014" s="696" t="s">
        <v>4082</v>
      </c>
      <c r="C1014" s="696" t="s">
        <v>4114</v>
      </c>
      <c r="D1014" s="696" t="s">
        <v>4127</v>
      </c>
      <c r="E1014" s="696" t="s">
        <v>4128</v>
      </c>
      <c r="F1014" s="711">
        <v>174</v>
      </c>
      <c r="G1014" s="711">
        <v>40194</v>
      </c>
      <c r="H1014" s="711">
        <v>1</v>
      </c>
      <c r="I1014" s="711">
        <v>231</v>
      </c>
      <c r="J1014" s="711">
        <v>147</v>
      </c>
      <c r="K1014" s="711">
        <v>34104</v>
      </c>
      <c r="L1014" s="711">
        <v>0.84848484848484851</v>
      </c>
      <c r="M1014" s="711">
        <v>232</v>
      </c>
      <c r="N1014" s="711">
        <v>225</v>
      </c>
      <c r="O1014" s="711">
        <v>52414</v>
      </c>
      <c r="P1014" s="701">
        <v>1.3040254764392696</v>
      </c>
      <c r="Q1014" s="712">
        <v>232.95111111111112</v>
      </c>
    </row>
    <row r="1015" spans="1:17" ht="14.4" customHeight="1" x14ac:dyDescent="0.3">
      <c r="A1015" s="695" t="s">
        <v>4906</v>
      </c>
      <c r="B1015" s="696" t="s">
        <v>4082</v>
      </c>
      <c r="C1015" s="696" t="s">
        <v>4114</v>
      </c>
      <c r="D1015" s="696" t="s">
        <v>4129</v>
      </c>
      <c r="E1015" s="696" t="s">
        <v>4130</v>
      </c>
      <c r="F1015" s="711">
        <v>151</v>
      </c>
      <c r="G1015" s="711">
        <v>17516</v>
      </c>
      <c r="H1015" s="711">
        <v>1</v>
      </c>
      <c r="I1015" s="711">
        <v>116</v>
      </c>
      <c r="J1015" s="711">
        <v>132</v>
      </c>
      <c r="K1015" s="711">
        <v>15312</v>
      </c>
      <c r="L1015" s="711">
        <v>0.8741721854304636</v>
      </c>
      <c r="M1015" s="711">
        <v>116</v>
      </c>
      <c r="N1015" s="711">
        <v>128</v>
      </c>
      <c r="O1015" s="711">
        <v>14974</v>
      </c>
      <c r="P1015" s="701">
        <v>0.85487554236126972</v>
      </c>
      <c r="Q1015" s="712">
        <v>116.984375</v>
      </c>
    </row>
    <row r="1016" spans="1:17" ht="14.4" customHeight="1" x14ac:dyDescent="0.3">
      <c r="A1016" s="695" t="s">
        <v>4906</v>
      </c>
      <c r="B1016" s="696" t="s">
        <v>4082</v>
      </c>
      <c r="C1016" s="696" t="s">
        <v>4114</v>
      </c>
      <c r="D1016" s="696" t="s">
        <v>4131</v>
      </c>
      <c r="E1016" s="696" t="s">
        <v>4132</v>
      </c>
      <c r="F1016" s="711">
        <v>1</v>
      </c>
      <c r="G1016" s="711">
        <v>319</v>
      </c>
      <c r="H1016" s="711">
        <v>1</v>
      </c>
      <c r="I1016" s="711">
        <v>319</v>
      </c>
      <c r="J1016" s="711">
        <v>1</v>
      </c>
      <c r="K1016" s="711">
        <v>320</v>
      </c>
      <c r="L1016" s="711">
        <v>1.0031347962382444</v>
      </c>
      <c r="M1016" s="711">
        <v>320</v>
      </c>
      <c r="N1016" s="711"/>
      <c r="O1016" s="711"/>
      <c r="P1016" s="701"/>
      <c r="Q1016" s="712"/>
    </row>
    <row r="1017" spans="1:17" ht="14.4" customHeight="1" x14ac:dyDescent="0.3">
      <c r="A1017" s="695" t="s">
        <v>4906</v>
      </c>
      <c r="B1017" s="696" t="s">
        <v>4082</v>
      </c>
      <c r="C1017" s="696" t="s">
        <v>4114</v>
      </c>
      <c r="D1017" s="696" t="s">
        <v>4133</v>
      </c>
      <c r="E1017" s="696" t="s">
        <v>4134</v>
      </c>
      <c r="F1017" s="711">
        <v>5</v>
      </c>
      <c r="G1017" s="711">
        <v>2415</v>
      </c>
      <c r="H1017" s="711">
        <v>1</v>
      </c>
      <c r="I1017" s="711">
        <v>483</v>
      </c>
      <c r="J1017" s="711">
        <v>6</v>
      </c>
      <c r="K1017" s="711">
        <v>2904</v>
      </c>
      <c r="L1017" s="711">
        <v>1.2024844720496894</v>
      </c>
      <c r="M1017" s="711">
        <v>484</v>
      </c>
      <c r="N1017" s="711">
        <v>8</v>
      </c>
      <c r="O1017" s="711">
        <v>3874</v>
      </c>
      <c r="P1017" s="701">
        <v>1.6041407867494824</v>
      </c>
      <c r="Q1017" s="712">
        <v>484.25</v>
      </c>
    </row>
    <row r="1018" spans="1:17" ht="14.4" customHeight="1" x14ac:dyDescent="0.3">
      <c r="A1018" s="695" t="s">
        <v>4906</v>
      </c>
      <c r="B1018" s="696" t="s">
        <v>4082</v>
      </c>
      <c r="C1018" s="696" t="s">
        <v>4114</v>
      </c>
      <c r="D1018" s="696" t="s">
        <v>4135</v>
      </c>
      <c r="E1018" s="696" t="s">
        <v>4136</v>
      </c>
      <c r="F1018" s="711">
        <v>16</v>
      </c>
      <c r="G1018" s="711">
        <v>10816</v>
      </c>
      <c r="H1018" s="711">
        <v>1</v>
      </c>
      <c r="I1018" s="711">
        <v>676</v>
      </c>
      <c r="J1018" s="711">
        <v>7</v>
      </c>
      <c r="K1018" s="711">
        <v>4739</v>
      </c>
      <c r="L1018" s="711">
        <v>0.43814718934911245</v>
      </c>
      <c r="M1018" s="711">
        <v>677</v>
      </c>
      <c r="N1018" s="711">
        <v>7</v>
      </c>
      <c r="O1018" s="711">
        <v>4739</v>
      </c>
      <c r="P1018" s="701">
        <v>0.43814718934911245</v>
      </c>
      <c r="Q1018" s="712">
        <v>677</v>
      </c>
    </row>
    <row r="1019" spans="1:17" ht="14.4" customHeight="1" x14ac:dyDescent="0.3">
      <c r="A1019" s="695" t="s">
        <v>4906</v>
      </c>
      <c r="B1019" s="696" t="s">
        <v>4082</v>
      </c>
      <c r="C1019" s="696" t="s">
        <v>4114</v>
      </c>
      <c r="D1019" s="696" t="s">
        <v>4139</v>
      </c>
      <c r="E1019" s="696" t="s">
        <v>4134</v>
      </c>
      <c r="F1019" s="711"/>
      <c r="G1019" s="711"/>
      <c r="H1019" s="711"/>
      <c r="I1019" s="711"/>
      <c r="J1019" s="711">
        <v>4</v>
      </c>
      <c r="K1019" s="711">
        <v>2212</v>
      </c>
      <c r="L1019" s="711"/>
      <c r="M1019" s="711">
        <v>553</v>
      </c>
      <c r="N1019" s="711">
        <v>5</v>
      </c>
      <c r="O1019" s="711">
        <v>2777</v>
      </c>
      <c r="P1019" s="701"/>
      <c r="Q1019" s="712">
        <v>555.4</v>
      </c>
    </row>
    <row r="1020" spans="1:17" ht="14.4" customHeight="1" x14ac:dyDescent="0.3">
      <c r="A1020" s="695" t="s">
        <v>4906</v>
      </c>
      <c r="B1020" s="696" t="s">
        <v>4082</v>
      </c>
      <c r="C1020" s="696" t="s">
        <v>4114</v>
      </c>
      <c r="D1020" s="696" t="s">
        <v>4232</v>
      </c>
      <c r="E1020" s="696" t="s">
        <v>4233</v>
      </c>
      <c r="F1020" s="711">
        <v>196</v>
      </c>
      <c r="G1020" s="711">
        <v>156800</v>
      </c>
      <c r="H1020" s="711">
        <v>1</v>
      </c>
      <c r="I1020" s="711">
        <v>800</v>
      </c>
      <c r="J1020" s="711">
        <v>218</v>
      </c>
      <c r="K1020" s="711">
        <v>175054</v>
      </c>
      <c r="L1020" s="711">
        <v>1.1164158163265305</v>
      </c>
      <c r="M1020" s="711">
        <v>803</v>
      </c>
      <c r="N1020" s="711">
        <v>297</v>
      </c>
      <c r="O1020" s="711">
        <v>238975</v>
      </c>
      <c r="P1020" s="701">
        <v>1.5240752551020409</v>
      </c>
      <c r="Q1020" s="712">
        <v>804.62962962962968</v>
      </c>
    </row>
    <row r="1021" spans="1:17" ht="14.4" customHeight="1" x14ac:dyDescent="0.3">
      <c r="A1021" s="695" t="s">
        <v>4906</v>
      </c>
      <c r="B1021" s="696" t="s">
        <v>4082</v>
      </c>
      <c r="C1021" s="696" t="s">
        <v>4114</v>
      </c>
      <c r="D1021" s="696" t="s">
        <v>4145</v>
      </c>
      <c r="E1021" s="696" t="s">
        <v>4146</v>
      </c>
      <c r="F1021" s="711">
        <v>35</v>
      </c>
      <c r="G1021" s="711">
        <v>7210</v>
      </c>
      <c r="H1021" s="711">
        <v>1</v>
      </c>
      <c r="I1021" s="711">
        <v>206</v>
      </c>
      <c r="J1021" s="711">
        <v>60</v>
      </c>
      <c r="K1021" s="711">
        <v>12420</v>
      </c>
      <c r="L1021" s="711">
        <v>1.7226074895977808</v>
      </c>
      <c r="M1021" s="711">
        <v>207</v>
      </c>
      <c r="N1021" s="711">
        <v>75</v>
      </c>
      <c r="O1021" s="711">
        <v>15597</v>
      </c>
      <c r="P1021" s="701">
        <v>2.1632454923717059</v>
      </c>
      <c r="Q1021" s="712">
        <v>207.96</v>
      </c>
    </row>
    <row r="1022" spans="1:17" ht="14.4" customHeight="1" x14ac:dyDescent="0.3">
      <c r="A1022" s="695" t="s">
        <v>4906</v>
      </c>
      <c r="B1022" s="696" t="s">
        <v>4082</v>
      </c>
      <c r="C1022" s="696" t="s">
        <v>4114</v>
      </c>
      <c r="D1022" s="696" t="s">
        <v>4149</v>
      </c>
      <c r="E1022" s="696" t="s">
        <v>4150</v>
      </c>
      <c r="F1022" s="711"/>
      <c r="G1022" s="711"/>
      <c r="H1022" s="711"/>
      <c r="I1022" s="711"/>
      <c r="J1022" s="711">
        <v>1</v>
      </c>
      <c r="K1022" s="711">
        <v>327</v>
      </c>
      <c r="L1022" s="711"/>
      <c r="M1022" s="711">
        <v>327</v>
      </c>
      <c r="N1022" s="711">
        <v>1</v>
      </c>
      <c r="O1022" s="711">
        <v>330</v>
      </c>
      <c r="P1022" s="701"/>
      <c r="Q1022" s="712">
        <v>330</v>
      </c>
    </row>
    <row r="1023" spans="1:17" ht="14.4" customHeight="1" x14ac:dyDescent="0.3">
      <c r="A1023" s="695" t="s">
        <v>4906</v>
      </c>
      <c r="B1023" s="696" t="s">
        <v>4082</v>
      </c>
      <c r="C1023" s="696" t="s">
        <v>4114</v>
      </c>
      <c r="D1023" s="696" t="s">
        <v>4153</v>
      </c>
      <c r="E1023" s="696" t="s">
        <v>4154</v>
      </c>
      <c r="F1023" s="711">
        <v>556</v>
      </c>
      <c r="G1023" s="711">
        <v>45036</v>
      </c>
      <c r="H1023" s="711">
        <v>1</v>
      </c>
      <c r="I1023" s="711">
        <v>81</v>
      </c>
      <c r="J1023" s="711">
        <v>389</v>
      </c>
      <c r="K1023" s="711">
        <v>31898</v>
      </c>
      <c r="L1023" s="711">
        <v>0.70827782218669511</v>
      </c>
      <c r="M1023" s="711">
        <v>82</v>
      </c>
      <c r="N1023" s="711">
        <v>494</v>
      </c>
      <c r="O1023" s="711">
        <v>40966</v>
      </c>
      <c r="P1023" s="701">
        <v>0.90962785327293716</v>
      </c>
      <c r="Q1023" s="712">
        <v>82.927125506072869</v>
      </c>
    </row>
    <row r="1024" spans="1:17" ht="14.4" customHeight="1" x14ac:dyDescent="0.3">
      <c r="A1024" s="695" t="s">
        <v>4906</v>
      </c>
      <c r="B1024" s="696" t="s">
        <v>4082</v>
      </c>
      <c r="C1024" s="696" t="s">
        <v>4114</v>
      </c>
      <c r="D1024" s="696" t="s">
        <v>4157</v>
      </c>
      <c r="E1024" s="696" t="s">
        <v>4158</v>
      </c>
      <c r="F1024" s="711">
        <v>1</v>
      </c>
      <c r="G1024" s="711">
        <v>852</v>
      </c>
      <c r="H1024" s="711">
        <v>1</v>
      </c>
      <c r="I1024" s="711">
        <v>852</v>
      </c>
      <c r="J1024" s="711"/>
      <c r="K1024" s="711"/>
      <c r="L1024" s="711"/>
      <c r="M1024" s="711"/>
      <c r="N1024" s="711"/>
      <c r="O1024" s="711"/>
      <c r="P1024" s="701"/>
      <c r="Q1024" s="712"/>
    </row>
    <row r="1025" spans="1:17" ht="14.4" customHeight="1" x14ac:dyDescent="0.3">
      <c r="A1025" s="695" t="s">
        <v>4906</v>
      </c>
      <c r="B1025" s="696" t="s">
        <v>4082</v>
      </c>
      <c r="C1025" s="696" t="s">
        <v>4114</v>
      </c>
      <c r="D1025" s="696" t="s">
        <v>4159</v>
      </c>
      <c r="E1025" s="696" t="s">
        <v>4160</v>
      </c>
      <c r="F1025" s="711">
        <v>1</v>
      </c>
      <c r="G1025" s="711">
        <v>0</v>
      </c>
      <c r="H1025" s="711"/>
      <c r="I1025" s="711">
        <v>0</v>
      </c>
      <c r="J1025" s="711"/>
      <c r="K1025" s="711"/>
      <c r="L1025" s="711"/>
      <c r="M1025" s="711"/>
      <c r="N1025" s="711"/>
      <c r="O1025" s="711"/>
      <c r="P1025" s="701"/>
      <c r="Q1025" s="712"/>
    </row>
    <row r="1026" spans="1:17" ht="14.4" customHeight="1" x14ac:dyDescent="0.3">
      <c r="A1026" s="695" t="s">
        <v>4906</v>
      </c>
      <c r="B1026" s="696" t="s">
        <v>4082</v>
      </c>
      <c r="C1026" s="696" t="s">
        <v>4114</v>
      </c>
      <c r="D1026" s="696" t="s">
        <v>4234</v>
      </c>
      <c r="E1026" s="696" t="s">
        <v>4233</v>
      </c>
      <c r="F1026" s="711">
        <v>20</v>
      </c>
      <c r="G1026" s="711">
        <v>18520</v>
      </c>
      <c r="H1026" s="711">
        <v>1</v>
      </c>
      <c r="I1026" s="711">
        <v>926</v>
      </c>
      <c r="J1026" s="711">
        <v>27</v>
      </c>
      <c r="K1026" s="711">
        <v>25083</v>
      </c>
      <c r="L1026" s="711">
        <v>1.3543736501079913</v>
      </c>
      <c r="M1026" s="711">
        <v>929</v>
      </c>
      <c r="N1026" s="711">
        <v>10</v>
      </c>
      <c r="O1026" s="711">
        <v>9330</v>
      </c>
      <c r="P1026" s="701">
        <v>0.50377969762419006</v>
      </c>
      <c r="Q1026" s="712">
        <v>933</v>
      </c>
    </row>
    <row r="1027" spans="1:17" ht="14.4" customHeight="1" x14ac:dyDescent="0.3">
      <c r="A1027" s="695" t="s">
        <v>4906</v>
      </c>
      <c r="B1027" s="696" t="s">
        <v>4082</v>
      </c>
      <c r="C1027" s="696" t="s">
        <v>4114</v>
      </c>
      <c r="D1027" s="696" t="s">
        <v>4235</v>
      </c>
      <c r="E1027" s="696" t="s">
        <v>4233</v>
      </c>
      <c r="F1027" s="711">
        <v>340</v>
      </c>
      <c r="G1027" s="711">
        <v>249220</v>
      </c>
      <c r="H1027" s="711">
        <v>1</v>
      </c>
      <c r="I1027" s="711">
        <v>733</v>
      </c>
      <c r="J1027" s="711">
        <v>140</v>
      </c>
      <c r="K1027" s="711">
        <v>102760</v>
      </c>
      <c r="L1027" s="711">
        <v>0.41232645855067812</v>
      </c>
      <c r="M1027" s="711">
        <v>734</v>
      </c>
      <c r="N1027" s="711">
        <v>189</v>
      </c>
      <c r="O1027" s="711">
        <v>138940</v>
      </c>
      <c r="P1027" s="701">
        <v>0.55749939812214111</v>
      </c>
      <c r="Q1027" s="712">
        <v>735.13227513227514</v>
      </c>
    </row>
    <row r="1028" spans="1:17" ht="14.4" customHeight="1" x14ac:dyDescent="0.3">
      <c r="A1028" s="695" t="s">
        <v>4906</v>
      </c>
      <c r="B1028" s="696" t="s">
        <v>4082</v>
      </c>
      <c r="C1028" s="696" t="s">
        <v>4114</v>
      </c>
      <c r="D1028" s="696" t="s">
        <v>4236</v>
      </c>
      <c r="E1028" s="696" t="s">
        <v>4237</v>
      </c>
      <c r="F1028" s="711">
        <v>9</v>
      </c>
      <c r="G1028" s="711">
        <v>4707</v>
      </c>
      <c r="H1028" s="711">
        <v>1</v>
      </c>
      <c r="I1028" s="711">
        <v>523</v>
      </c>
      <c r="J1028" s="711">
        <v>8</v>
      </c>
      <c r="K1028" s="711">
        <v>4192</v>
      </c>
      <c r="L1028" s="711">
        <v>0.89058848523475675</v>
      </c>
      <c r="M1028" s="711">
        <v>524</v>
      </c>
      <c r="N1028" s="711"/>
      <c r="O1028" s="711"/>
      <c r="P1028" s="701"/>
      <c r="Q1028" s="712"/>
    </row>
    <row r="1029" spans="1:17" ht="14.4" customHeight="1" x14ac:dyDescent="0.3">
      <c r="A1029" s="695" t="s">
        <v>4906</v>
      </c>
      <c r="B1029" s="696" t="s">
        <v>4082</v>
      </c>
      <c r="C1029" s="696" t="s">
        <v>4114</v>
      </c>
      <c r="D1029" s="696" t="s">
        <v>4171</v>
      </c>
      <c r="E1029" s="696" t="s">
        <v>4172</v>
      </c>
      <c r="F1029" s="711">
        <v>21</v>
      </c>
      <c r="G1029" s="711">
        <v>6195</v>
      </c>
      <c r="H1029" s="711">
        <v>1</v>
      </c>
      <c r="I1029" s="711">
        <v>295</v>
      </c>
      <c r="J1029" s="711">
        <v>11</v>
      </c>
      <c r="K1029" s="711">
        <v>3256</v>
      </c>
      <c r="L1029" s="711">
        <v>0.52558514931396283</v>
      </c>
      <c r="M1029" s="711">
        <v>296</v>
      </c>
      <c r="N1029" s="711">
        <v>15</v>
      </c>
      <c r="O1029" s="711">
        <v>4456</v>
      </c>
      <c r="P1029" s="701">
        <v>0.71928974979822435</v>
      </c>
      <c r="Q1029" s="712">
        <v>297.06666666666666</v>
      </c>
    </row>
    <row r="1030" spans="1:17" ht="14.4" customHeight="1" x14ac:dyDescent="0.3">
      <c r="A1030" s="695" t="s">
        <v>4906</v>
      </c>
      <c r="B1030" s="696" t="s">
        <v>4082</v>
      </c>
      <c r="C1030" s="696" t="s">
        <v>4114</v>
      </c>
      <c r="D1030" s="696" t="s">
        <v>4238</v>
      </c>
      <c r="E1030" s="696" t="s">
        <v>4146</v>
      </c>
      <c r="F1030" s="711">
        <v>106</v>
      </c>
      <c r="G1030" s="711">
        <v>18232</v>
      </c>
      <c r="H1030" s="711">
        <v>1</v>
      </c>
      <c r="I1030" s="711">
        <v>172</v>
      </c>
      <c r="J1030" s="711">
        <v>46</v>
      </c>
      <c r="K1030" s="711">
        <v>7912</v>
      </c>
      <c r="L1030" s="711">
        <v>0.43396226415094341</v>
      </c>
      <c r="M1030" s="711">
        <v>172</v>
      </c>
      <c r="N1030" s="711">
        <v>49</v>
      </c>
      <c r="O1030" s="711">
        <v>8488</v>
      </c>
      <c r="P1030" s="701">
        <v>0.46555506801228608</v>
      </c>
      <c r="Q1030" s="712">
        <v>173.22448979591837</v>
      </c>
    </row>
    <row r="1031" spans="1:17" ht="14.4" customHeight="1" x14ac:dyDescent="0.3">
      <c r="A1031" s="695" t="s">
        <v>4906</v>
      </c>
      <c r="B1031" s="696" t="s">
        <v>4082</v>
      </c>
      <c r="C1031" s="696" t="s">
        <v>4114</v>
      </c>
      <c r="D1031" s="696" t="s">
        <v>4175</v>
      </c>
      <c r="E1031" s="696" t="s">
        <v>4172</v>
      </c>
      <c r="F1031" s="711">
        <v>2</v>
      </c>
      <c r="G1031" s="711">
        <v>724</v>
      </c>
      <c r="H1031" s="711">
        <v>1</v>
      </c>
      <c r="I1031" s="711">
        <v>362</v>
      </c>
      <c r="J1031" s="711">
        <v>10</v>
      </c>
      <c r="K1031" s="711">
        <v>3650</v>
      </c>
      <c r="L1031" s="711">
        <v>5.041436464088398</v>
      </c>
      <c r="M1031" s="711">
        <v>365</v>
      </c>
      <c r="N1031" s="711">
        <v>10</v>
      </c>
      <c r="O1031" s="711">
        <v>3678</v>
      </c>
      <c r="P1031" s="701">
        <v>5.0801104972375688</v>
      </c>
      <c r="Q1031" s="712">
        <v>367.8</v>
      </c>
    </row>
    <row r="1032" spans="1:17" ht="14.4" customHeight="1" x14ac:dyDescent="0.3">
      <c r="A1032" s="695" t="s">
        <v>4906</v>
      </c>
      <c r="B1032" s="696" t="s">
        <v>4082</v>
      </c>
      <c r="C1032" s="696" t="s">
        <v>4114</v>
      </c>
      <c r="D1032" s="696" t="s">
        <v>4178</v>
      </c>
      <c r="E1032" s="696" t="s">
        <v>4179</v>
      </c>
      <c r="F1032" s="711"/>
      <c r="G1032" s="711"/>
      <c r="H1032" s="711"/>
      <c r="I1032" s="711"/>
      <c r="J1032" s="711">
        <v>1</v>
      </c>
      <c r="K1032" s="711">
        <v>635</v>
      </c>
      <c r="L1032" s="711"/>
      <c r="M1032" s="711">
        <v>635</v>
      </c>
      <c r="N1032" s="711"/>
      <c r="O1032" s="711"/>
      <c r="P1032" s="701"/>
      <c r="Q1032" s="712"/>
    </row>
    <row r="1033" spans="1:17" ht="14.4" customHeight="1" x14ac:dyDescent="0.3">
      <c r="A1033" s="695" t="s">
        <v>4906</v>
      </c>
      <c r="B1033" s="696" t="s">
        <v>4082</v>
      </c>
      <c r="C1033" s="696" t="s">
        <v>4114</v>
      </c>
      <c r="D1033" s="696" t="s">
        <v>4257</v>
      </c>
      <c r="E1033" s="696" t="s">
        <v>4258</v>
      </c>
      <c r="F1033" s="711">
        <v>2</v>
      </c>
      <c r="G1033" s="711">
        <v>200</v>
      </c>
      <c r="H1033" s="711">
        <v>1</v>
      </c>
      <c r="I1033" s="711">
        <v>100</v>
      </c>
      <c r="J1033" s="711"/>
      <c r="K1033" s="711"/>
      <c r="L1033" s="711"/>
      <c r="M1033" s="711"/>
      <c r="N1033" s="711"/>
      <c r="O1033" s="711"/>
      <c r="P1033" s="701"/>
      <c r="Q1033" s="712"/>
    </row>
    <row r="1034" spans="1:17" ht="14.4" customHeight="1" x14ac:dyDescent="0.3">
      <c r="A1034" s="695" t="s">
        <v>4906</v>
      </c>
      <c r="B1034" s="696" t="s">
        <v>4082</v>
      </c>
      <c r="C1034" s="696" t="s">
        <v>4114</v>
      </c>
      <c r="D1034" s="696" t="s">
        <v>4249</v>
      </c>
      <c r="E1034" s="696" t="s">
        <v>4233</v>
      </c>
      <c r="F1034" s="711">
        <v>3</v>
      </c>
      <c r="G1034" s="711">
        <v>2577</v>
      </c>
      <c r="H1034" s="711">
        <v>1</v>
      </c>
      <c r="I1034" s="711">
        <v>859</v>
      </c>
      <c r="J1034" s="711">
        <v>4</v>
      </c>
      <c r="K1034" s="711">
        <v>3440</v>
      </c>
      <c r="L1034" s="711">
        <v>1.3348855258051999</v>
      </c>
      <c r="M1034" s="711">
        <v>860</v>
      </c>
      <c r="N1034" s="711"/>
      <c r="O1034" s="711"/>
      <c r="P1034" s="701"/>
      <c r="Q1034" s="712"/>
    </row>
    <row r="1035" spans="1:17" ht="14.4" customHeight="1" x14ac:dyDescent="0.3">
      <c r="A1035" s="695" t="s">
        <v>4907</v>
      </c>
      <c r="B1035" s="696" t="s">
        <v>4082</v>
      </c>
      <c r="C1035" s="696" t="s">
        <v>4083</v>
      </c>
      <c r="D1035" s="696" t="s">
        <v>4088</v>
      </c>
      <c r="E1035" s="696" t="s">
        <v>4089</v>
      </c>
      <c r="F1035" s="711"/>
      <c r="G1035" s="711"/>
      <c r="H1035" s="711"/>
      <c r="I1035" s="711"/>
      <c r="J1035" s="711"/>
      <c r="K1035" s="711"/>
      <c r="L1035" s="711"/>
      <c r="M1035" s="711"/>
      <c r="N1035" s="711">
        <v>1</v>
      </c>
      <c r="O1035" s="711">
        <v>265.10000000000002</v>
      </c>
      <c r="P1035" s="701"/>
      <c r="Q1035" s="712">
        <v>265.10000000000002</v>
      </c>
    </row>
    <row r="1036" spans="1:17" ht="14.4" customHeight="1" x14ac:dyDescent="0.3">
      <c r="A1036" s="695" t="s">
        <v>4907</v>
      </c>
      <c r="B1036" s="696" t="s">
        <v>4082</v>
      </c>
      <c r="C1036" s="696" t="s">
        <v>4103</v>
      </c>
      <c r="D1036" s="696" t="s">
        <v>4106</v>
      </c>
      <c r="E1036" s="696" t="s">
        <v>4107</v>
      </c>
      <c r="F1036" s="711">
        <v>36</v>
      </c>
      <c r="G1036" s="711">
        <v>8735.0400000000009</v>
      </c>
      <c r="H1036" s="711">
        <v>1</v>
      </c>
      <c r="I1036" s="711">
        <v>242.64000000000001</v>
      </c>
      <c r="J1036" s="711">
        <v>33</v>
      </c>
      <c r="K1036" s="711">
        <v>8007.119999999999</v>
      </c>
      <c r="L1036" s="711">
        <v>0.91666666666666641</v>
      </c>
      <c r="M1036" s="711">
        <v>242.63999999999996</v>
      </c>
      <c r="N1036" s="711">
        <v>61</v>
      </c>
      <c r="O1036" s="711">
        <v>14801.04</v>
      </c>
      <c r="P1036" s="701">
        <v>1.6944444444444444</v>
      </c>
      <c r="Q1036" s="712">
        <v>242.64000000000001</v>
      </c>
    </row>
    <row r="1037" spans="1:17" ht="14.4" customHeight="1" x14ac:dyDescent="0.3">
      <c r="A1037" s="695" t="s">
        <v>4907</v>
      </c>
      <c r="B1037" s="696" t="s">
        <v>4082</v>
      </c>
      <c r="C1037" s="696" t="s">
        <v>4103</v>
      </c>
      <c r="D1037" s="696" t="s">
        <v>4108</v>
      </c>
      <c r="E1037" s="696" t="s">
        <v>4109</v>
      </c>
      <c r="F1037" s="711"/>
      <c r="G1037" s="711"/>
      <c r="H1037" s="711"/>
      <c r="I1037" s="711"/>
      <c r="J1037" s="711"/>
      <c r="K1037" s="711"/>
      <c r="L1037" s="711"/>
      <c r="M1037" s="711"/>
      <c r="N1037" s="711">
        <v>8</v>
      </c>
      <c r="O1037" s="711">
        <v>1941.12</v>
      </c>
      <c r="P1037" s="701"/>
      <c r="Q1037" s="712">
        <v>242.64</v>
      </c>
    </row>
    <row r="1038" spans="1:17" ht="14.4" customHeight="1" x14ac:dyDescent="0.3">
      <c r="A1038" s="695" t="s">
        <v>4907</v>
      </c>
      <c r="B1038" s="696" t="s">
        <v>4082</v>
      </c>
      <c r="C1038" s="696" t="s">
        <v>4114</v>
      </c>
      <c r="D1038" s="696" t="s">
        <v>4121</v>
      </c>
      <c r="E1038" s="696" t="s">
        <v>4122</v>
      </c>
      <c r="F1038" s="711"/>
      <c r="G1038" s="711"/>
      <c r="H1038" s="711"/>
      <c r="I1038" s="711"/>
      <c r="J1038" s="711">
        <v>1</v>
      </c>
      <c r="K1038" s="711">
        <v>108</v>
      </c>
      <c r="L1038" s="711"/>
      <c r="M1038" s="711">
        <v>108</v>
      </c>
      <c r="N1038" s="711"/>
      <c r="O1038" s="711"/>
      <c r="P1038" s="701"/>
      <c r="Q1038" s="712"/>
    </row>
    <row r="1039" spans="1:17" ht="14.4" customHeight="1" x14ac:dyDescent="0.3">
      <c r="A1039" s="695" t="s">
        <v>4907</v>
      </c>
      <c r="B1039" s="696" t="s">
        <v>4082</v>
      </c>
      <c r="C1039" s="696" t="s">
        <v>4114</v>
      </c>
      <c r="D1039" s="696" t="s">
        <v>4123</v>
      </c>
      <c r="E1039" s="696" t="s">
        <v>4124</v>
      </c>
      <c r="F1039" s="711">
        <v>4</v>
      </c>
      <c r="G1039" s="711">
        <v>480</v>
      </c>
      <c r="H1039" s="711">
        <v>1</v>
      </c>
      <c r="I1039" s="711">
        <v>120</v>
      </c>
      <c r="J1039" s="711"/>
      <c r="K1039" s="711"/>
      <c r="L1039" s="711"/>
      <c r="M1039" s="711"/>
      <c r="N1039" s="711"/>
      <c r="O1039" s="711"/>
      <c r="P1039" s="701"/>
      <c r="Q1039" s="712"/>
    </row>
    <row r="1040" spans="1:17" ht="14.4" customHeight="1" x14ac:dyDescent="0.3">
      <c r="A1040" s="695" t="s">
        <v>4907</v>
      </c>
      <c r="B1040" s="696" t="s">
        <v>4082</v>
      </c>
      <c r="C1040" s="696" t="s">
        <v>4114</v>
      </c>
      <c r="D1040" s="696" t="s">
        <v>4127</v>
      </c>
      <c r="E1040" s="696" t="s">
        <v>4128</v>
      </c>
      <c r="F1040" s="711">
        <v>2</v>
      </c>
      <c r="G1040" s="711">
        <v>462</v>
      </c>
      <c r="H1040" s="711">
        <v>1</v>
      </c>
      <c r="I1040" s="711">
        <v>231</v>
      </c>
      <c r="J1040" s="711">
        <v>4</v>
      </c>
      <c r="K1040" s="711">
        <v>928</v>
      </c>
      <c r="L1040" s="711">
        <v>2.0086580086580086</v>
      </c>
      <c r="M1040" s="711">
        <v>232</v>
      </c>
      <c r="N1040" s="711">
        <v>7</v>
      </c>
      <c r="O1040" s="711">
        <v>1628</v>
      </c>
      <c r="P1040" s="701">
        <v>3.5238095238095237</v>
      </c>
      <c r="Q1040" s="712">
        <v>232.57142857142858</v>
      </c>
    </row>
    <row r="1041" spans="1:17" ht="14.4" customHeight="1" x14ac:dyDescent="0.3">
      <c r="A1041" s="695" t="s">
        <v>4907</v>
      </c>
      <c r="B1041" s="696" t="s">
        <v>4082</v>
      </c>
      <c r="C1041" s="696" t="s">
        <v>4114</v>
      </c>
      <c r="D1041" s="696" t="s">
        <v>4129</v>
      </c>
      <c r="E1041" s="696" t="s">
        <v>4130</v>
      </c>
      <c r="F1041" s="711"/>
      <c r="G1041" s="711"/>
      <c r="H1041" s="711"/>
      <c r="I1041" s="711"/>
      <c r="J1041" s="711">
        <v>6</v>
      </c>
      <c r="K1041" s="711">
        <v>696</v>
      </c>
      <c r="L1041" s="711"/>
      <c r="M1041" s="711">
        <v>116</v>
      </c>
      <c r="N1041" s="711">
        <v>4</v>
      </c>
      <c r="O1041" s="711">
        <v>464</v>
      </c>
      <c r="P1041" s="701"/>
      <c r="Q1041" s="712">
        <v>116</v>
      </c>
    </row>
    <row r="1042" spans="1:17" ht="14.4" customHeight="1" x14ac:dyDescent="0.3">
      <c r="A1042" s="695" t="s">
        <v>4907</v>
      </c>
      <c r="B1042" s="696" t="s">
        <v>4082</v>
      </c>
      <c r="C1042" s="696" t="s">
        <v>4114</v>
      </c>
      <c r="D1042" s="696" t="s">
        <v>4131</v>
      </c>
      <c r="E1042" s="696" t="s">
        <v>4132</v>
      </c>
      <c r="F1042" s="711"/>
      <c r="G1042" s="711"/>
      <c r="H1042" s="711"/>
      <c r="I1042" s="711"/>
      <c r="J1042" s="711">
        <v>1</v>
      </c>
      <c r="K1042" s="711">
        <v>320</v>
      </c>
      <c r="L1042" s="711"/>
      <c r="M1042" s="711">
        <v>320</v>
      </c>
      <c r="N1042" s="711"/>
      <c r="O1042" s="711"/>
      <c r="P1042" s="701"/>
      <c r="Q1042" s="712"/>
    </row>
    <row r="1043" spans="1:17" ht="14.4" customHeight="1" x14ac:dyDescent="0.3">
      <c r="A1043" s="695" t="s">
        <v>4907</v>
      </c>
      <c r="B1043" s="696" t="s">
        <v>4082</v>
      </c>
      <c r="C1043" s="696" t="s">
        <v>4114</v>
      </c>
      <c r="D1043" s="696" t="s">
        <v>4133</v>
      </c>
      <c r="E1043" s="696" t="s">
        <v>4134</v>
      </c>
      <c r="F1043" s="711"/>
      <c r="G1043" s="711"/>
      <c r="H1043" s="711"/>
      <c r="I1043" s="711"/>
      <c r="J1043" s="711"/>
      <c r="K1043" s="711"/>
      <c r="L1043" s="711"/>
      <c r="M1043" s="711"/>
      <c r="N1043" s="711">
        <v>2</v>
      </c>
      <c r="O1043" s="711">
        <v>968</v>
      </c>
      <c r="P1043" s="701"/>
      <c r="Q1043" s="712">
        <v>484</v>
      </c>
    </row>
    <row r="1044" spans="1:17" ht="14.4" customHeight="1" x14ac:dyDescent="0.3">
      <c r="A1044" s="695" t="s">
        <v>4907</v>
      </c>
      <c r="B1044" s="696" t="s">
        <v>4082</v>
      </c>
      <c r="C1044" s="696" t="s">
        <v>4114</v>
      </c>
      <c r="D1044" s="696" t="s">
        <v>4137</v>
      </c>
      <c r="E1044" s="696" t="s">
        <v>4138</v>
      </c>
      <c r="F1044" s="711">
        <v>2</v>
      </c>
      <c r="G1044" s="711">
        <v>1496</v>
      </c>
      <c r="H1044" s="711">
        <v>1</v>
      </c>
      <c r="I1044" s="711">
        <v>748</v>
      </c>
      <c r="J1044" s="711">
        <v>2</v>
      </c>
      <c r="K1044" s="711">
        <v>1498</v>
      </c>
      <c r="L1044" s="711">
        <v>1.0013368983957218</v>
      </c>
      <c r="M1044" s="711">
        <v>749</v>
      </c>
      <c r="N1044" s="711"/>
      <c r="O1044" s="711"/>
      <c r="P1044" s="701"/>
      <c r="Q1044" s="712"/>
    </row>
    <row r="1045" spans="1:17" ht="14.4" customHeight="1" x14ac:dyDescent="0.3">
      <c r="A1045" s="695" t="s">
        <v>4907</v>
      </c>
      <c r="B1045" s="696" t="s">
        <v>4082</v>
      </c>
      <c r="C1045" s="696" t="s">
        <v>4114</v>
      </c>
      <c r="D1045" s="696" t="s">
        <v>4232</v>
      </c>
      <c r="E1045" s="696" t="s">
        <v>4233</v>
      </c>
      <c r="F1045" s="711"/>
      <c r="G1045" s="711"/>
      <c r="H1045" s="711"/>
      <c r="I1045" s="711"/>
      <c r="J1045" s="711"/>
      <c r="K1045" s="711"/>
      <c r="L1045" s="711"/>
      <c r="M1045" s="711"/>
      <c r="N1045" s="711">
        <v>2</v>
      </c>
      <c r="O1045" s="711">
        <v>1606</v>
      </c>
      <c r="P1045" s="701"/>
      <c r="Q1045" s="712">
        <v>803</v>
      </c>
    </row>
    <row r="1046" spans="1:17" ht="14.4" customHeight="1" x14ac:dyDescent="0.3">
      <c r="A1046" s="695" t="s">
        <v>4907</v>
      </c>
      <c r="B1046" s="696" t="s">
        <v>4082</v>
      </c>
      <c r="C1046" s="696" t="s">
        <v>4114</v>
      </c>
      <c r="D1046" s="696" t="s">
        <v>4255</v>
      </c>
      <c r="E1046" s="696" t="s">
        <v>4181</v>
      </c>
      <c r="F1046" s="711">
        <v>1</v>
      </c>
      <c r="G1046" s="711">
        <v>701</v>
      </c>
      <c r="H1046" s="711">
        <v>1</v>
      </c>
      <c r="I1046" s="711">
        <v>701</v>
      </c>
      <c r="J1046" s="711"/>
      <c r="K1046" s="711"/>
      <c r="L1046" s="711"/>
      <c r="M1046" s="711"/>
      <c r="N1046" s="711"/>
      <c r="O1046" s="711"/>
      <c r="P1046" s="701"/>
      <c r="Q1046" s="712"/>
    </row>
    <row r="1047" spans="1:17" ht="14.4" customHeight="1" x14ac:dyDescent="0.3">
      <c r="A1047" s="695" t="s">
        <v>4907</v>
      </c>
      <c r="B1047" s="696" t="s">
        <v>4082</v>
      </c>
      <c r="C1047" s="696" t="s">
        <v>4114</v>
      </c>
      <c r="D1047" s="696" t="s">
        <v>4256</v>
      </c>
      <c r="E1047" s="696" t="s">
        <v>4138</v>
      </c>
      <c r="F1047" s="711">
        <v>1</v>
      </c>
      <c r="G1047" s="711">
        <v>815</v>
      </c>
      <c r="H1047" s="711">
        <v>1</v>
      </c>
      <c r="I1047" s="711">
        <v>815</v>
      </c>
      <c r="J1047" s="711"/>
      <c r="K1047" s="711"/>
      <c r="L1047" s="711"/>
      <c r="M1047" s="711"/>
      <c r="N1047" s="711"/>
      <c r="O1047" s="711"/>
      <c r="P1047" s="701"/>
      <c r="Q1047" s="712"/>
    </row>
    <row r="1048" spans="1:17" ht="14.4" customHeight="1" x14ac:dyDescent="0.3">
      <c r="A1048" s="695" t="s">
        <v>4907</v>
      </c>
      <c r="B1048" s="696" t="s">
        <v>4082</v>
      </c>
      <c r="C1048" s="696" t="s">
        <v>4114</v>
      </c>
      <c r="D1048" s="696" t="s">
        <v>4149</v>
      </c>
      <c r="E1048" s="696" t="s">
        <v>4150</v>
      </c>
      <c r="F1048" s="711">
        <v>43</v>
      </c>
      <c r="G1048" s="711">
        <v>14018</v>
      </c>
      <c r="H1048" s="711">
        <v>1</v>
      </c>
      <c r="I1048" s="711">
        <v>326</v>
      </c>
      <c r="J1048" s="711">
        <v>40</v>
      </c>
      <c r="K1048" s="711">
        <v>13080</v>
      </c>
      <c r="L1048" s="711">
        <v>0.93308603224425735</v>
      </c>
      <c r="M1048" s="711">
        <v>327</v>
      </c>
      <c r="N1048" s="711">
        <v>74</v>
      </c>
      <c r="O1048" s="711">
        <v>24297</v>
      </c>
      <c r="P1048" s="701">
        <v>1.7332715080610643</v>
      </c>
      <c r="Q1048" s="712">
        <v>328.33783783783781</v>
      </c>
    </row>
    <row r="1049" spans="1:17" ht="14.4" customHeight="1" x14ac:dyDescent="0.3">
      <c r="A1049" s="695" t="s">
        <v>4907</v>
      </c>
      <c r="B1049" s="696" t="s">
        <v>4082</v>
      </c>
      <c r="C1049" s="696" t="s">
        <v>4114</v>
      </c>
      <c r="D1049" s="696" t="s">
        <v>4153</v>
      </c>
      <c r="E1049" s="696" t="s">
        <v>4154</v>
      </c>
      <c r="F1049" s="711"/>
      <c r="G1049" s="711"/>
      <c r="H1049" s="711"/>
      <c r="I1049" s="711"/>
      <c r="J1049" s="711">
        <v>1</v>
      </c>
      <c r="K1049" s="711">
        <v>82</v>
      </c>
      <c r="L1049" s="711"/>
      <c r="M1049" s="711">
        <v>82</v>
      </c>
      <c r="N1049" s="711">
        <v>4</v>
      </c>
      <c r="O1049" s="711">
        <v>328</v>
      </c>
      <c r="P1049" s="701"/>
      <c r="Q1049" s="712">
        <v>82</v>
      </c>
    </row>
    <row r="1050" spans="1:17" ht="14.4" customHeight="1" x14ac:dyDescent="0.3">
      <c r="A1050" s="695" t="s">
        <v>4907</v>
      </c>
      <c r="B1050" s="696" t="s">
        <v>4082</v>
      </c>
      <c r="C1050" s="696" t="s">
        <v>4114</v>
      </c>
      <c r="D1050" s="696" t="s">
        <v>4161</v>
      </c>
      <c r="E1050" s="696" t="s">
        <v>4162</v>
      </c>
      <c r="F1050" s="711"/>
      <c r="G1050" s="711"/>
      <c r="H1050" s="711"/>
      <c r="I1050" s="711"/>
      <c r="J1050" s="711">
        <v>2</v>
      </c>
      <c r="K1050" s="711">
        <v>0</v>
      </c>
      <c r="L1050" s="711"/>
      <c r="M1050" s="711">
        <v>0</v>
      </c>
      <c r="N1050" s="711"/>
      <c r="O1050" s="711"/>
      <c r="P1050" s="701"/>
      <c r="Q1050" s="712"/>
    </row>
    <row r="1051" spans="1:17" ht="14.4" customHeight="1" x14ac:dyDescent="0.3">
      <c r="A1051" s="695" t="s">
        <v>4907</v>
      </c>
      <c r="B1051" s="696" t="s">
        <v>4082</v>
      </c>
      <c r="C1051" s="696" t="s">
        <v>4114</v>
      </c>
      <c r="D1051" s="696" t="s">
        <v>4165</v>
      </c>
      <c r="E1051" s="696" t="s">
        <v>4166</v>
      </c>
      <c r="F1051" s="711"/>
      <c r="G1051" s="711"/>
      <c r="H1051" s="711"/>
      <c r="I1051" s="711"/>
      <c r="J1051" s="711"/>
      <c r="K1051" s="711"/>
      <c r="L1051" s="711"/>
      <c r="M1051" s="711"/>
      <c r="N1051" s="711">
        <v>2</v>
      </c>
      <c r="O1051" s="711">
        <v>162</v>
      </c>
      <c r="P1051" s="701"/>
      <c r="Q1051" s="712">
        <v>81</v>
      </c>
    </row>
    <row r="1052" spans="1:17" ht="14.4" customHeight="1" x14ac:dyDescent="0.3">
      <c r="A1052" s="695" t="s">
        <v>4907</v>
      </c>
      <c r="B1052" s="696" t="s">
        <v>4082</v>
      </c>
      <c r="C1052" s="696" t="s">
        <v>4114</v>
      </c>
      <c r="D1052" s="696" t="s">
        <v>4180</v>
      </c>
      <c r="E1052" s="696" t="s">
        <v>4181</v>
      </c>
      <c r="F1052" s="711"/>
      <c r="G1052" s="711"/>
      <c r="H1052" s="711"/>
      <c r="I1052" s="711"/>
      <c r="J1052" s="711">
        <v>2</v>
      </c>
      <c r="K1052" s="711">
        <v>1202</v>
      </c>
      <c r="L1052" s="711"/>
      <c r="M1052" s="711">
        <v>601</v>
      </c>
      <c r="N1052" s="711">
        <v>12</v>
      </c>
      <c r="O1052" s="711">
        <v>7240</v>
      </c>
      <c r="P1052" s="701"/>
      <c r="Q1052" s="712">
        <v>603.33333333333337</v>
      </c>
    </row>
    <row r="1053" spans="1:17" ht="14.4" customHeight="1" x14ac:dyDescent="0.3">
      <c r="A1053" s="695" t="s">
        <v>4907</v>
      </c>
      <c r="B1053" s="696" t="s">
        <v>4082</v>
      </c>
      <c r="C1053" s="696" t="s">
        <v>4114</v>
      </c>
      <c r="D1053" s="696" t="s">
        <v>4187</v>
      </c>
      <c r="E1053" s="696" t="s">
        <v>4144</v>
      </c>
      <c r="F1053" s="711">
        <v>36</v>
      </c>
      <c r="G1053" s="711">
        <v>12996</v>
      </c>
      <c r="H1053" s="711">
        <v>1</v>
      </c>
      <c r="I1053" s="711">
        <v>361</v>
      </c>
      <c r="J1053" s="711">
        <v>32</v>
      </c>
      <c r="K1053" s="711">
        <v>11584</v>
      </c>
      <c r="L1053" s="711">
        <v>0.89135118497999388</v>
      </c>
      <c r="M1053" s="711">
        <v>362</v>
      </c>
      <c r="N1053" s="711">
        <v>61</v>
      </c>
      <c r="O1053" s="711">
        <v>22134</v>
      </c>
      <c r="P1053" s="701">
        <v>1.7031394275161589</v>
      </c>
      <c r="Q1053" s="712">
        <v>362.85245901639342</v>
      </c>
    </row>
    <row r="1054" spans="1:17" ht="14.4" customHeight="1" x14ac:dyDescent="0.3">
      <c r="A1054" s="695" t="s">
        <v>4907</v>
      </c>
      <c r="B1054" s="696" t="s">
        <v>4082</v>
      </c>
      <c r="C1054" s="696" t="s">
        <v>4114</v>
      </c>
      <c r="D1054" s="696" t="s">
        <v>4188</v>
      </c>
      <c r="E1054" s="696" t="s">
        <v>4189</v>
      </c>
      <c r="F1054" s="711"/>
      <c r="G1054" s="711"/>
      <c r="H1054" s="711"/>
      <c r="I1054" s="711"/>
      <c r="J1054" s="711"/>
      <c r="K1054" s="711"/>
      <c r="L1054" s="711"/>
      <c r="M1054" s="711"/>
      <c r="N1054" s="711">
        <v>7</v>
      </c>
      <c r="O1054" s="711">
        <v>3640</v>
      </c>
      <c r="P1054" s="701"/>
      <c r="Q1054" s="712">
        <v>520</v>
      </c>
    </row>
    <row r="1055" spans="1:17" ht="14.4" customHeight="1" x14ac:dyDescent="0.3">
      <c r="A1055" s="695" t="s">
        <v>4907</v>
      </c>
      <c r="B1055" s="696" t="s">
        <v>4082</v>
      </c>
      <c r="C1055" s="696" t="s">
        <v>4114</v>
      </c>
      <c r="D1055" s="696" t="s">
        <v>4260</v>
      </c>
      <c r="E1055" s="696" t="s">
        <v>4189</v>
      </c>
      <c r="F1055" s="711">
        <v>1</v>
      </c>
      <c r="G1055" s="711">
        <v>586</v>
      </c>
      <c r="H1055" s="711">
        <v>1</v>
      </c>
      <c r="I1055" s="711">
        <v>586</v>
      </c>
      <c r="J1055" s="711"/>
      <c r="K1055" s="711"/>
      <c r="L1055" s="711"/>
      <c r="M1055" s="711"/>
      <c r="N1055" s="711"/>
      <c r="O1055" s="711"/>
      <c r="P1055" s="701"/>
      <c r="Q1055" s="712"/>
    </row>
    <row r="1056" spans="1:17" ht="14.4" customHeight="1" x14ac:dyDescent="0.3">
      <c r="A1056" s="695" t="s">
        <v>4907</v>
      </c>
      <c r="B1056" s="696" t="s">
        <v>4082</v>
      </c>
      <c r="C1056" s="696" t="s">
        <v>4114</v>
      </c>
      <c r="D1056" s="696" t="s">
        <v>4263</v>
      </c>
      <c r="E1056" s="696" t="s">
        <v>4264</v>
      </c>
      <c r="F1056" s="711">
        <v>1</v>
      </c>
      <c r="G1056" s="711">
        <v>338</v>
      </c>
      <c r="H1056" s="711">
        <v>1</v>
      </c>
      <c r="I1056" s="711">
        <v>338</v>
      </c>
      <c r="J1056" s="711"/>
      <c r="K1056" s="711"/>
      <c r="L1056" s="711"/>
      <c r="M1056" s="711"/>
      <c r="N1056" s="711">
        <v>1</v>
      </c>
      <c r="O1056" s="711">
        <v>340</v>
      </c>
      <c r="P1056" s="701">
        <v>1.0059171597633136</v>
      </c>
      <c r="Q1056" s="712">
        <v>340</v>
      </c>
    </row>
    <row r="1057" spans="1:17" ht="14.4" customHeight="1" x14ac:dyDescent="0.3">
      <c r="A1057" s="695" t="s">
        <v>4908</v>
      </c>
      <c r="B1057" s="696" t="s">
        <v>4082</v>
      </c>
      <c r="C1057" s="696" t="s">
        <v>4103</v>
      </c>
      <c r="D1057" s="696" t="s">
        <v>4106</v>
      </c>
      <c r="E1057" s="696" t="s">
        <v>4107</v>
      </c>
      <c r="F1057" s="711">
        <v>2</v>
      </c>
      <c r="G1057" s="711">
        <v>485.28</v>
      </c>
      <c r="H1057" s="711">
        <v>1</v>
      </c>
      <c r="I1057" s="711">
        <v>242.64</v>
      </c>
      <c r="J1057" s="711"/>
      <c r="K1057" s="711"/>
      <c r="L1057" s="711"/>
      <c r="M1057" s="711"/>
      <c r="N1057" s="711"/>
      <c r="O1057" s="711"/>
      <c r="P1057" s="701"/>
      <c r="Q1057" s="712"/>
    </row>
    <row r="1058" spans="1:17" ht="14.4" customHeight="1" x14ac:dyDescent="0.3">
      <c r="A1058" s="695" t="s">
        <v>4908</v>
      </c>
      <c r="B1058" s="696" t="s">
        <v>4082</v>
      </c>
      <c r="C1058" s="696" t="s">
        <v>4114</v>
      </c>
      <c r="D1058" s="696" t="s">
        <v>4230</v>
      </c>
      <c r="E1058" s="696" t="s">
        <v>4231</v>
      </c>
      <c r="F1058" s="711">
        <v>1</v>
      </c>
      <c r="G1058" s="711">
        <v>185</v>
      </c>
      <c r="H1058" s="711">
        <v>1</v>
      </c>
      <c r="I1058" s="711">
        <v>185</v>
      </c>
      <c r="J1058" s="711"/>
      <c r="K1058" s="711"/>
      <c r="L1058" s="711"/>
      <c r="M1058" s="711"/>
      <c r="N1058" s="711"/>
      <c r="O1058" s="711"/>
      <c r="P1058" s="701"/>
      <c r="Q1058" s="712"/>
    </row>
    <row r="1059" spans="1:17" ht="14.4" customHeight="1" x14ac:dyDescent="0.3">
      <c r="A1059" s="695" t="s">
        <v>4908</v>
      </c>
      <c r="B1059" s="696" t="s">
        <v>4082</v>
      </c>
      <c r="C1059" s="696" t="s">
        <v>4114</v>
      </c>
      <c r="D1059" s="696" t="s">
        <v>4266</v>
      </c>
      <c r="E1059" s="696" t="s">
        <v>4267</v>
      </c>
      <c r="F1059" s="711">
        <v>1</v>
      </c>
      <c r="G1059" s="711">
        <v>1093</v>
      </c>
      <c r="H1059" s="711">
        <v>1</v>
      </c>
      <c r="I1059" s="711">
        <v>1093</v>
      </c>
      <c r="J1059" s="711"/>
      <c r="K1059" s="711"/>
      <c r="L1059" s="711"/>
      <c r="M1059" s="711"/>
      <c r="N1059" s="711"/>
      <c r="O1059" s="711"/>
      <c r="P1059" s="701"/>
      <c r="Q1059" s="712"/>
    </row>
    <row r="1060" spans="1:17" ht="14.4" customHeight="1" x14ac:dyDescent="0.3">
      <c r="A1060" s="695" t="s">
        <v>4908</v>
      </c>
      <c r="B1060" s="696" t="s">
        <v>4082</v>
      </c>
      <c r="C1060" s="696" t="s">
        <v>4114</v>
      </c>
      <c r="D1060" s="696" t="s">
        <v>4125</v>
      </c>
      <c r="E1060" s="696" t="s">
        <v>4078</v>
      </c>
      <c r="F1060" s="711">
        <v>1</v>
      </c>
      <c r="G1060" s="711">
        <v>156</v>
      </c>
      <c r="H1060" s="711">
        <v>1</v>
      </c>
      <c r="I1060" s="711">
        <v>156</v>
      </c>
      <c r="J1060" s="711"/>
      <c r="K1060" s="711"/>
      <c r="L1060" s="711"/>
      <c r="M1060" s="711"/>
      <c r="N1060" s="711"/>
      <c r="O1060" s="711"/>
      <c r="P1060" s="701"/>
      <c r="Q1060" s="712"/>
    </row>
    <row r="1061" spans="1:17" ht="14.4" customHeight="1" x14ac:dyDescent="0.3">
      <c r="A1061" s="695" t="s">
        <v>4908</v>
      </c>
      <c r="B1061" s="696" t="s">
        <v>4082</v>
      </c>
      <c r="C1061" s="696" t="s">
        <v>4114</v>
      </c>
      <c r="D1061" s="696" t="s">
        <v>4127</v>
      </c>
      <c r="E1061" s="696" t="s">
        <v>4128</v>
      </c>
      <c r="F1061" s="711">
        <v>148</v>
      </c>
      <c r="G1061" s="711">
        <v>34188</v>
      </c>
      <c r="H1061" s="711">
        <v>1</v>
      </c>
      <c r="I1061" s="711">
        <v>231</v>
      </c>
      <c r="J1061" s="711"/>
      <c r="K1061" s="711"/>
      <c r="L1061" s="711"/>
      <c r="M1061" s="711"/>
      <c r="N1061" s="711"/>
      <c r="O1061" s="711"/>
      <c r="P1061" s="701"/>
      <c r="Q1061" s="712"/>
    </row>
    <row r="1062" spans="1:17" ht="14.4" customHeight="1" x14ac:dyDescent="0.3">
      <c r="A1062" s="695" t="s">
        <v>4908</v>
      </c>
      <c r="B1062" s="696" t="s">
        <v>4082</v>
      </c>
      <c r="C1062" s="696" t="s">
        <v>4114</v>
      </c>
      <c r="D1062" s="696" t="s">
        <v>4129</v>
      </c>
      <c r="E1062" s="696" t="s">
        <v>4130</v>
      </c>
      <c r="F1062" s="711">
        <v>618</v>
      </c>
      <c r="G1062" s="711">
        <v>71688</v>
      </c>
      <c r="H1062" s="711">
        <v>1</v>
      </c>
      <c r="I1062" s="711">
        <v>116</v>
      </c>
      <c r="J1062" s="711"/>
      <c r="K1062" s="711"/>
      <c r="L1062" s="711"/>
      <c r="M1062" s="711"/>
      <c r="N1062" s="711"/>
      <c r="O1062" s="711"/>
      <c r="P1062" s="701"/>
      <c r="Q1062" s="712"/>
    </row>
    <row r="1063" spans="1:17" ht="14.4" customHeight="1" x14ac:dyDescent="0.3">
      <c r="A1063" s="695" t="s">
        <v>4908</v>
      </c>
      <c r="B1063" s="696" t="s">
        <v>4082</v>
      </c>
      <c r="C1063" s="696" t="s">
        <v>4114</v>
      </c>
      <c r="D1063" s="696" t="s">
        <v>4133</v>
      </c>
      <c r="E1063" s="696" t="s">
        <v>4134</v>
      </c>
      <c r="F1063" s="711">
        <v>21</v>
      </c>
      <c r="G1063" s="711">
        <v>10143</v>
      </c>
      <c r="H1063" s="711">
        <v>1</v>
      </c>
      <c r="I1063" s="711">
        <v>483</v>
      </c>
      <c r="J1063" s="711"/>
      <c r="K1063" s="711"/>
      <c r="L1063" s="711"/>
      <c r="M1063" s="711"/>
      <c r="N1063" s="711"/>
      <c r="O1063" s="711"/>
      <c r="P1063" s="701"/>
      <c r="Q1063" s="712"/>
    </row>
    <row r="1064" spans="1:17" ht="14.4" customHeight="1" x14ac:dyDescent="0.3">
      <c r="A1064" s="695" t="s">
        <v>4908</v>
      </c>
      <c r="B1064" s="696" t="s">
        <v>4082</v>
      </c>
      <c r="C1064" s="696" t="s">
        <v>4114</v>
      </c>
      <c r="D1064" s="696" t="s">
        <v>4135</v>
      </c>
      <c r="E1064" s="696" t="s">
        <v>4136</v>
      </c>
      <c r="F1064" s="711">
        <v>15</v>
      </c>
      <c r="G1064" s="711">
        <v>10140</v>
      </c>
      <c r="H1064" s="711">
        <v>1</v>
      </c>
      <c r="I1064" s="711">
        <v>676</v>
      </c>
      <c r="J1064" s="711"/>
      <c r="K1064" s="711"/>
      <c r="L1064" s="711"/>
      <c r="M1064" s="711"/>
      <c r="N1064" s="711"/>
      <c r="O1064" s="711"/>
      <c r="P1064" s="701"/>
      <c r="Q1064" s="712"/>
    </row>
    <row r="1065" spans="1:17" ht="14.4" customHeight="1" x14ac:dyDescent="0.3">
      <c r="A1065" s="695" t="s">
        <v>4908</v>
      </c>
      <c r="B1065" s="696" t="s">
        <v>4082</v>
      </c>
      <c r="C1065" s="696" t="s">
        <v>4114</v>
      </c>
      <c r="D1065" s="696" t="s">
        <v>4139</v>
      </c>
      <c r="E1065" s="696" t="s">
        <v>4134</v>
      </c>
      <c r="F1065" s="711">
        <v>2</v>
      </c>
      <c r="G1065" s="711">
        <v>1100</v>
      </c>
      <c r="H1065" s="711">
        <v>1</v>
      </c>
      <c r="I1065" s="711">
        <v>550</v>
      </c>
      <c r="J1065" s="711"/>
      <c r="K1065" s="711"/>
      <c r="L1065" s="711"/>
      <c r="M1065" s="711"/>
      <c r="N1065" s="711"/>
      <c r="O1065" s="711"/>
      <c r="P1065" s="701"/>
      <c r="Q1065" s="712"/>
    </row>
    <row r="1066" spans="1:17" ht="14.4" customHeight="1" x14ac:dyDescent="0.3">
      <c r="A1066" s="695" t="s">
        <v>4908</v>
      </c>
      <c r="B1066" s="696" t="s">
        <v>4082</v>
      </c>
      <c r="C1066" s="696" t="s">
        <v>4114</v>
      </c>
      <c r="D1066" s="696" t="s">
        <v>4140</v>
      </c>
      <c r="E1066" s="696" t="s">
        <v>4136</v>
      </c>
      <c r="F1066" s="711">
        <v>32</v>
      </c>
      <c r="G1066" s="711">
        <v>23776</v>
      </c>
      <c r="H1066" s="711">
        <v>1</v>
      </c>
      <c r="I1066" s="711">
        <v>743</v>
      </c>
      <c r="J1066" s="711"/>
      <c r="K1066" s="711"/>
      <c r="L1066" s="711"/>
      <c r="M1066" s="711"/>
      <c r="N1066" s="711"/>
      <c r="O1066" s="711"/>
      <c r="P1066" s="701"/>
      <c r="Q1066" s="712"/>
    </row>
    <row r="1067" spans="1:17" ht="14.4" customHeight="1" x14ac:dyDescent="0.3">
      <c r="A1067" s="695" t="s">
        <v>4908</v>
      </c>
      <c r="B1067" s="696" t="s">
        <v>4082</v>
      </c>
      <c r="C1067" s="696" t="s">
        <v>4114</v>
      </c>
      <c r="D1067" s="696" t="s">
        <v>4232</v>
      </c>
      <c r="E1067" s="696" t="s">
        <v>4233</v>
      </c>
      <c r="F1067" s="711">
        <v>435</v>
      </c>
      <c r="G1067" s="711">
        <v>348000</v>
      </c>
      <c r="H1067" s="711">
        <v>1</v>
      </c>
      <c r="I1067" s="711">
        <v>800</v>
      </c>
      <c r="J1067" s="711"/>
      <c r="K1067" s="711"/>
      <c r="L1067" s="711"/>
      <c r="M1067" s="711"/>
      <c r="N1067" s="711"/>
      <c r="O1067" s="711"/>
      <c r="P1067" s="701"/>
      <c r="Q1067" s="712"/>
    </row>
    <row r="1068" spans="1:17" ht="14.4" customHeight="1" x14ac:dyDescent="0.3">
      <c r="A1068" s="695" t="s">
        <v>4908</v>
      </c>
      <c r="B1068" s="696" t="s">
        <v>4082</v>
      </c>
      <c r="C1068" s="696" t="s">
        <v>4114</v>
      </c>
      <c r="D1068" s="696" t="s">
        <v>4141</v>
      </c>
      <c r="E1068" s="696" t="s">
        <v>4142</v>
      </c>
      <c r="F1068" s="711">
        <v>1</v>
      </c>
      <c r="G1068" s="711">
        <v>435</v>
      </c>
      <c r="H1068" s="711">
        <v>1</v>
      </c>
      <c r="I1068" s="711">
        <v>435</v>
      </c>
      <c r="J1068" s="711"/>
      <c r="K1068" s="711"/>
      <c r="L1068" s="711"/>
      <c r="M1068" s="711"/>
      <c r="N1068" s="711"/>
      <c r="O1068" s="711"/>
      <c r="P1068" s="701"/>
      <c r="Q1068" s="712"/>
    </row>
    <row r="1069" spans="1:17" ht="14.4" customHeight="1" x14ac:dyDescent="0.3">
      <c r="A1069" s="695" t="s">
        <v>4908</v>
      </c>
      <c r="B1069" s="696" t="s">
        <v>4082</v>
      </c>
      <c r="C1069" s="696" t="s">
        <v>4114</v>
      </c>
      <c r="D1069" s="696" t="s">
        <v>4143</v>
      </c>
      <c r="E1069" s="696" t="s">
        <v>4144</v>
      </c>
      <c r="F1069" s="711">
        <v>2</v>
      </c>
      <c r="G1069" s="711">
        <v>856</v>
      </c>
      <c r="H1069" s="711">
        <v>1</v>
      </c>
      <c r="I1069" s="711">
        <v>428</v>
      </c>
      <c r="J1069" s="711"/>
      <c r="K1069" s="711"/>
      <c r="L1069" s="711"/>
      <c r="M1069" s="711"/>
      <c r="N1069" s="711"/>
      <c r="O1069" s="711"/>
      <c r="P1069" s="701"/>
      <c r="Q1069" s="712"/>
    </row>
    <row r="1070" spans="1:17" ht="14.4" customHeight="1" x14ac:dyDescent="0.3">
      <c r="A1070" s="695" t="s">
        <v>4908</v>
      </c>
      <c r="B1070" s="696" t="s">
        <v>4082</v>
      </c>
      <c r="C1070" s="696" t="s">
        <v>4114</v>
      </c>
      <c r="D1070" s="696" t="s">
        <v>4255</v>
      </c>
      <c r="E1070" s="696" t="s">
        <v>4181</v>
      </c>
      <c r="F1070" s="711">
        <v>3</v>
      </c>
      <c r="G1070" s="711">
        <v>2103</v>
      </c>
      <c r="H1070" s="711">
        <v>1</v>
      </c>
      <c r="I1070" s="711">
        <v>701</v>
      </c>
      <c r="J1070" s="711"/>
      <c r="K1070" s="711"/>
      <c r="L1070" s="711"/>
      <c r="M1070" s="711"/>
      <c r="N1070" s="711"/>
      <c r="O1070" s="711"/>
      <c r="P1070" s="701"/>
      <c r="Q1070" s="712"/>
    </row>
    <row r="1071" spans="1:17" ht="14.4" customHeight="1" x14ac:dyDescent="0.3">
      <c r="A1071" s="695" t="s">
        <v>4908</v>
      </c>
      <c r="B1071" s="696" t="s">
        <v>4082</v>
      </c>
      <c r="C1071" s="696" t="s">
        <v>4114</v>
      </c>
      <c r="D1071" s="696" t="s">
        <v>4256</v>
      </c>
      <c r="E1071" s="696" t="s">
        <v>4138</v>
      </c>
      <c r="F1071" s="711">
        <v>1</v>
      </c>
      <c r="G1071" s="711">
        <v>815</v>
      </c>
      <c r="H1071" s="711">
        <v>1</v>
      </c>
      <c r="I1071" s="711">
        <v>815</v>
      </c>
      <c r="J1071" s="711"/>
      <c r="K1071" s="711"/>
      <c r="L1071" s="711"/>
      <c r="M1071" s="711"/>
      <c r="N1071" s="711"/>
      <c r="O1071" s="711"/>
      <c r="P1071" s="701"/>
      <c r="Q1071" s="712"/>
    </row>
    <row r="1072" spans="1:17" ht="14.4" customHeight="1" x14ac:dyDescent="0.3">
      <c r="A1072" s="695" t="s">
        <v>4908</v>
      </c>
      <c r="B1072" s="696" t="s">
        <v>4082</v>
      </c>
      <c r="C1072" s="696" t="s">
        <v>4114</v>
      </c>
      <c r="D1072" s="696" t="s">
        <v>4145</v>
      </c>
      <c r="E1072" s="696" t="s">
        <v>4146</v>
      </c>
      <c r="F1072" s="711">
        <v>74</v>
      </c>
      <c r="G1072" s="711">
        <v>15244</v>
      </c>
      <c r="H1072" s="711">
        <v>1</v>
      </c>
      <c r="I1072" s="711">
        <v>206</v>
      </c>
      <c r="J1072" s="711"/>
      <c r="K1072" s="711"/>
      <c r="L1072" s="711"/>
      <c r="M1072" s="711"/>
      <c r="N1072" s="711"/>
      <c r="O1072" s="711"/>
      <c r="P1072" s="701"/>
      <c r="Q1072" s="712"/>
    </row>
    <row r="1073" spans="1:17" ht="14.4" customHeight="1" x14ac:dyDescent="0.3">
      <c r="A1073" s="695" t="s">
        <v>4908</v>
      </c>
      <c r="B1073" s="696" t="s">
        <v>4082</v>
      </c>
      <c r="C1073" s="696" t="s">
        <v>4114</v>
      </c>
      <c r="D1073" s="696" t="s">
        <v>4153</v>
      </c>
      <c r="E1073" s="696" t="s">
        <v>4154</v>
      </c>
      <c r="F1073" s="711">
        <v>863</v>
      </c>
      <c r="G1073" s="711">
        <v>69903</v>
      </c>
      <c r="H1073" s="711">
        <v>1</v>
      </c>
      <c r="I1073" s="711">
        <v>81</v>
      </c>
      <c r="J1073" s="711"/>
      <c r="K1073" s="711"/>
      <c r="L1073" s="711"/>
      <c r="M1073" s="711"/>
      <c r="N1073" s="711"/>
      <c r="O1073" s="711"/>
      <c r="P1073" s="701"/>
      <c r="Q1073" s="712"/>
    </row>
    <row r="1074" spans="1:17" ht="14.4" customHeight="1" x14ac:dyDescent="0.3">
      <c r="A1074" s="695" t="s">
        <v>4908</v>
      </c>
      <c r="B1074" s="696" t="s">
        <v>4082</v>
      </c>
      <c r="C1074" s="696" t="s">
        <v>4114</v>
      </c>
      <c r="D1074" s="696" t="s">
        <v>4234</v>
      </c>
      <c r="E1074" s="696" t="s">
        <v>4233</v>
      </c>
      <c r="F1074" s="711">
        <v>75</v>
      </c>
      <c r="G1074" s="711">
        <v>69450</v>
      </c>
      <c r="H1074" s="711">
        <v>1</v>
      </c>
      <c r="I1074" s="711">
        <v>926</v>
      </c>
      <c r="J1074" s="711"/>
      <c r="K1074" s="711"/>
      <c r="L1074" s="711"/>
      <c r="M1074" s="711"/>
      <c r="N1074" s="711"/>
      <c r="O1074" s="711"/>
      <c r="P1074" s="701"/>
      <c r="Q1074" s="712"/>
    </row>
    <row r="1075" spans="1:17" ht="14.4" customHeight="1" x14ac:dyDescent="0.3">
      <c r="A1075" s="695" t="s">
        <v>4908</v>
      </c>
      <c r="B1075" s="696" t="s">
        <v>4082</v>
      </c>
      <c r="C1075" s="696" t="s">
        <v>4114</v>
      </c>
      <c r="D1075" s="696" t="s">
        <v>4235</v>
      </c>
      <c r="E1075" s="696" t="s">
        <v>4233</v>
      </c>
      <c r="F1075" s="711">
        <v>281</v>
      </c>
      <c r="G1075" s="711">
        <v>205973</v>
      </c>
      <c r="H1075" s="711">
        <v>1</v>
      </c>
      <c r="I1075" s="711">
        <v>733</v>
      </c>
      <c r="J1075" s="711"/>
      <c r="K1075" s="711"/>
      <c r="L1075" s="711"/>
      <c r="M1075" s="711"/>
      <c r="N1075" s="711"/>
      <c r="O1075" s="711"/>
      <c r="P1075" s="701"/>
      <c r="Q1075" s="712"/>
    </row>
    <row r="1076" spans="1:17" ht="14.4" customHeight="1" x14ac:dyDescent="0.3">
      <c r="A1076" s="695" t="s">
        <v>4908</v>
      </c>
      <c r="B1076" s="696" t="s">
        <v>4082</v>
      </c>
      <c r="C1076" s="696" t="s">
        <v>4114</v>
      </c>
      <c r="D1076" s="696" t="s">
        <v>4236</v>
      </c>
      <c r="E1076" s="696" t="s">
        <v>4237</v>
      </c>
      <c r="F1076" s="711">
        <v>8</v>
      </c>
      <c r="G1076" s="711">
        <v>4184</v>
      </c>
      <c r="H1076" s="711">
        <v>1</v>
      </c>
      <c r="I1076" s="711">
        <v>523</v>
      </c>
      <c r="J1076" s="711"/>
      <c r="K1076" s="711"/>
      <c r="L1076" s="711"/>
      <c r="M1076" s="711"/>
      <c r="N1076" s="711"/>
      <c r="O1076" s="711"/>
      <c r="P1076" s="701"/>
      <c r="Q1076" s="712"/>
    </row>
    <row r="1077" spans="1:17" ht="14.4" customHeight="1" x14ac:dyDescent="0.3">
      <c r="A1077" s="695" t="s">
        <v>4908</v>
      </c>
      <c r="B1077" s="696" t="s">
        <v>4082</v>
      </c>
      <c r="C1077" s="696" t="s">
        <v>4114</v>
      </c>
      <c r="D1077" s="696" t="s">
        <v>4171</v>
      </c>
      <c r="E1077" s="696" t="s">
        <v>4172</v>
      </c>
      <c r="F1077" s="711">
        <v>2</v>
      </c>
      <c r="G1077" s="711">
        <v>590</v>
      </c>
      <c r="H1077" s="711">
        <v>1</v>
      </c>
      <c r="I1077" s="711">
        <v>295</v>
      </c>
      <c r="J1077" s="711"/>
      <c r="K1077" s="711"/>
      <c r="L1077" s="711"/>
      <c r="M1077" s="711"/>
      <c r="N1077" s="711"/>
      <c r="O1077" s="711"/>
      <c r="P1077" s="701"/>
      <c r="Q1077" s="712"/>
    </row>
    <row r="1078" spans="1:17" ht="14.4" customHeight="1" x14ac:dyDescent="0.3">
      <c r="A1078" s="695" t="s">
        <v>4908</v>
      </c>
      <c r="B1078" s="696" t="s">
        <v>4082</v>
      </c>
      <c r="C1078" s="696" t="s">
        <v>4114</v>
      </c>
      <c r="D1078" s="696" t="s">
        <v>4238</v>
      </c>
      <c r="E1078" s="696" t="s">
        <v>4146</v>
      </c>
      <c r="F1078" s="711">
        <v>55</v>
      </c>
      <c r="G1078" s="711">
        <v>9460</v>
      </c>
      <c r="H1078" s="711">
        <v>1</v>
      </c>
      <c r="I1078" s="711">
        <v>172</v>
      </c>
      <c r="J1078" s="711"/>
      <c r="K1078" s="711"/>
      <c r="L1078" s="711"/>
      <c r="M1078" s="711"/>
      <c r="N1078" s="711"/>
      <c r="O1078" s="711"/>
      <c r="P1078" s="701"/>
      <c r="Q1078" s="712"/>
    </row>
    <row r="1079" spans="1:17" ht="14.4" customHeight="1" x14ac:dyDescent="0.3">
      <c r="A1079" s="695" t="s">
        <v>4908</v>
      </c>
      <c r="B1079" s="696" t="s">
        <v>4082</v>
      </c>
      <c r="C1079" s="696" t="s">
        <v>4114</v>
      </c>
      <c r="D1079" s="696" t="s">
        <v>4175</v>
      </c>
      <c r="E1079" s="696" t="s">
        <v>4172</v>
      </c>
      <c r="F1079" s="711">
        <v>5</v>
      </c>
      <c r="G1079" s="711">
        <v>1810</v>
      </c>
      <c r="H1079" s="711">
        <v>1</v>
      </c>
      <c r="I1079" s="711">
        <v>362</v>
      </c>
      <c r="J1079" s="711"/>
      <c r="K1079" s="711"/>
      <c r="L1079" s="711"/>
      <c r="M1079" s="711"/>
      <c r="N1079" s="711"/>
      <c r="O1079" s="711"/>
      <c r="P1079" s="701"/>
      <c r="Q1079" s="712"/>
    </row>
    <row r="1080" spans="1:17" ht="14.4" customHeight="1" x14ac:dyDescent="0.3">
      <c r="A1080" s="695" t="s">
        <v>4908</v>
      </c>
      <c r="B1080" s="696" t="s">
        <v>4082</v>
      </c>
      <c r="C1080" s="696" t="s">
        <v>4114</v>
      </c>
      <c r="D1080" s="696" t="s">
        <v>4178</v>
      </c>
      <c r="E1080" s="696" t="s">
        <v>4179</v>
      </c>
      <c r="F1080" s="711">
        <v>1</v>
      </c>
      <c r="G1080" s="711">
        <v>632</v>
      </c>
      <c r="H1080" s="711">
        <v>1</v>
      </c>
      <c r="I1080" s="711">
        <v>632</v>
      </c>
      <c r="J1080" s="711"/>
      <c r="K1080" s="711"/>
      <c r="L1080" s="711"/>
      <c r="M1080" s="711"/>
      <c r="N1080" s="711"/>
      <c r="O1080" s="711"/>
      <c r="P1080" s="701"/>
      <c r="Q1080" s="712"/>
    </row>
    <row r="1081" spans="1:17" ht="14.4" customHeight="1" x14ac:dyDescent="0.3">
      <c r="A1081" s="695" t="s">
        <v>4908</v>
      </c>
      <c r="B1081" s="696" t="s">
        <v>4082</v>
      </c>
      <c r="C1081" s="696" t="s">
        <v>4114</v>
      </c>
      <c r="D1081" s="696" t="s">
        <v>4257</v>
      </c>
      <c r="E1081" s="696" t="s">
        <v>4258</v>
      </c>
      <c r="F1081" s="711">
        <v>1</v>
      </c>
      <c r="G1081" s="711">
        <v>100</v>
      </c>
      <c r="H1081" s="711">
        <v>1</v>
      </c>
      <c r="I1081" s="711">
        <v>100</v>
      </c>
      <c r="J1081" s="711"/>
      <c r="K1081" s="711"/>
      <c r="L1081" s="711"/>
      <c r="M1081" s="711"/>
      <c r="N1081" s="711"/>
      <c r="O1081" s="711"/>
      <c r="P1081" s="701"/>
      <c r="Q1081" s="712"/>
    </row>
    <row r="1082" spans="1:17" ht="14.4" customHeight="1" x14ac:dyDescent="0.3">
      <c r="A1082" s="695" t="s">
        <v>4908</v>
      </c>
      <c r="B1082" s="696" t="s">
        <v>4082</v>
      </c>
      <c r="C1082" s="696" t="s">
        <v>4114</v>
      </c>
      <c r="D1082" s="696" t="s">
        <v>4186</v>
      </c>
      <c r="E1082" s="696" t="s">
        <v>4142</v>
      </c>
      <c r="F1082" s="711">
        <v>1</v>
      </c>
      <c r="G1082" s="711">
        <v>333</v>
      </c>
      <c r="H1082" s="711">
        <v>1</v>
      </c>
      <c r="I1082" s="711">
        <v>333</v>
      </c>
      <c r="J1082" s="711"/>
      <c r="K1082" s="711"/>
      <c r="L1082" s="711"/>
      <c r="M1082" s="711"/>
      <c r="N1082" s="711"/>
      <c r="O1082" s="711"/>
      <c r="P1082" s="701"/>
      <c r="Q1082" s="712"/>
    </row>
    <row r="1083" spans="1:17" ht="14.4" customHeight="1" x14ac:dyDescent="0.3">
      <c r="A1083" s="695" t="s">
        <v>4908</v>
      </c>
      <c r="B1083" s="696" t="s">
        <v>4082</v>
      </c>
      <c r="C1083" s="696" t="s">
        <v>4114</v>
      </c>
      <c r="D1083" s="696" t="s">
        <v>4249</v>
      </c>
      <c r="E1083" s="696" t="s">
        <v>4233</v>
      </c>
      <c r="F1083" s="711">
        <v>20</v>
      </c>
      <c r="G1083" s="711">
        <v>17180</v>
      </c>
      <c r="H1083" s="711">
        <v>1</v>
      </c>
      <c r="I1083" s="711">
        <v>859</v>
      </c>
      <c r="J1083" s="711"/>
      <c r="K1083" s="711"/>
      <c r="L1083" s="711"/>
      <c r="M1083" s="711"/>
      <c r="N1083" s="711"/>
      <c r="O1083" s="711"/>
      <c r="P1083" s="701"/>
      <c r="Q1083" s="712"/>
    </row>
    <row r="1084" spans="1:17" ht="14.4" customHeight="1" x14ac:dyDescent="0.3">
      <c r="A1084" s="695" t="s">
        <v>4908</v>
      </c>
      <c r="B1084" s="696" t="s">
        <v>4082</v>
      </c>
      <c r="C1084" s="696" t="s">
        <v>4114</v>
      </c>
      <c r="D1084" s="696" t="s">
        <v>4260</v>
      </c>
      <c r="E1084" s="696" t="s">
        <v>4189</v>
      </c>
      <c r="F1084" s="711">
        <v>22</v>
      </c>
      <c r="G1084" s="711">
        <v>12892</v>
      </c>
      <c r="H1084" s="711">
        <v>1</v>
      </c>
      <c r="I1084" s="711">
        <v>586</v>
      </c>
      <c r="J1084" s="711"/>
      <c r="K1084" s="711"/>
      <c r="L1084" s="711"/>
      <c r="M1084" s="711"/>
      <c r="N1084" s="711"/>
      <c r="O1084" s="711"/>
      <c r="P1084" s="701"/>
      <c r="Q1084" s="712"/>
    </row>
    <row r="1085" spans="1:17" ht="14.4" customHeight="1" x14ac:dyDescent="0.3">
      <c r="A1085" s="695" t="s">
        <v>4908</v>
      </c>
      <c r="B1085" s="696" t="s">
        <v>4082</v>
      </c>
      <c r="C1085" s="696" t="s">
        <v>4114</v>
      </c>
      <c r="D1085" s="696" t="s">
        <v>4894</v>
      </c>
      <c r="E1085" s="696" t="s">
        <v>4189</v>
      </c>
      <c r="F1085" s="711">
        <v>4</v>
      </c>
      <c r="G1085" s="711">
        <v>2924</v>
      </c>
      <c r="H1085" s="711">
        <v>1</v>
      </c>
      <c r="I1085" s="711">
        <v>731</v>
      </c>
      <c r="J1085" s="711"/>
      <c r="K1085" s="711"/>
      <c r="L1085" s="711"/>
      <c r="M1085" s="711"/>
      <c r="N1085" s="711"/>
      <c r="O1085" s="711"/>
      <c r="P1085" s="701"/>
      <c r="Q1085" s="712"/>
    </row>
    <row r="1086" spans="1:17" ht="14.4" customHeight="1" x14ac:dyDescent="0.3">
      <c r="A1086" s="695" t="s">
        <v>4909</v>
      </c>
      <c r="B1086" s="696" t="s">
        <v>4082</v>
      </c>
      <c r="C1086" s="696" t="s">
        <v>4103</v>
      </c>
      <c r="D1086" s="696" t="s">
        <v>4113</v>
      </c>
      <c r="E1086" s="696" t="s">
        <v>4111</v>
      </c>
      <c r="F1086" s="711"/>
      <c r="G1086" s="711"/>
      <c r="H1086" s="711"/>
      <c r="I1086" s="711"/>
      <c r="J1086" s="711"/>
      <c r="K1086" s="711"/>
      <c r="L1086" s="711"/>
      <c r="M1086" s="711"/>
      <c r="N1086" s="711">
        <v>1</v>
      </c>
      <c r="O1086" s="711">
        <v>500</v>
      </c>
      <c r="P1086" s="701"/>
      <c r="Q1086" s="712">
        <v>500</v>
      </c>
    </row>
    <row r="1087" spans="1:17" ht="14.4" customHeight="1" x14ac:dyDescent="0.3">
      <c r="A1087" s="695" t="s">
        <v>4909</v>
      </c>
      <c r="B1087" s="696" t="s">
        <v>4082</v>
      </c>
      <c r="C1087" s="696" t="s">
        <v>4114</v>
      </c>
      <c r="D1087" s="696" t="s">
        <v>4119</v>
      </c>
      <c r="E1087" s="696" t="s">
        <v>4120</v>
      </c>
      <c r="F1087" s="711"/>
      <c r="G1087" s="711"/>
      <c r="H1087" s="711"/>
      <c r="I1087" s="711"/>
      <c r="J1087" s="711">
        <v>1</v>
      </c>
      <c r="K1087" s="711">
        <v>34</v>
      </c>
      <c r="L1087" s="711"/>
      <c r="M1087" s="711">
        <v>34</v>
      </c>
      <c r="N1087" s="711"/>
      <c r="O1087" s="711"/>
      <c r="P1087" s="701"/>
      <c r="Q1087" s="712"/>
    </row>
    <row r="1088" spans="1:17" ht="14.4" customHeight="1" x14ac:dyDescent="0.3">
      <c r="A1088" s="695" t="s">
        <v>4909</v>
      </c>
      <c r="B1088" s="696" t="s">
        <v>4082</v>
      </c>
      <c r="C1088" s="696" t="s">
        <v>4114</v>
      </c>
      <c r="D1088" s="696" t="s">
        <v>4125</v>
      </c>
      <c r="E1088" s="696" t="s">
        <v>4078</v>
      </c>
      <c r="F1088" s="711">
        <v>1</v>
      </c>
      <c r="G1088" s="711">
        <v>156</v>
      </c>
      <c r="H1088" s="711">
        <v>1</v>
      </c>
      <c r="I1088" s="711">
        <v>156</v>
      </c>
      <c r="J1088" s="711"/>
      <c r="K1088" s="711"/>
      <c r="L1088" s="711"/>
      <c r="M1088" s="711"/>
      <c r="N1088" s="711"/>
      <c r="O1088" s="711"/>
      <c r="P1088" s="701"/>
      <c r="Q1088" s="712"/>
    </row>
    <row r="1089" spans="1:17" ht="14.4" customHeight="1" x14ac:dyDescent="0.3">
      <c r="A1089" s="695" t="s">
        <v>4909</v>
      </c>
      <c r="B1089" s="696" t="s">
        <v>4082</v>
      </c>
      <c r="C1089" s="696" t="s">
        <v>4114</v>
      </c>
      <c r="D1089" s="696" t="s">
        <v>4127</v>
      </c>
      <c r="E1089" s="696" t="s">
        <v>4128</v>
      </c>
      <c r="F1089" s="711">
        <v>2</v>
      </c>
      <c r="G1089" s="711">
        <v>462</v>
      </c>
      <c r="H1089" s="711">
        <v>1</v>
      </c>
      <c r="I1089" s="711">
        <v>231</v>
      </c>
      <c r="J1089" s="711">
        <v>9</v>
      </c>
      <c r="K1089" s="711">
        <v>2088</v>
      </c>
      <c r="L1089" s="711">
        <v>4.5194805194805197</v>
      </c>
      <c r="M1089" s="711">
        <v>232</v>
      </c>
      <c r="N1089" s="711">
        <v>10</v>
      </c>
      <c r="O1089" s="711">
        <v>2334</v>
      </c>
      <c r="P1089" s="701">
        <v>5.0519480519480515</v>
      </c>
      <c r="Q1089" s="712">
        <v>233.4</v>
      </c>
    </row>
    <row r="1090" spans="1:17" ht="14.4" customHeight="1" x14ac:dyDescent="0.3">
      <c r="A1090" s="695" t="s">
        <v>4909</v>
      </c>
      <c r="B1090" s="696" t="s">
        <v>4082</v>
      </c>
      <c r="C1090" s="696" t="s">
        <v>4114</v>
      </c>
      <c r="D1090" s="696" t="s">
        <v>4129</v>
      </c>
      <c r="E1090" s="696" t="s">
        <v>4130</v>
      </c>
      <c r="F1090" s="711">
        <v>4</v>
      </c>
      <c r="G1090" s="711">
        <v>464</v>
      </c>
      <c r="H1090" s="711">
        <v>1</v>
      </c>
      <c r="I1090" s="711">
        <v>116</v>
      </c>
      <c r="J1090" s="711">
        <v>2</v>
      </c>
      <c r="K1090" s="711">
        <v>232</v>
      </c>
      <c r="L1090" s="711">
        <v>0.5</v>
      </c>
      <c r="M1090" s="711">
        <v>116</v>
      </c>
      <c r="N1090" s="711">
        <v>1</v>
      </c>
      <c r="O1090" s="711">
        <v>118</v>
      </c>
      <c r="P1090" s="701">
        <v>0.25431034482758619</v>
      </c>
      <c r="Q1090" s="712">
        <v>118</v>
      </c>
    </row>
    <row r="1091" spans="1:17" ht="14.4" customHeight="1" x14ac:dyDescent="0.3">
      <c r="A1091" s="695" t="s">
        <v>4909</v>
      </c>
      <c r="B1091" s="696" t="s">
        <v>4082</v>
      </c>
      <c r="C1091" s="696" t="s">
        <v>4114</v>
      </c>
      <c r="D1091" s="696" t="s">
        <v>4133</v>
      </c>
      <c r="E1091" s="696" t="s">
        <v>4134</v>
      </c>
      <c r="F1091" s="711"/>
      <c r="G1091" s="711"/>
      <c r="H1091" s="711"/>
      <c r="I1091" s="711"/>
      <c r="J1091" s="711">
        <v>2</v>
      </c>
      <c r="K1091" s="711">
        <v>968</v>
      </c>
      <c r="L1091" s="711"/>
      <c r="M1091" s="711">
        <v>484</v>
      </c>
      <c r="N1091" s="711"/>
      <c r="O1091" s="711"/>
      <c r="P1091" s="701"/>
      <c r="Q1091" s="712"/>
    </row>
    <row r="1092" spans="1:17" ht="14.4" customHeight="1" x14ac:dyDescent="0.3">
      <c r="A1092" s="695" t="s">
        <v>4909</v>
      </c>
      <c r="B1092" s="696" t="s">
        <v>4082</v>
      </c>
      <c r="C1092" s="696" t="s">
        <v>4114</v>
      </c>
      <c r="D1092" s="696" t="s">
        <v>4135</v>
      </c>
      <c r="E1092" s="696" t="s">
        <v>4136</v>
      </c>
      <c r="F1092" s="711">
        <v>3</v>
      </c>
      <c r="G1092" s="711">
        <v>2028</v>
      </c>
      <c r="H1092" s="711">
        <v>1</v>
      </c>
      <c r="I1092" s="711">
        <v>676</v>
      </c>
      <c r="J1092" s="711"/>
      <c r="K1092" s="711"/>
      <c r="L1092" s="711"/>
      <c r="M1092" s="711"/>
      <c r="N1092" s="711"/>
      <c r="O1092" s="711"/>
      <c r="P1092" s="701"/>
      <c r="Q1092" s="712"/>
    </row>
    <row r="1093" spans="1:17" ht="14.4" customHeight="1" x14ac:dyDescent="0.3">
      <c r="A1093" s="695" t="s">
        <v>4909</v>
      </c>
      <c r="B1093" s="696" t="s">
        <v>4082</v>
      </c>
      <c r="C1093" s="696" t="s">
        <v>4114</v>
      </c>
      <c r="D1093" s="696" t="s">
        <v>4149</v>
      </c>
      <c r="E1093" s="696" t="s">
        <v>4150</v>
      </c>
      <c r="F1093" s="711"/>
      <c r="G1093" s="711"/>
      <c r="H1093" s="711"/>
      <c r="I1093" s="711"/>
      <c r="J1093" s="711">
        <v>1</v>
      </c>
      <c r="K1093" s="711">
        <v>327</v>
      </c>
      <c r="L1093" s="711"/>
      <c r="M1093" s="711">
        <v>327</v>
      </c>
      <c r="N1093" s="711">
        <v>2</v>
      </c>
      <c r="O1093" s="711">
        <v>654</v>
      </c>
      <c r="P1093" s="701"/>
      <c r="Q1093" s="712">
        <v>327</v>
      </c>
    </row>
    <row r="1094" spans="1:17" ht="14.4" customHeight="1" x14ac:dyDescent="0.3">
      <c r="A1094" s="695" t="s">
        <v>4909</v>
      </c>
      <c r="B1094" s="696" t="s">
        <v>4082</v>
      </c>
      <c r="C1094" s="696" t="s">
        <v>4114</v>
      </c>
      <c r="D1094" s="696" t="s">
        <v>4157</v>
      </c>
      <c r="E1094" s="696" t="s">
        <v>4158</v>
      </c>
      <c r="F1094" s="711"/>
      <c r="G1094" s="711"/>
      <c r="H1094" s="711"/>
      <c r="I1094" s="711"/>
      <c r="J1094" s="711">
        <v>2</v>
      </c>
      <c r="K1094" s="711">
        <v>1406</v>
      </c>
      <c r="L1094" s="711"/>
      <c r="M1094" s="711">
        <v>703</v>
      </c>
      <c r="N1094" s="711">
        <v>3</v>
      </c>
      <c r="O1094" s="711">
        <v>2115</v>
      </c>
      <c r="P1094" s="701"/>
      <c r="Q1094" s="712">
        <v>705</v>
      </c>
    </row>
    <row r="1095" spans="1:17" ht="14.4" customHeight="1" x14ac:dyDescent="0.3">
      <c r="A1095" s="695" t="s">
        <v>4909</v>
      </c>
      <c r="B1095" s="696" t="s">
        <v>4082</v>
      </c>
      <c r="C1095" s="696" t="s">
        <v>4114</v>
      </c>
      <c r="D1095" s="696" t="s">
        <v>4163</v>
      </c>
      <c r="E1095" s="696" t="s">
        <v>4164</v>
      </c>
      <c r="F1095" s="711"/>
      <c r="G1095" s="711"/>
      <c r="H1095" s="711"/>
      <c r="I1095" s="711"/>
      <c r="J1095" s="711"/>
      <c r="K1095" s="711"/>
      <c r="L1095" s="711"/>
      <c r="M1095" s="711"/>
      <c r="N1095" s="711">
        <v>8</v>
      </c>
      <c r="O1095" s="711">
        <v>896</v>
      </c>
      <c r="P1095" s="701"/>
      <c r="Q1095" s="712">
        <v>112</v>
      </c>
    </row>
    <row r="1096" spans="1:17" ht="14.4" customHeight="1" x14ac:dyDescent="0.3">
      <c r="A1096" s="695" t="s">
        <v>4909</v>
      </c>
      <c r="B1096" s="696" t="s">
        <v>4082</v>
      </c>
      <c r="C1096" s="696" t="s">
        <v>4114</v>
      </c>
      <c r="D1096" s="696" t="s">
        <v>4186</v>
      </c>
      <c r="E1096" s="696" t="s">
        <v>4142</v>
      </c>
      <c r="F1096" s="711"/>
      <c r="G1096" s="711"/>
      <c r="H1096" s="711"/>
      <c r="I1096" s="711"/>
      <c r="J1096" s="711">
        <v>1</v>
      </c>
      <c r="K1096" s="711">
        <v>335</v>
      </c>
      <c r="L1096" s="711"/>
      <c r="M1096" s="711">
        <v>335</v>
      </c>
      <c r="N1096" s="711"/>
      <c r="O1096" s="711"/>
      <c r="P1096" s="701"/>
      <c r="Q1096" s="712"/>
    </row>
    <row r="1097" spans="1:17" ht="14.4" customHeight="1" x14ac:dyDescent="0.3">
      <c r="A1097" s="695" t="s">
        <v>4909</v>
      </c>
      <c r="B1097" s="696" t="s">
        <v>4082</v>
      </c>
      <c r="C1097" s="696" t="s">
        <v>4114</v>
      </c>
      <c r="D1097" s="696" t="s">
        <v>4193</v>
      </c>
      <c r="E1097" s="696" t="s">
        <v>4194</v>
      </c>
      <c r="F1097" s="711"/>
      <c r="G1097" s="711"/>
      <c r="H1097" s="711"/>
      <c r="I1097" s="711"/>
      <c r="J1097" s="711"/>
      <c r="K1097" s="711"/>
      <c r="L1097" s="711"/>
      <c r="M1097" s="711"/>
      <c r="N1097" s="711">
        <v>1</v>
      </c>
      <c r="O1097" s="711">
        <v>1043</v>
      </c>
      <c r="P1097" s="701"/>
      <c r="Q1097" s="712">
        <v>1043</v>
      </c>
    </row>
    <row r="1098" spans="1:17" ht="14.4" customHeight="1" x14ac:dyDescent="0.3">
      <c r="A1098" s="695" t="s">
        <v>4910</v>
      </c>
      <c r="B1098" s="696" t="s">
        <v>4082</v>
      </c>
      <c r="C1098" s="696" t="s">
        <v>4103</v>
      </c>
      <c r="D1098" s="696" t="s">
        <v>4228</v>
      </c>
      <c r="E1098" s="696" t="s">
        <v>4229</v>
      </c>
      <c r="F1098" s="711"/>
      <c r="G1098" s="711"/>
      <c r="H1098" s="711"/>
      <c r="I1098" s="711"/>
      <c r="J1098" s="711">
        <v>10</v>
      </c>
      <c r="K1098" s="711">
        <v>9047.5</v>
      </c>
      <c r="L1098" s="711"/>
      <c r="M1098" s="711">
        <v>904.75</v>
      </c>
      <c r="N1098" s="711">
        <v>20</v>
      </c>
      <c r="O1098" s="711">
        <v>18095</v>
      </c>
      <c r="P1098" s="701"/>
      <c r="Q1098" s="712">
        <v>904.75</v>
      </c>
    </row>
    <row r="1099" spans="1:17" ht="14.4" customHeight="1" x14ac:dyDescent="0.3">
      <c r="A1099" s="695" t="s">
        <v>4910</v>
      </c>
      <c r="B1099" s="696" t="s">
        <v>4082</v>
      </c>
      <c r="C1099" s="696" t="s">
        <v>4103</v>
      </c>
      <c r="D1099" s="696" t="s">
        <v>4104</v>
      </c>
      <c r="E1099" s="696" t="s">
        <v>4105</v>
      </c>
      <c r="F1099" s="711"/>
      <c r="G1099" s="711"/>
      <c r="H1099" s="711"/>
      <c r="I1099" s="711"/>
      <c r="J1099" s="711">
        <v>1</v>
      </c>
      <c r="K1099" s="711">
        <v>242.64</v>
      </c>
      <c r="L1099" s="711"/>
      <c r="M1099" s="711">
        <v>242.64</v>
      </c>
      <c r="N1099" s="711"/>
      <c r="O1099" s="711"/>
      <c r="P1099" s="701"/>
      <c r="Q1099" s="712"/>
    </row>
    <row r="1100" spans="1:17" ht="14.4" customHeight="1" x14ac:dyDescent="0.3">
      <c r="A1100" s="695" t="s">
        <v>4910</v>
      </c>
      <c r="B1100" s="696" t="s">
        <v>4082</v>
      </c>
      <c r="C1100" s="696" t="s">
        <v>4103</v>
      </c>
      <c r="D1100" s="696" t="s">
        <v>4106</v>
      </c>
      <c r="E1100" s="696" t="s">
        <v>4107</v>
      </c>
      <c r="F1100" s="711">
        <v>115</v>
      </c>
      <c r="G1100" s="711">
        <v>27903.599999999999</v>
      </c>
      <c r="H1100" s="711">
        <v>1</v>
      </c>
      <c r="I1100" s="711">
        <v>242.64</v>
      </c>
      <c r="J1100" s="711">
        <v>71</v>
      </c>
      <c r="K1100" s="711">
        <v>17227.439999999999</v>
      </c>
      <c r="L1100" s="711">
        <v>0.61739130434782608</v>
      </c>
      <c r="M1100" s="711">
        <v>242.64</v>
      </c>
      <c r="N1100" s="711">
        <v>59</v>
      </c>
      <c r="O1100" s="711">
        <v>14315.759999999998</v>
      </c>
      <c r="P1100" s="701">
        <v>0.51304347826086949</v>
      </c>
      <c r="Q1100" s="712">
        <v>242.64</v>
      </c>
    </row>
    <row r="1101" spans="1:17" ht="14.4" customHeight="1" x14ac:dyDescent="0.3">
      <c r="A1101" s="695" t="s">
        <v>4910</v>
      </c>
      <c r="B1101" s="696" t="s">
        <v>4082</v>
      </c>
      <c r="C1101" s="696" t="s">
        <v>4103</v>
      </c>
      <c r="D1101" s="696" t="s">
        <v>4108</v>
      </c>
      <c r="E1101" s="696" t="s">
        <v>4109</v>
      </c>
      <c r="F1101" s="711">
        <v>14</v>
      </c>
      <c r="G1101" s="711">
        <v>3396.9599999999996</v>
      </c>
      <c r="H1101" s="711">
        <v>1</v>
      </c>
      <c r="I1101" s="711">
        <v>242.63999999999996</v>
      </c>
      <c r="J1101" s="711">
        <v>5</v>
      </c>
      <c r="K1101" s="711">
        <v>1213.1999999999998</v>
      </c>
      <c r="L1101" s="711">
        <v>0.35714285714285715</v>
      </c>
      <c r="M1101" s="711">
        <v>242.63999999999996</v>
      </c>
      <c r="N1101" s="711">
        <v>8</v>
      </c>
      <c r="O1101" s="711">
        <v>1941.12</v>
      </c>
      <c r="P1101" s="701">
        <v>0.57142857142857151</v>
      </c>
      <c r="Q1101" s="712">
        <v>242.64</v>
      </c>
    </row>
    <row r="1102" spans="1:17" ht="14.4" customHeight="1" x14ac:dyDescent="0.3">
      <c r="A1102" s="695" t="s">
        <v>4910</v>
      </c>
      <c r="B1102" s="696" t="s">
        <v>4082</v>
      </c>
      <c r="C1102" s="696" t="s">
        <v>4114</v>
      </c>
      <c r="D1102" s="696" t="s">
        <v>4230</v>
      </c>
      <c r="E1102" s="696" t="s">
        <v>4231</v>
      </c>
      <c r="F1102" s="711">
        <v>7</v>
      </c>
      <c r="G1102" s="711">
        <v>1295</v>
      </c>
      <c r="H1102" s="711">
        <v>1</v>
      </c>
      <c r="I1102" s="711">
        <v>185</v>
      </c>
      <c r="J1102" s="711">
        <v>6</v>
      </c>
      <c r="K1102" s="711">
        <v>1110</v>
      </c>
      <c r="L1102" s="711">
        <v>0.8571428571428571</v>
      </c>
      <c r="M1102" s="711">
        <v>185</v>
      </c>
      <c r="N1102" s="711">
        <v>3</v>
      </c>
      <c r="O1102" s="711">
        <v>555</v>
      </c>
      <c r="P1102" s="701">
        <v>0.42857142857142855</v>
      </c>
      <c r="Q1102" s="712">
        <v>185</v>
      </c>
    </row>
    <row r="1103" spans="1:17" ht="14.4" customHeight="1" x14ac:dyDescent="0.3">
      <c r="A1103" s="695" t="s">
        <v>4910</v>
      </c>
      <c r="B1103" s="696" t="s">
        <v>4082</v>
      </c>
      <c r="C1103" s="696" t="s">
        <v>4114</v>
      </c>
      <c r="D1103" s="696" t="s">
        <v>4119</v>
      </c>
      <c r="E1103" s="696" t="s">
        <v>4120</v>
      </c>
      <c r="F1103" s="711">
        <v>2</v>
      </c>
      <c r="G1103" s="711">
        <v>68</v>
      </c>
      <c r="H1103" s="711">
        <v>1</v>
      </c>
      <c r="I1103" s="711">
        <v>34</v>
      </c>
      <c r="J1103" s="711">
        <v>1</v>
      </c>
      <c r="K1103" s="711">
        <v>34</v>
      </c>
      <c r="L1103" s="711">
        <v>0.5</v>
      </c>
      <c r="M1103" s="711">
        <v>34</v>
      </c>
      <c r="N1103" s="711">
        <v>1</v>
      </c>
      <c r="O1103" s="711">
        <v>34</v>
      </c>
      <c r="P1103" s="701">
        <v>0.5</v>
      </c>
      <c r="Q1103" s="712">
        <v>34</v>
      </c>
    </row>
    <row r="1104" spans="1:17" ht="14.4" customHeight="1" x14ac:dyDescent="0.3">
      <c r="A1104" s="695" t="s">
        <v>4910</v>
      </c>
      <c r="B1104" s="696" t="s">
        <v>4082</v>
      </c>
      <c r="C1104" s="696" t="s">
        <v>4114</v>
      </c>
      <c r="D1104" s="696" t="s">
        <v>4125</v>
      </c>
      <c r="E1104" s="696" t="s">
        <v>4078</v>
      </c>
      <c r="F1104" s="711">
        <v>18</v>
      </c>
      <c r="G1104" s="711">
        <v>2808</v>
      </c>
      <c r="H1104" s="711">
        <v>1</v>
      </c>
      <c r="I1104" s="711">
        <v>156</v>
      </c>
      <c r="J1104" s="711"/>
      <c r="K1104" s="711"/>
      <c r="L1104" s="711"/>
      <c r="M1104" s="711"/>
      <c r="N1104" s="711"/>
      <c r="O1104" s="711"/>
      <c r="P1104" s="701"/>
      <c r="Q1104" s="712"/>
    </row>
    <row r="1105" spans="1:17" ht="14.4" customHeight="1" x14ac:dyDescent="0.3">
      <c r="A1105" s="695" t="s">
        <v>4910</v>
      </c>
      <c r="B1105" s="696" t="s">
        <v>4082</v>
      </c>
      <c r="C1105" s="696" t="s">
        <v>4114</v>
      </c>
      <c r="D1105" s="696" t="s">
        <v>4126</v>
      </c>
      <c r="E1105" s="696" t="s">
        <v>4078</v>
      </c>
      <c r="F1105" s="711">
        <v>23</v>
      </c>
      <c r="G1105" s="711">
        <v>1794</v>
      </c>
      <c r="H1105" s="711">
        <v>1</v>
      </c>
      <c r="I1105" s="711">
        <v>78</v>
      </c>
      <c r="J1105" s="711"/>
      <c r="K1105" s="711"/>
      <c r="L1105" s="711"/>
      <c r="M1105" s="711"/>
      <c r="N1105" s="711"/>
      <c r="O1105" s="711"/>
      <c r="P1105" s="701"/>
      <c r="Q1105" s="712"/>
    </row>
    <row r="1106" spans="1:17" ht="14.4" customHeight="1" x14ac:dyDescent="0.3">
      <c r="A1106" s="695" t="s">
        <v>4910</v>
      </c>
      <c r="B1106" s="696" t="s">
        <v>4082</v>
      </c>
      <c r="C1106" s="696" t="s">
        <v>4114</v>
      </c>
      <c r="D1106" s="696" t="s">
        <v>4127</v>
      </c>
      <c r="E1106" s="696" t="s">
        <v>4128</v>
      </c>
      <c r="F1106" s="711">
        <v>732</v>
      </c>
      <c r="G1106" s="711">
        <v>169092</v>
      </c>
      <c r="H1106" s="711">
        <v>1</v>
      </c>
      <c r="I1106" s="711">
        <v>231</v>
      </c>
      <c r="J1106" s="711">
        <v>806</v>
      </c>
      <c r="K1106" s="711">
        <v>186992</v>
      </c>
      <c r="L1106" s="711">
        <v>1.1058595320890403</v>
      </c>
      <c r="M1106" s="711">
        <v>232</v>
      </c>
      <c r="N1106" s="711">
        <v>1053</v>
      </c>
      <c r="O1106" s="711">
        <v>245120</v>
      </c>
      <c r="P1106" s="701">
        <v>1.4496250561824333</v>
      </c>
      <c r="Q1106" s="712">
        <v>232.78252611585944</v>
      </c>
    </row>
    <row r="1107" spans="1:17" ht="14.4" customHeight="1" x14ac:dyDescent="0.3">
      <c r="A1107" s="695" t="s">
        <v>4910</v>
      </c>
      <c r="B1107" s="696" t="s">
        <v>4082</v>
      </c>
      <c r="C1107" s="696" t="s">
        <v>4114</v>
      </c>
      <c r="D1107" s="696" t="s">
        <v>4129</v>
      </c>
      <c r="E1107" s="696" t="s">
        <v>4130</v>
      </c>
      <c r="F1107" s="711">
        <v>1692</v>
      </c>
      <c r="G1107" s="711">
        <v>196272</v>
      </c>
      <c r="H1107" s="711">
        <v>1</v>
      </c>
      <c r="I1107" s="711">
        <v>116</v>
      </c>
      <c r="J1107" s="711">
        <v>1918</v>
      </c>
      <c r="K1107" s="711">
        <v>222488</v>
      </c>
      <c r="L1107" s="711">
        <v>1.1335697399527187</v>
      </c>
      <c r="M1107" s="711">
        <v>116</v>
      </c>
      <c r="N1107" s="711">
        <v>1696</v>
      </c>
      <c r="O1107" s="711">
        <v>197990</v>
      </c>
      <c r="P1107" s="701">
        <v>1.0087531588815521</v>
      </c>
      <c r="Q1107" s="712">
        <v>116.73938679245283</v>
      </c>
    </row>
    <row r="1108" spans="1:17" ht="14.4" customHeight="1" x14ac:dyDescent="0.3">
      <c r="A1108" s="695" t="s">
        <v>4910</v>
      </c>
      <c r="B1108" s="696" t="s">
        <v>4082</v>
      </c>
      <c r="C1108" s="696" t="s">
        <v>4114</v>
      </c>
      <c r="D1108" s="696" t="s">
        <v>4131</v>
      </c>
      <c r="E1108" s="696" t="s">
        <v>4132</v>
      </c>
      <c r="F1108" s="711"/>
      <c r="G1108" s="711"/>
      <c r="H1108" s="711"/>
      <c r="I1108" s="711"/>
      <c r="J1108" s="711">
        <v>1</v>
      </c>
      <c r="K1108" s="711">
        <v>320</v>
      </c>
      <c r="L1108" s="711"/>
      <c r="M1108" s="711">
        <v>320</v>
      </c>
      <c r="N1108" s="711"/>
      <c r="O1108" s="711"/>
      <c r="P1108" s="701"/>
      <c r="Q1108" s="712"/>
    </row>
    <row r="1109" spans="1:17" ht="14.4" customHeight="1" x14ac:dyDescent="0.3">
      <c r="A1109" s="695" t="s">
        <v>4910</v>
      </c>
      <c r="B1109" s="696" t="s">
        <v>4082</v>
      </c>
      <c r="C1109" s="696" t="s">
        <v>4114</v>
      </c>
      <c r="D1109" s="696" t="s">
        <v>4133</v>
      </c>
      <c r="E1109" s="696" t="s">
        <v>4134</v>
      </c>
      <c r="F1109" s="711">
        <v>104</v>
      </c>
      <c r="G1109" s="711">
        <v>50232</v>
      </c>
      <c r="H1109" s="711">
        <v>1</v>
      </c>
      <c r="I1109" s="711">
        <v>483</v>
      </c>
      <c r="J1109" s="711">
        <v>63</v>
      </c>
      <c r="K1109" s="711">
        <v>30492</v>
      </c>
      <c r="L1109" s="711">
        <v>0.6070234113712375</v>
      </c>
      <c r="M1109" s="711">
        <v>484</v>
      </c>
      <c r="N1109" s="711">
        <v>40</v>
      </c>
      <c r="O1109" s="711">
        <v>19404</v>
      </c>
      <c r="P1109" s="701">
        <v>0.38628762541806022</v>
      </c>
      <c r="Q1109" s="712">
        <v>485.1</v>
      </c>
    </row>
    <row r="1110" spans="1:17" ht="14.4" customHeight="1" x14ac:dyDescent="0.3">
      <c r="A1110" s="695" t="s">
        <v>4910</v>
      </c>
      <c r="B1110" s="696" t="s">
        <v>4082</v>
      </c>
      <c r="C1110" s="696" t="s">
        <v>4114</v>
      </c>
      <c r="D1110" s="696" t="s">
        <v>4135</v>
      </c>
      <c r="E1110" s="696" t="s">
        <v>4136</v>
      </c>
      <c r="F1110" s="711">
        <v>334</v>
      </c>
      <c r="G1110" s="711">
        <v>225784</v>
      </c>
      <c r="H1110" s="711">
        <v>1</v>
      </c>
      <c r="I1110" s="711">
        <v>676</v>
      </c>
      <c r="J1110" s="711">
        <v>248</v>
      </c>
      <c r="K1110" s="711">
        <v>167896</v>
      </c>
      <c r="L1110" s="711">
        <v>0.74361336498600428</v>
      </c>
      <c r="M1110" s="711">
        <v>677</v>
      </c>
      <c r="N1110" s="711">
        <v>363</v>
      </c>
      <c r="O1110" s="711">
        <v>246023</v>
      </c>
      <c r="P1110" s="701">
        <v>1.0896387697976828</v>
      </c>
      <c r="Q1110" s="712">
        <v>677.74931129476579</v>
      </c>
    </row>
    <row r="1111" spans="1:17" ht="14.4" customHeight="1" x14ac:dyDescent="0.3">
      <c r="A1111" s="695" t="s">
        <v>4910</v>
      </c>
      <c r="B1111" s="696" t="s">
        <v>4082</v>
      </c>
      <c r="C1111" s="696" t="s">
        <v>4114</v>
      </c>
      <c r="D1111" s="696" t="s">
        <v>4893</v>
      </c>
      <c r="E1111" s="696" t="s">
        <v>4189</v>
      </c>
      <c r="F1111" s="711">
        <v>2</v>
      </c>
      <c r="G1111" s="711">
        <v>1562</v>
      </c>
      <c r="H1111" s="711">
        <v>1</v>
      </c>
      <c r="I1111" s="711">
        <v>781</v>
      </c>
      <c r="J1111" s="711"/>
      <c r="K1111" s="711"/>
      <c r="L1111" s="711"/>
      <c r="M1111" s="711"/>
      <c r="N1111" s="711"/>
      <c r="O1111" s="711"/>
      <c r="P1111" s="701"/>
      <c r="Q1111" s="712"/>
    </row>
    <row r="1112" spans="1:17" ht="14.4" customHeight="1" x14ac:dyDescent="0.3">
      <c r="A1112" s="695" t="s">
        <v>4910</v>
      </c>
      <c r="B1112" s="696" t="s">
        <v>4082</v>
      </c>
      <c r="C1112" s="696" t="s">
        <v>4114</v>
      </c>
      <c r="D1112" s="696" t="s">
        <v>4137</v>
      </c>
      <c r="E1112" s="696" t="s">
        <v>4138</v>
      </c>
      <c r="F1112" s="711">
        <v>4</v>
      </c>
      <c r="G1112" s="711">
        <v>2992</v>
      </c>
      <c r="H1112" s="711">
        <v>1</v>
      </c>
      <c r="I1112" s="711">
        <v>748</v>
      </c>
      <c r="J1112" s="711"/>
      <c r="K1112" s="711"/>
      <c r="L1112" s="711"/>
      <c r="M1112" s="711"/>
      <c r="N1112" s="711">
        <v>1</v>
      </c>
      <c r="O1112" s="711">
        <v>749</v>
      </c>
      <c r="P1112" s="701">
        <v>0.25033422459893045</v>
      </c>
      <c r="Q1112" s="712">
        <v>749</v>
      </c>
    </row>
    <row r="1113" spans="1:17" ht="14.4" customHeight="1" x14ac:dyDescent="0.3">
      <c r="A1113" s="695" t="s">
        <v>4910</v>
      </c>
      <c r="B1113" s="696" t="s">
        <v>4082</v>
      </c>
      <c r="C1113" s="696" t="s">
        <v>4114</v>
      </c>
      <c r="D1113" s="696" t="s">
        <v>4139</v>
      </c>
      <c r="E1113" s="696" t="s">
        <v>4134</v>
      </c>
      <c r="F1113" s="711">
        <v>39</v>
      </c>
      <c r="G1113" s="711">
        <v>21450</v>
      </c>
      <c r="H1113" s="711">
        <v>1</v>
      </c>
      <c r="I1113" s="711">
        <v>550</v>
      </c>
      <c r="J1113" s="711">
        <v>25</v>
      </c>
      <c r="K1113" s="711">
        <v>13825</v>
      </c>
      <c r="L1113" s="711">
        <v>0.64452214452214451</v>
      </c>
      <c r="M1113" s="711">
        <v>553</v>
      </c>
      <c r="N1113" s="711">
        <v>76</v>
      </c>
      <c r="O1113" s="711">
        <v>42136</v>
      </c>
      <c r="P1113" s="701">
        <v>1.9643822843822845</v>
      </c>
      <c r="Q1113" s="712">
        <v>554.42105263157896</v>
      </c>
    </row>
    <row r="1114" spans="1:17" ht="14.4" customHeight="1" x14ac:dyDescent="0.3">
      <c r="A1114" s="695" t="s">
        <v>4910</v>
      </c>
      <c r="B1114" s="696" t="s">
        <v>4082</v>
      </c>
      <c r="C1114" s="696" t="s">
        <v>4114</v>
      </c>
      <c r="D1114" s="696" t="s">
        <v>4140</v>
      </c>
      <c r="E1114" s="696" t="s">
        <v>4136</v>
      </c>
      <c r="F1114" s="711">
        <v>236</v>
      </c>
      <c r="G1114" s="711">
        <v>175348</v>
      </c>
      <c r="H1114" s="711">
        <v>1</v>
      </c>
      <c r="I1114" s="711">
        <v>743</v>
      </c>
      <c r="J1114" s="711">
        <v>420</v>
      </c>
      <c r="K1114" s="711">
        <v>313320</v>
      </c>
      <c r="L1114" s="711">
        <v>1.7868467276501585</v>
      </c>
      <c r="M1114" s="711">
        <v>746</v>
      </c>
      <c r="N1114" s="711">
        <v>431</v>
      </c>
      <c r="O1114" s="711">
        <v>322086</v>
      </c>
      <c r="P1114" s="701">
        <v>1.8368387435271574</v>
      </c>
      <c r="Q1114" s="712">
        <v>747.29930394431551</v>
      </c>
    </row>
    <row r="1115" spans="1:17" ht="14.4" customHeight="1" x14ac:dyDescent="0.3">
      <c r="A1115" s="695" t="s">
        <v>4910</v>
      </c>
      <c r="B1115" s="696" t="s">
        <v>4082</v>
      </c>
      <c r="C1115" s="696" t="s">
        <v>4114</v>
      </c>
      <c r="D1115" s="696" t="s">
        <v>4232</v>
      </c>
      <c r="E1115" s="696" t="s">
        <v>4233</v>
      </c>
      <c r="F1115" s="711">
        <v>1471</v>
      </c>
      <c r="G1115" s="711">
        <v>1176800</v>
      </c>
      <c r="H1115" s="711">
        <v>1</v>
      </c>
      <c r="I1115" s="711">
        <v>800</v>
      </c>
      <c r="J1115" s="711">
        <v>1470</v>
      </c>
      <c r="K1115" s="711">
        <v>1180410</v>
      </c>
      <c r="L1115" s="711">
        <v>1.0030676410605031</v>
      </c>
      <c r="M1115" s="711">
        <v>803</v>
      </c>
      <c r="N1115" s="711">
        <v>1427</v>
      </c>
      <c r="O1115" s="711">
        <v>1148445</v>
      </c>
      <c r="P1115" s="701">
        <v>0.97590499660095176</v>
      </c>
      <c r="Q1115" s="712">
        <v>804.79677645409947</v>
      </c>
    </row>
    <row r="1116" spans="1:17" ht="14.4" customHeight="1" x14ac:dyDescent="0.3">
      <c r="A1116" s="695" t="s">
        <v>4910</v>
      </c>
      <c r="B1116" s="696" t="s">
        <v>4082</v>
      </c>
      <c r="C1116" s="696" t="s">
        <v>4114</v>
      </c>
      <c r="D1116" s="696" t="s">
        <v>4141</v>
      </c>
      <c r="E1116" s="696" t="s">
        <v>4142</v>
      </c>
      <c r="F1116" s="711">
        <v>14</v>
      </c>
      <c r="G1116" s="711">
        <v>6090</v>
      </c>
      <c r="H1116" s="711">
        <v>1</v>
      </c>
      <c r="I1116" s="711">
        <v>435</v>
      </c>
      <c r="J1116" s="711">
        <v>22</v>
      </c>
      <c r="K1116" s="711">
        <v>9658</v>
      </c>
      <c r="L1116" s="711">
        <v>1.5858784893267652</v>
      </c>
      <c r="M1116" s="711">
        <v>439</v>
      </c>
      <c r="N1116" s="711">
        <v>11</v>
      </c>
      <c r="O1116" s="711">
        <v>4864</v>
      </c>
      <c r="P1116" s="701">
        <v>0.79868637110016416</v>
      </c>
      <c r="Q1116" s="712">
        <v>442.18181818181819</v>
      </c>
    </row>
    <row r="1117" spans="1:17" ht="14.4" customHeight="1" x14ac:dyDescent="0.3">
      <c r="A1117" s="695" t="s">
        <v>4910</v>
      </c>
      <c r="B1117" s="696" t="s">
        <v>4082</v>
      </c>
      <c r="C1117" s="696" t="s">
        <v>4114</v>
      </c>
      <c r="D1117" s="696" t="s">
        <v>4143</v>
      </c>
      <c r="E1117" s="696" t="s">
        <v>4144</v>
      </c>
      <c r="F1117" s="711">
        <v>90</v>
      </c>
      <c r="G1117" s="711">
        <v>38520</v>
      </c>
      <c r="H1117" s="711">
        <v>1</v>
      </c>
      <c r="I1117" s="711">
        <v>428</v>
      </c>
      <c r="J1117" s="711">
        <v>79</v>
      </c>
      <c r="K1117" s="711">
        <v>34049</v>
      </c>
      <c r="L1117" s="711">
        <v>0.88393042575285563</v>
      </c>
      <c r="M1117" s="711">
        <v>431</v>
      </c>
      <c r="N1117" s="711">
        <v>55</v>
      </c>
      <c r="O1117" s="711">
        <v>23813</v>
      </c>
      <c r="P1117" s="701">
        <v>0.61819833852544137</v>
      </c>
      <c r="Q1117" s="712">
        <v>432.96363636363634</v>
      </c>
    </row>
    <row r="1118" spans="1:17" ht="14.4" customHeight="1" x14ac:dyDescent="0.3">
      <c r="A1118" s="695" t="s">
        <v>4910</v>
      </c>
      <c r="B1118" s="696" t="s">
        <v>4082</v>
      </c>
      <c r="C1118" s="696" t="s">
        <v>4114</v>
      </c>
      <c r="D1118" s="696" t="s">
        <v>4255</v>
      </c>
      <c r="E1118" s="696" t="s">
        <v>4181</v>
      </c>
      <c r="F1118" s="711">
        <v>47</v>
      </c>
      <c r="G1118" s="711">
        <v>32947</v>
      </c>
      <c r="H1118" s="711">
        <v>1</v>
      </c>
      <c r="I1118" s="711">
        <v>701</v>
      </c>
      <c r="J1118" s="711">
        <v>81</v>
      </c>
      <c r="K1118" s="711">
        <v>57105</v>
      </c>
      <c r="L1118" s="711">
        <v>1.7332382310984309</v>
      </c>
      <c r="M1118" s="711">
        <v>705</v>
      </c>
      <c r="N1118" s="711">
        <v>42</v>
      </c>
      <c r="O1118" s="711">
        <v>29750</v>
      </c>
      <c r="P1118" s="701">
        <v>0.90296536862233279</v>
      </c>
      <c r="Q1118" s="712">
        <v>708.33333333333337</v>
      </c>
    </row>
    <row r="1119" spans="1:17" ht="14.4" customHeight="1" x14ac:dyDescent="0.3">
      <c r="A1119" s="695" t="s">
        <v>4910</v>
      </c>
      <c r="B1119" s="696" t="s">
        <v>4082</v>
      </c>
      <c r="C1119" s="696" t="s">
        <v>4114</v>
      </c>
      <c r="D1119" s="696" t="s">
        <v>4256</v>
      </c>
      <c r="E1119" s="696" t="s">
        <v>4138</v>
      </c>
      <c r="F1119" s="711">
        <v>9</v>
      </c>
      <c r="G1119" s="711">
        <v>7335</v>
      </c>
      <c r="H1119" s="711">
        <v>1</v>
      </c>
      <c r="I1119" s="711">
        <v>815</v>
      </c>
      <c r="J1119" s="711">
        <v>13</v>
      </c>
      <c r="K1119" s="711">
        <v>10634</v>
      </c>
      <c r="L1119" s="711">
        <v>1.4497614178595775</v>
      </c>
      <c r="M1119" s="711">
        <v>818</v>
      </c>
      <c r="N1119" s="711">
        <v>13</v>
      </c>
      <c r="O1119" s="711">
        <v>10678</v>
      </c>
      <c r="P1119" s="701">
        <v>1.4557600545330607</v>
      </c>
      <c r="Q1119" s="712">
        <v>821.38461538461536</v>
      </c>
    </row>
    <row r="1120" spans="1:17" ht="14.4" customHeight="1" x14ac:dyDescent="0.3">
      <c r="A1120" s="695" t="s">
        <v>4910</v>
      </c>
      <c r="B1120" s="696" t="s">
        <v>4082</v>
      </c>
      <c r="C1120" s="696" t="s">
        <v>4114</v>
      </c>
      <c r="D1120" s="696" t="s">
        <v>4145</v>
      </c>
      <c r="E1120" s="696" t="s">
        <v>4146</v>
      </c>
      <c r="F1120" s="711">
        <v>232</v>
      </c>
      <c r="G1120" s="711">
        <v>47792</v>
      </c>
      <c r="H1120" s="711">
        <v>1</v>
      </c>
      <c r="I1120" s="711">
        <v>206</v>
      </c>
      <c r="J1120" s="711">
        <v>399</v>
      </c>
      <c r="K1120" s="711">
        <v>82593</v>
      </c>
      <c r="L1120" s="711">
        <v>1.7281762638098426</v>
      </c>
      <c r="M1120" s="711">
        <v>207</v>
      </c>
      <c r="N1120" s="711">
        <v>378</v>
      </c>
      <c r="O1120" s="711">
        <v>78568</v>
      </c>
      <c r="P1120" s="701">
        <v>1.6439571476397723</v>
      </c>
      <c r="Q1120" s="712">
        <v>207.85185185185185</v>
      </c>
    </row>
    <row r="1121" spans="1:17" ht="14.4" customHeight="1" x14ac:dyDescent="0.3">
      <c r="A1121" s="695" t="s">
        <v>4910</v>
      </c>
      <c r="B1121" s="696" t="s">
        <v>4082</v>
      </c>
      <c r="C1121" s="696" t="s">
        <v>4114</v>
      </c>
      <c r="D1121" s="696" t="s">
        <v>4149</v>
      </c>
      <c r="E1121" s="696" t="s">
        <v>4150</v>
      </c>
      <c r="F1121" s="711">
        <v>16</v>
      </c>
      <c r="G1121" s="711">
        <v>5216</v>
      </c>
      <c r="H1121" s="711">
        <v>1</v>
      </c>
      <c r="I1121" s="711">
        <v>326</v>
      </c>
      <c r="J1121" s="711">
        <v>5</v>
      </c>
      <c r="K1121" s="711">
        <v>1635</v>
      </c>
      <c r="L1121" s="711">
        <v>0.3134585889570552</v>
      </c>
      <c r="M1121" s="711">
        <v>327</v>
      </c>
      <c r="N1121" s="711">
        <v>5</v>
      </c>
      <c r="O1121" s="711">
        <v>1644</v>
      </c>
      <c r="P1121" s="701">
        <v>0.31518404907975461</v>
      </c>
      <c r="Q1121" s="712">
        <v>328.8</v>
      </c>
    </row>
    <row r="1122" spans="1:17" ht="14.4" customHeight="1" x14ac:dyDescent="0.3">
      <c r="A1122" s="695" t="s">
        <v>4910</v>
      </c>
      <c r="B1122" s="696" t="s">
        <v>4082</v>
      </c>
      <c r="C1122" s="696" t="s">
        <v>4114</v>
      </c>
      <c r="D1122" s="696" t="s">
        <v>4153</v>
      </c>
      <c r="E1122" s="696" t="s">
        <v>4154</v>
      </c>
      <c r="F1122" s="711">
        <v>2666</v>
      </c>
      <c r="G1122" s="711">
        <v>215946</v>
      </c>
      <c r="H1122" s="711">
        <v>1</v>
      </c>
      <c r="I1122" s="711">
        <v>81</v>
      </c>
      <c r="J1122" s="711">
        <v>2554</v>
      </c>
      <c r="K1122" s="711">
        <v>209428</v>
      </c>
      <c r="L1122" s="711">
        <v>0.96981652820612563</v>
      </c>
      <c r="M1122" s="711">
        <v>82</v>
      </c>
      <c r="N1122" s="711">
        <v>2699</v>
      </c>
      <c r="O1122" s="711">
        <v>223520</v>
      </c>
      <c r="P1122" s="701">
        <v>1.0350735832106175</v>
      </c>
      <c r="Q1122" s="712">
        <v>82.815857725083362</v>
      </c>
    </row>
    <row r="1123" spans="1:17" ht="14.4" customHeight="1" x14ac:dyDescent="0.3">
      <c r="A1123" s="695" t="s">
        <v>4910</v>
      </c>
      <c r="B1123" s="696" t="s">
        <v>4082</v>
      </c>
      <c r="C1123" s="696" t="s">
        <v>4114</v>
      </c>
      <c r="D1123" s="696" t="s">
        <v>4157</v>
      </c>
      <c r="E1123" s="696" t="s">
        <v>4158</v>
      </c>
      <c r="F1123" s="711">
        <v>4</v>
      </c>
      <c r="G1123" s="711">
        <v>3408</v>
      </c>
      <c r="H1123" s="711">
        <v>1</v>
      </c>
      <c r="I1123" s="711">
        <v>852</v>
      </c>
      <c r="J1123" s="711">
        <v>4</v>
      </c>
      <c r="K1123" s="711">
        <v>2812</v>
      </c>
      <c r="L1123" s="711">
        <v>0.82511737089201875</v>
      </c>
      <c r="M1123" s="711">
        <v>703</v>
      </c>
      <c r="N1123" s="711">
        <v>4</v>
      </c>
      <c r="O1123" s="711">
        <v>2818</v>
      </c>
      <c r="P1123" s="701">
        <v>0.8268779342723005</v>
      </c>
      <c r="Q1123" s="712">
        <v>704.5</v>
      </c>
    </row>
    <row r="1124" spans="1:17" ht="14.4" customHeight="1" x14ac:dyDescent="0.3">
      <c r="A1124" s="695" t="s">
        <v>4910</v>
      </c>
      <c r="B1124" s="696" t="s">
        <v>4082</v>
      </c>
      <c r="C1124" s="696" t="s">
        <v>4114</v>
      </c>
      <c r="D1124" s="696" t="s">
        <v>4159</v>
      </c>
      <c r="E1124" s="696" t="s">
        <v>4160</v>
      </c>
      <c r="F1124" s="711">
        <v>1</v>
      </c>
      <c r="G1124" s="711">
        <v>0</v>
      </c>
      <c r="H1124" s="711"/>
      <c r="I1124" s="711">
        <v>0</v>
      </c>
      <c r="J1124" s="711"/>
      <c r="K1124" s="711"/>
      <c r="L1124" s="711"/>
      <c r="M1124" s="711"/>
      <c r="N1124" s="711"/>
      <c r="O1124" s="711"/>
      <c r="P1124" s="701"/>
      <c r="Q1124" s="712"/>
    </row>
    <row r="1125" spans="1:17" ht="14.4" customHeight="1" x14ac:dyDescent="0.3">
      <c r="A1125" s="695" t="s">
        <v>4910</v>
      </c>
      <c r="B1125" s="696" t="s">
        <v>4082</v>
      </c>
      <c r="C1125" s="696" t="s">
        <v>4114</v>
      </c>
      <c r="D1125" s="696" t="s">
        <v>4234</v>
      </c>
      <c r="E1125" s="696" t="s">
        <v>4233</v>
      </c>
      <c r="F1125" s="711">
        <v>196</v>
      </c>
      <c r="G1125" s="711">
        <v>181496</v>
      </c>
      <c r="H1125" s="711">
        <v>1</v>
      </c>
      <c r="I1125" s="711">
        <v>926</v>
      </c>
      <c r="J1125" s="711">
        <v>181</v>
      </c>
      <c r="K1125" s="711">
        <v>168149</v>
      </c>
      <c r="L1125" s="711">
        <v>0.9264611892273108</v>
      </c>
      <c r="M1125" s="711">
        <v>929</v>
      </c>
      <c r="N1125" s="711">
        <v>76</v>
      </c>
      <c r="O1125" s="711">
        <v>70800</v>
      </c>
      <c r="P1125" s="701">
        <v>0.39009124168025744</v>
      </c>
      <c r="Q1125" s="712">
        <v>931.57894736842104</v>
      </c>
    </row>
    <row r="1126" spans="1:17" ht="14.4" customHeight="1" x14ac:dyDescent="0.3">
      <c r="A1126" s="695" t="s">
        <v>4910</v>
      </c>
      <c r="B1126" s="696" t="s">
        <v>4082</v>
      </c>
      <c r="C1126" s="696" t="s">
        <v>4114</v>
      </c>
      <c r="D1126" s="696" t="s">
        <v>4161</v>
      </c>
      <c r="E1126" s="696" t="s">
        <v>4162</v>
      </c>
      <c r="F1126" s="711"/>
      <c r="G1126" s="711"/>
      <c r="H1126" s="711"/>
      <c r="I1126" s="711"/>
      <c r="J1126" s="711">
        <v>4</v>
      </c>
      <c r="K1126" s="711">
        <v>0</v>
      </c>
      <c r="L1126" s="711"/>
      <c r="M1126" s="711">
        <v>0</v>
      </c>
      <c r="N1126" s="711"/>
      <c r="O1126" s="711"/>
      <c r="P1126" s="701"/>
      <c r="Q1126" s="712"/>
    </row>
    <row r="1127" spans="1:17" ht="14.4" customHeight="1" x14ac:dyDescent="0.3">
      <c r="A1127" s="695" t="s">
        <v>4910</v>
      </c>
      <c r="B1127" s="696" t="s">
        <v>4082</v>
      </c>
      <c r="C1127" s="696" t="s">
        <v>4114</v>
      </c>
      <c r="D1127" s="696" t="s">
        <v>4163</v>
      </c>
      <c r="E1127" s="696" t="s">
        <v>4164</v>
      </c>
      <c r="F1127" s="711">
        <v>46</v>
      </c>
      <c r="G1127" s="711">
        <v>5106</v>
      </c>
      <c r="H1127" s="711">
        <v>1</v>
      </c>
      <c r="I1127" s="711">
        <v>111</v>
      </c>
      <c r="J1127" s="711">
        <v>16</v>
      </c>
      <c r="K1127" s="711">
        <v>1792</v>
      </c>
      <c r="L1127" s="711">
        <v>0.35095965530748141</v>
      </c>
      <c r="M1127" s="711">
        <v>112</v>
      </c>
      <c r="N1127" s="711">
        <v>8</v>
      </c>
      <c r="O1127" s="711">
        <v>896</v>
      </c>
      <c r="P1127" s="701">
        <v>0.17547982765374071</v>
      </c>
      <c r="Q1127" s="712">
        <v>112</v>
      </c>
    </row>
    <row r="1128" spans="1:17" ht="14.4" customHeight="1" x14ac:dyDescent="0.3">
      <c r="A1128" s="695" t="s">
        <v>4910</v>
      </c>
      <c r="B1128" s="696" t="s">
        <v>4082</v>
      </c>
      <c r="C1128" s="696" t="s">
        <v>4114</v>
      </c>
      <c r="D1128" s="696" t="s">
        <v>4235</v>
      </c>
      <c r="E1128" s="696" t="s">
        <v>4233</v>
      </c>
      <c r="F1128" s="711">
        <v>433</v>
      </c>
      <c r="G1128" s="711">
        <v>317389</v>
      </c>
      <c r="H1128" s="711">
        <v>1</v>
      </c>
      <c r="I1128" s="711">
        <v>733</v>
      </c>
      <c r="J1128" s="711">
        <v>203</v>
      </c>
      <c r="K1128" s="711">
        <v>149002</v>
      </c>
      <c r="L1128" s="711">
        <v>0.46946176458541411</v>
      </c>
      <c r="M1128" s="711">
        <v>734</v>
      </c>
      <c r="N1128" s="711">
        <v>313</v>
      </c>
      <c r="O1128" s="711">
        <v>229916</v>
      </c>
      <c r="P1128" s="701">
        <v>0.72439813604126169</v>
      </c>
      <c r="Q1128" s="712">
        <v>734.55591054313095</v>
      </c>
    </row>
    <row r="1129" spans="1:17" ht="14.4" customHeight="1" x14ac:dyDescent="0.3">
      <c r="A1129" s="695" t="s">
        <v>4910</v>
      </c>
      <c r="B1129" s="696" t="s">
        <v>4082</v>
      </c>
      <c r="C1129" s="696" t="s">
        <v>4114</v>
      </c>
      <c r="D1129" s="696" t="s">
        <v>4243</v>
      </c>
      <c r="E1129" s="696" t="s">
        <v>4244</v>
      </c>
      <c r="F1129" s="711"/>
      <c r="G1129" s="711"/>
      <c r="H1129" s="711"/>
      <c r="I1129" s="711"/>
      <c r="J1129" s="711"/>
      <c r="K1129" s="711"/>
      <c r="L1129" s="711"/>
      <c r="M1129" s="711"/>
      <c r="N1129" s="711">
        <v>1</v>
      </c>
      <c r="O1129" s="711">
        <v>56</v>
      </c>
      <c r="P1129" s="701"/>
      <c r="Q1129" s="712">
        <v>56</v>
      </c>
    </row>
    <row r="1130" spans="1:17" ht="14.4" customHeight="1" x14ac:dyDescent="0.3">
      <c r="A1130" s="695" t="s">
        <v>4910</v>
      </c>
      <c r="B1130" s="696" t="s">
        <v>4082</v>
      </c>
      <c r="C1130" s="696" t="s">
        <v>4114</v>
      </c>
      <c r="D1130" s="696" t="s">
        <v>4165</v>
      </c>
      <c r="E1130" s="696" t="s">
        <v>4166</v>
      </c>
      <c r="F1130" s="711"/>
      <c r="G1130" s="711"/>
      <c r="H1130" s="711"/>
      <c r="I1130" s="711"/>
      <c r="J1130" s="711">
        <v>3</v>
      </c>
      <c r="K1130" s="711">
        <v>243</v>
      </c>
      <c r="L1130" s="711"/>
      <c r="M1130" s="711">
        <v>81</v>
      </c>
      <c r="N1130" s="711"/>
      <c r="O1130" s="711"/>
      <c r="P1130" s="701"/>
      <c r="Q1130" s="712"/>
    </row>
    <row r="1131" spans="1:17" ht="14.4" customHeight="1" x14ac:dyDescent="0.3">
      <c r="A1131" s="695" t="s">
        <v>4910</v>
      </c>
      <c r="B1131" s="696" t="s">
        <v>4082</v>
      </c>
      <c r="C1131" s="696" t="s">
        <v>4114</v>
      </c>
      <c r="D1131" s="696" t="s">
        <v>4236</v>
      </c>
      <c r="E1131" s="696" t="s">
        <v>4237</v>
      </c>
      <c r="F1131" s="711">
        <v>88</v>
      </c>
      <c r="G1131" s="711">
        <v>46024</v>
      </c>
      <c r="H1131" s="711">
        <v>1</v>
      </c>
      <c r="I1131" s="711">
        <v>523</v>
      </c>
      <c r="J1131" s="711">
        <v>60</v>
      </c>
      <c r="K1131" s="711">
        <v>31440</v>
      </c>
      <c r="L1131" s="711">
        <v>0.68312184946984178</v>
      </c>
      <c r="M1131" s="711">
        <v>524</v>
      </c>
      <c r="N1131" s="711">
        <v>77</v>
      </c>
      <c r="O1131" s="711">
        <v>40404</v>
      </c>
      <c r="P1131" s="701">
        <v>0.87788979662784639</v>
      </c>
      <c r="Q1131" s="712">
        <v>524.72727272727275</v>
      </c>
    </row>
    <row r="1132" spans="1:17" ht="14.4" customHeight="1" x14ac:dyDescent="0.3">
      <c r="A1132" s="695" t="s">
        <v>4910</v>
      </c>
      <c r="B1132" s="696" t="s">
        <v>4082</v>
      </c>
      <c r="C1132" s="696" t="s">
        <v>4114</v>
      </c>
      <c r="D1132" s="696" t="s">
        <v>4171</v>
      </c>
      <c r="E1132" s="696" t="s">
        <v>4172</v>
      </c>
      <c r="F1132" s="711">
        <v>39</v>
      </c>
      <c r="G1132" s="711">
        <v>11505</v>
      </c>
      <c r="H1132" s="711">
        <v>1</v>
      </c>
      <c r="I1132" s="711">
        <v>295</v>
      </c>
      <c r="J1132" s="711">
        <v>31</v>
      </c>
      <c r="K1132" s="711">
        <v>9176</v>
      </c>
      <c r="L1132" s="711">
        <v>0.79756627553237724</v>
      </c>
      <c r="M1132" s="711">
        <v>296</v>
      </c>
      <c r="N1132" s="711">
        <v>7</v>
      </c>
      <c r="O1132" s="711">
        <v>2080</v>
      </c>
      <c r="P1132" s="701">
        <v>0.1807909604519774</v>
      </c>
      <c r="Q1132" s="712">
        <v>297.14285714285717</v>
      </c>
    </row>
    <row r="1133" spans="1:17" ht="14.4" customHeight="1" x14ac:dyDescent="0.3">
      <c r="A1133" s="695" t="s">
        <v>4910</v>
      </c>
      <c r="B1133" s="696" t="s">
        <v>4082</v>
      </c>
      <c r="C1133" s="696" t="s">
        <v>4114</v>
      </c>
      <c r="D1133" s="696" t="s">
        <v>4238</v>
      </c>
      <c r="E1133" s="696" t="s">
        <v>4146</v>
      </c>
      <c r="F1133" s="711">
        <v>113</v>
      </c>
      <c r="G1133" s="711">
        <v>19436</v>
      </c>
      <c r="H1133" s="711">
        <v>1</v>
      </c>
      <c r="I1133" s="711">
        <v>172</v>
      </c>
      <c r="J1133" s="711">
        <v>63</v>
      </c>
      <c r="K1133" s="711">
        <v>10836</v>
      </c>
      <c r="L1133" s="711">
        <v>0.55752212389380529</v>
      </c>
      <c r="M1133" s="711">
        <v>172</v>
      </c>
      <c r="N1133" s="711">
        <v>73</v>
      </c>
      <c r="O1133" s="711">
        <v>12606</v>
      </c>
      <c r="P1133" s="701">
        <v>0.6485902449063593</v>
      </c>
      <c r="Q1133" s="712">
        <v>172.68493150684932</v>
      </c>
    </row>
    <row r="1134" spans="1:17" ht="14.4" customHeight="1" x14ac:dyDescent="0.3">
      <c r="A1134" s="695" t="s">
        <v>4910</v>
      </c>
      <c r="B1134" s="696" t="s">
        <v>4082</v>
      </c>
      <c r="C1134" s="696" t="s">
        <v>4114</v>
      </c>
      <c r="D1134" s="696" t="s">
        <v>4175</v>
      </c>
      <c r="E1134" s="696" t="s">
        <v>4172</v>
      </c>
      <c r="F1134" s="711">
        <v>138</v>
      </c>
      <c r="G1134" s="711">
        <v>49956</v>
      </c>
      <c r="H1134" s="711">
        <v>1</v>
      </c>
      <c r="I1134" s="711">
        <v>362</v>
      </c>
      <c r="J1134" s="711">
        <v>59</v>
      </c>
      <c r="K1134" s="711">
        <v>21535</v>
      </c>
      <c r="L1134" s="711">
        <v>0.43107934982784851</v>
      </c>
      <c r="M1134" s="711">
        <v>365</v>
      </c>
      <c r="N1134" s="711">
        <v>26</v>
      </c>
      <c r="O1134" s="711">
        <v>9510</v>
      </c>
      <c r="P1134" s="701">
        <v>0.19036752342061014</v>
      </c>
      <c r="Q1134" s="712">
        <v>365.76923076923077</v>
      </c>
    </row>
    <row r="1135" spans="1:17" ht="14.4" customHeight="1" x14ac:dyDescent="0.3">
      <c r="A1135" s="695" t="s">
        <v>4910</v>
      </c>
      <c r="B1135" s="696" t="s">
        <v>4082</v>
      </c>
      <c r="C1135" s="696" t="s">
        <v>4114</v>
      </c>
      <c r="D1135" s="696" t="s">
        <v>4178</v>
      </c>
      <c r="E1135" s="696" t="s">
        <v>4179</v>
      </c>
      <c r="F1135" s="711">
        <v>1</v>
      </c>
      <c r="G1135" s="711">
        <v>632</v>
      </c>
      <c r="H1135" s="711">
        <v>1</v>
      </c>
      <c r="I1135" s="711">
        <v>632</v>
      </c>
      <c r="J1135" s="711"/>
      <c r="K1135" s="711"/>
      <c r="L1135" s="711"/>
      <c r="M1135" s="711"/>
      <c r="N1135" s="711"/>
      <c r="O1135" s="711"/>
      <c r="P1135" s="701"/>
      <c r="Q1135" s="712"/>
    </row>
    <row r="1136" spans="1:17" ht="14.4" customHeight="1" x14ac:dyDescent="0.3">
      <c r="A1136" s="695" t="s">
        <v>4910</v>
      </c>
      <c r="B1136" s="696" t="s">
        <v>4082</v>
      </c>
      <c r="C1136" s="696" t="s">
        <v>4114</v>
      </c>
      <c r="D1136" s="696" t="s">
        <v>4180</v>
      </c>
      <c r="E1136" s="696" t="s">
        <v>4181</v>
      </c>
      <c r="F1136" s="711">
        <v>18</v>
      </c>
      <c r="G1136" s="711">
        <v>10782</v>
      </c>
      <c r="H1136" s="711">
        <v>1</v>
      </c>
      <c r="I1136" s="711">
        <v>599</v>
      </c>
      <c r="J1136" s="711">
        <v>2</v>
      </c>
      <c r="K1136" s="711">
        <v>1202</v>
      </c>
      <c r="L1136" s="711">
        <v>0.11148209979595622</v>
      </c>
      <c r="M1136" s="711">
        <v>601</v>
      </c>
      <c r="N1136" s="711">
        <v>7</v>
      </c>
      <c r="O1136" s="711">
        <v>4215</v>
      </c>
      <c r="P1136" s="701">
        <v>0.39092932665553698</v>
      </c>
      <c r="Q1136" s="712">
        <v>602.14285714285711</v>
      </c>
    </row>
    <row r="1137" spans="1:17" ht="14.4" customHeight="1" x14ac:dyDescent="0.3">
      <c r="A1137" s="695" t="s">
        <v>4910</v>
      </c>
      <c r="B1137" s="696" t="s">
        <v>4082</v>
      </c>
      <c r="C1137" s="696" t="s">
        <v>4114</v>
      </c>
      <c r="D1137" s="696" t="s">
        <v>4257</v>
      </c>
      <c r="E1137" s="696" t="s">
        <v>4258</v>
      </c>
      <c r="F1137" s="711">
        <v>9</v>
      </c>
      <c r="G1137" s="711">
        <v>900</v>
      </c>
      <c r="H1137" s="711">
        <v>1</v>
      </c>
      <c r="I1137" s="711">
        <v>100</v>
      </c>
      <c r="J1137" s="711">
        <v>3</v>
      </c>
      <c r="K1137" s="711">
        <v>300</v>
      </c>
      <c r="L1137" s="711">
        <v>0.33333333333333331</v>
      </c>
      <c r="M1137" s="711">
        <v>100</v>
      </c>
      <c r="N1137" s="711">
        <v>2</v>
      </c>
      <c r="O1137" s="711">
        <v>200</v>
      </c>
      <c r="P1137" s="701">
        <v>0.22222222222222221</v>
      </c>
      <c r="Q1137" s="712">
        <v>100</v>
      </c>
    </row>
    <row r="1138" spans="1:17" ht="14.4" customHeight="1" x14ac:dyDescent="0.3">
      <c r="A1138" s="695" t="s">
        <v>4910</v>
      </c>
      <c r="B1138" s="696" t="s">
        <v>4082</v>
      </c>
      <c r="C1138" s="696" t="s">
        <v>4114</v>
      </c>
      <c r="D1138" s="696" t="s">
        <v>4239</v>
      </c>
      <c r="E1138" s="696" t="s">
        <v>4233</v>
      </c>
      <c r="F1138" s="711"/>
      <c r="G1138" s="711"/>
      <c r="H1138" s="711"/>
      <c r="I1138" s="711"/>
      <c r="J1138" s="711">
        <v>6</v>
      </c>
      <c r="K1138" s="711">
        <v>6072</v>
      </c>
      <c r="L1138" s="711"/>
      <c r="M1138" s="711">
        <v>1012</v>
      </c>
      <c r="N1138" s="711"/>
      <c r="O1138" s="711"/>
      <c r="P1138" s="701"/>
      <c r="Q1138" s="712"/>
    </row>
    <row r="1139" spans="1:17" ht="14.4" customHeight="1" x14ac:dyDescent="0.3">
      <c r="A1139" s="695" t="s">
        <v>4910</v>
      </c>
      <c r="B1139" s="696" t="s">
        <v>4082</v>
      </c>
      <c r="C1139" s="696" t="s">
        <v>4114</v>
      </c>
      <c r="D1139" s="696" t="s">
        <v>4186</v>
      </c>
      <c r="E1139" s="696" t="s">
        <v>4142</v>
      </c>
      <c r="F1139" s="711">
        <v>15</v>
      </c>
      <c r="G1139" s="711">
        <v>4995</v>
      </c>
      <c r="H1139" s="711">
        <v>1</v>
      </c>
      <c r="I1139" s="711">
        <v>333</v>
      </c>
      <c r="J1139" s="711">
        <v>5</v>
      </c>
      <c r="K1139" s="711">
        <v>1675</v>
      </c>
      <c r="L1139" s="711">
        <v>0.33533533533533533</v>
      </c>
      <c r="M1139" s="711">
        <v>335</v>
      </c>
      <c r="N1139" s="711">
        <v>4</v>
      </c>
      <c r="O1139" s="711">
        <v>1340</v>
      </c>
      <c r="P1139" s="701">
        <v>0.26826826826826827</v>
      </c>
      <c r="Q1139" s="712">
        <v>335</v>
      </c>
    </row>
    <row r="1140" spans="1:17" ht="14.4" customHeight="1" x14ac:dyDescent="0.3">
      <c r="A1140" s="695" t="s">
        <v>4910</v>
      </c>
      <c r="B1140" s="696" t="s">
        <v>4082</v>
      </c>
      <c r="C1140" s="696" t="s">
        <v>4114</v>
      </c>
      <c r="D1140" s="696" t="s">
        <v>4187</v>
      </c>
      <c r="E1140" s="696" t="s">
        <v>4144</v>
      </c>
      <c r="F1140" s="711">
        <v>50</v>
      </c>
      <c r="G1140" s="711">
        <v>18050</v>
      </c>
      <c r="H1140" s="711">
        <v>1</v>
      </c>
      <c r="I1140" s="711">
        <v>361</v>
      </c>
      <c r="J1140" s="711">
        <v>13</v>
      </c>
      <c r="K1140" s="711">
        <v>4706</v>
      </c>
      <c r="L1140" s="711">
        <v>0.26072022160664821</v>
      </c>
      <c r="M1140" s="711">
        <v>362</v>
      </c>
      <c r="N1140" s="711">
        <v>16</v>
      </c>
      <c r="O1140" s="711">
        <v>5802</v>
      </c>
      <c r="P1140" s="701">
        <v>0.3214404432132964</v>
      </c>
      <c r="Q1140" s="712">
        <v>362.625</v>
      </c>
    </row>
    <row r="1141" spans="1:17" ht="14.4" customHeight="1" x14ac:dyDescent="0.3">
      <c r="A1141" s="695" t="s">
        <v>4910</v>
      </c>
      <c r="B1141" s="696" t="s">
        <v>4082</v>
      </c>
      <c r="C1141" s="696" t="s">
        <v>4114</v>
      </c>
      <c r="D1141" s="696" t="s">
        <v>4249</v>
      </c>
      <c r="E1141" s="696" t="s">
        <v>4233</v>
      </c>
      <c r="F1141" s="711">
        <v>6</v>
      </c>
      <c r="G1141" s="711">
        <v>5154</v>
      </c>
      <c r="H1141" s="711">
        <v>1</v>
      </c>
      <c r="I1141" s="711">
        <v>859</v>
      </c>
      <c r="J1141" s="711"/>
      <c r="K1141" s="711"/>
      <c r="L1141" s="711"/>
      <c r="M1141" s="711"/>
      <c r="N1141" s="711">
        <v>13</v>
      </c>
      <c r="O1141" s="711">
        <v>11206</v>
      </c>
      <c r="P1141" s="701">
        <v>2.1742336049670161</v>
      </c>
      <c r="Q1141" s="712">
        <v>862</v>
      </c>
    </row>
    <row r="1142" spans="1:17" ht="14.4" customHeight="1" x14ac:dyDescent="0.3">
      <c r="A1142" s="695" t="s">
        <v>4910</v>
      </c>
      <c r="B1142" s="696" t="s">
        <v>4082</v>
      </c>
      <c r="C1142" s="696" t="s">
        <v>4114</v>
      </c>
      <c r="D1142" s="696" t="s">
        <v>4188</v>
      </c>
      <c r="E1142" s="696" t="s">
        <v>4189</v>
      </c>
      <c r="F1142" s="711">
        <v>60</v>
      </c>
      <c r="G1142" s="711">
        <v>31140</v>
      </c>
      <c r="H1142" s="711">
        <v>1</v>
      </c>
      <c r="I1142" s="711">
        <v>519</v>
      </c>
      <c r="J1142" s="711">
        <v>12</v>
      </c>
      <c r="K1142" s="711">
        <v>6240</v>
      </c>
      <c r="L1142" s="711">
        <v>0.20038535645472061</v>
      </c>
      <c r="M1142" s="711">
        <v>520</v>
      </c>
      <c r="N1142" s="711">
        <v>25</v>
      </c>
      <c r="O1142" s="711">
        <v>13020</v>
      </c>
      <c r="P1142" s="701">
        <v>0.41811175337186895</v>
      </c>
      <c r="Q1142" s="712">
        <v>520.79999999999995</v>
      </c>
    </row>
    <row r="1143" spans="1:17" ht="14.4" customHeight="1" x14ac:dyDescent="0.3">
      <c r="A1143" s="695" t="s">
        <v>4910</v>
      </c>
      <c r="B1143" s="696" t="s">
        <v>4082</v>
      </c>
      <c r="C1143" s="696" t="s">
        <v>4114</v>
      </c>
      <c r="D1143" s="696" t="s">
        <v>4259</v>
      </c>
      <c r="E1143" s="696" t="s">
        <v>4189</v>
      </c>
      <c r="F1143" s="711">
        <v>25</v>
      </c>
      <c r="G1143" s="711">
        <v>19950</v>
      </c>
      <c r="H1143" s="711">
        <v>1</v>
      </c>
      <c r="I1143" s="711">
        <v>798</v>
      </c>
      <c r="J1143" s="711">
        <v>32</v>
      </c>
      <c r="K1143" s="711">
        <v>25632</v>
      </c>
      <c r="L1143" s="711">
        <v>1.284812030075188</v>
      </c>
      <c r="M1143" s="711">
        <v>801</v>
      </c>
      <c r="N1143" s="711">
        <v>14</v>
      </c>
      <c r="O1143" s="711">
        <v>11258</v>
      </c>
      <c r="P1143" s="701">
        <v>0.56431077694235587</v>
      </c>
      <c r="Q1143" s="712">
        <v>804.14285714285711</v>
      </c>
    </row>
    <row r="1144" spans="1:17" ht="14.4" customHeight="1" x14ac:dyDescent="0.3">
      <c r="A1144" s="695" t="s">
        <v>4910</v>
      </c>
      <c r="B1144" s="696" t="s">
        <v>4082</v>
      </c>
      <c r="C1144" s="696" t="s">
        <v>4114</v>
      </c>
      <c r="D1144" s="696" t="s">
        <v>4260</v>
      </c>
      <c r="E1144" s="696" t="s">
        <v>4189</v>
      </c>
      <c r="F1144" s="711">
        <v>199</v>
      </c>
      <c r="G1144" s="711">
        <v>116614</v>
      </c>
      <c r="H1144" s="711">
        <v>1</v>
      </c>
      <c r="I1144" s="711">
        <v>586</v>
      </c>
      <c r="J1144" s="711">
        <v>287</v>
      </c>
      <c r="K1144" s="711">
        <v>169043</v>
      </c>
      <c r="L1144" s="711">
        <v>1.449594388323872</v>
      </c>
      <c r="M1144" s="711">
        <v>589</v>
      </c>
      <c r="N1144" s="711">
        <v>157</v>
      </c>
      <c r="O1144" s="711">
        <v>92793</v>
      </c>
      <c r="P1144" s="701">
        <v>0.79572778568610969</v>
      </c>
      <c r="Q1144" s="712">
        <v>591.03821656050957</v>
      </c>
    </row>
    <row r="1145" spans="1:17" ht="14.4" customHeight="1" x14ac:dyDescent="0.3">
      <c r="A1145" s="695" t="s">
        <v>4910</v>
      </c>
      <c r="B1145" s="696" t="s">
        <v>4082</v>
      </c>
      <c r="C1145" s="696" t="s">
        <v>4114</v>
      </c>
      <c r="D1145" s="696" t="s">
        <v>4192</v>
      </c>
      <c r="E1145" s="696" t="s">
        <v>4132</v>
      </c>
      <c r="F1145" s="711">
        <v>5</v>
      </c>
      <c r="G1145" s="711">
        <v>1930</v>
      </c>
      <c r="H1145" s="711">
        <v>1</v>
      </c>
      <c r="I1145" s="711">
        <v>386</v>
      </c>
      <c r="J1145" s="711"/>
      <c r="K1145" s="711"/>
      <c r="L1145" s="711"/>
      <c r="M1145" s="711"/>
      <c r="N1145" s="711">
        <v>1</v>
      </c>
      <c r="O1145" s="711">
        <v>393</v>
      </c>
      <c r="P1145" s="701">
        <v>0.20362694300518136</v>
      </c>
      <c r="Q1145" s="712">
        <v>393</v>
      </c>
    </row>
    <row r="1146" spans="1:17" ht="14.4" customHeight="1" x14ac:dyDescent="0.3">
      <c r="A1146" s="695" t="s">
        <v>4910</v>
      </c>
      <c r="B1146" s="696" t="s">
        <v>4082</v>
      </c>
      <c r="C1146" s="696" t="s">
        <v>4114</v>
      </c>
      <c r="D1146" s="696" t="s">
        <v>4894</v>
      </c>
      <c r="E1146" s="696" t="s">
        <v>4189</v>
      </c>
      <c r="F1146" s="711">
        <v>21</v>
      </c>
      <c r="G1146" s="711">
        <v>15351</v>
      </c>
      <c r="H1146" s="711">
        <v>1</v>
      </c>
      <c r="I1146" s="711">
        <v>731</v>
      </c>
      <c r="J1146" s="711"/>
      <c r="K1146" s="711"/>
      <c r="L1146" s="711"/>
      <c r="M1146" s="711"/>
      <c r="N1146" s="711">
        <v>9</v>
      </c>
      <c r="O1146" s="711">
        <v>6604</v>
      </c>
      <c r="P1146" s="701">
        <v>0.43019998697153278</v>
      </c>
      <c r="Q1146" s="712">
        <v>733.77777777777783</v>
      </c>
    </row>
    <row r="1147" spans="1:17" ht="14.4" customHeight="1" x14ac:dyDescent="0.3">
      <c r="A1147" s="695" t="s">
        <v>4910</v>
      </c>
      <c r="B1147" s="696" t="s">
        <v>4082</v>
      </c>
      <c r="C1147" s="696" t="s">
        <v>4114</v>
      </c>
      <c r="D1147" s="696" t="s">
        <v>4263</v>
      </c>
      <c r="E1147" s="696" t="s">
        <v>4264</v>
      </c>
      <c r="F1147" s="711">
        <v>4</v>
      </c>
      <c r="G1147" s="711">
        <v>1352</v>
      </c>
      <c r="H1147" s="711">
        <v>1</v>
      </c>
      <c r="I1147" s="711">
        <v>338</v>
      </c>
      <c r="J1147" s="711"/>
      <c r="K1147" s="711"/>
      <c r="L1147" s="711"/>
      <c r="M1147" s="711"/>
      <c r="N1147" s="711">
        <v>2</v>
      </c>
      <c r="O1147" s="711">
        <v>688</v>
      </c>
      <c r="P1147" s="701">
        <v>0.50887573964497046</v>
      </c>
      <c r="Q1147" s="712">
        <v>344</v>
      </c>
    </row>
    <row r="1148" spans="1:17" ht="14.4" customHeight="1" x14ac:dyDescent="0.3">
      <c r="A1148" s="695" t="s">
        <v>4911</v>
      </c>
      <c r="B1148" s="696" t="s">
        <v>4082</v>
      </c>
      <c r="C1148" s="696" t="s">
        <v>4114</v>
      </c>
      <c r="D1148" s="696" t="s">
        <v>4127</v>
      </c>
      <c r="E1148" s="696" t="s">
        <v>4128</v>
      </c>
      <c r="F1148" s="711">
        <v>5</v>
      </c>
      <c r="G1148" s="711">
        <v>1155</v>
      </c>
      <c r="H1148" s="711">
        <v>1</v>
      </c>
      <c r="I1148" s="711">
        <v>231</v>
      </c>
      <c r="J1148" s="711">
        <v>7</v>
      </c>
      <c r="K1148" s="711">
        <v>1624</v>
      </c>
      <c r="L1148" s="711">
        <v>1.406060606060606</v>
      </c>
      <c r="M1148" s="711">
        <v>232</v>
      </c>
      <c r="N1148" s="711">
        <v>9</v>
      </c>
      <c r="O1148" s="711">
        <v>2098</v>
      </c>
      <c r="P1148" s="701">
        <v>1.8164502164502165</v>
      </c>
      <c r="Q1148" s="712">
        <v>233.11111111111111</v>
      </c>
    </row>
    <row r="1149" spans="1:17" ht="14.4" customHeight="1" x14ac:dyDescent="0.3">
      <c r="A1149" s="695" t="s">
        <v>4911</v>
      </c>
      <c r="B1149" s="696" t="s">
        <v>4082</v>
      </c>
      <c r="C1149" s="696" t="s">
        <v>4114</v>
      </c>
      <c r="D1149" s="696" t="s">
        <v>4129</v>
      </c>
      <c r="E1149" s="696" t="s">
        <v>4130</v>
      </c>
      <c r="F1149" s="711">
        <v>4</v>
      </c>
      <c r="G1149" s="711">
        <v>464</v>
      </c>
      <c r="H1149" s="711">
        <v>1</v>
      </c>
      <c r="I1149" s="711">
        <v>116</v>
      </c>
      <c r="J1149" s="711"/>
      <c r="K1149" s="711"/>
      <c r="L1149" s="711"/>
      <c r="M1149" s="711"/>
      <c r="N1149" s="711"/>
      <c r="O1149" s="711"/>
      <c r="P1149" s="701"/>
      <c r="Q1149" s="712"/>
    </row>
    <row r="1150" spans="1:17" ht="14.4" customHeight="1" x14ac:dyDescent="0.3">
      <c r="A1150" s="695" t="s">
        <v>4911</v>
      </c>
      <c r="B1150" s="696" t="s">
        <v>4082</v>
      </c>
      <c r="C1150" s="696" t="s">
        <v>4114</v>
      </c>
      <c r="D1150" s="696" t="s">
        <v>4139</v>
      </c>
      <c r="E1150" s="696" t="s">
        <v>4134</v>
      </c>
      <c r="F1150" s="711"/>
      <c r="G1150" s="711"/>
      <c r="H1150" s="711"/>
      <c r="I1150" s="711"/>
      <c r="J1150" s="711">
        <v>1</v>
      </c>
      <c r="K1150" s="711">
        <v>553</v>
      </c>
      <c r="L1150" s="711"/>
      <c r="M1150" s="711">
        <v>553</v>
      </c>
      <c r="N1150" s="711"/>
      <c r="O1150" s="711"/>
      <c r="P1150" s="701"/>
      <c r="Q1150" s="712"/>
    </row>
    <row r="1151" spans="1:17" ht="14.4" customHeight="1" x14ac:dyDescent="0.3">
      <c r="A1151" s="695" t="s">
        <v>4911</v>
      </c>
      <c r="B1151" s="696" t="s">
        <v>4082</v>
      </c>
      <c r="C1151" s="696" t="s">
        <v>4114</v>
      </c>
      <c r="D1151" s="696" t="s">
        <v>4232</v>
      </c>
      <c r="E1151" s="696" t="s">
        <v>4233</v>
      </c>
      <c r="F1151" s="711">
        <v>4</v>
      </c>
      <c r="G1151" s="711">
        <v>3200</v>
      </c>
      <c r="H1151" s="711">
        <v>1</v>
      </c>
      <c r="I1151" s="711">
        <v>800</v>
      </c>
      <c r="J1151" s="711"/>
      <c r="K1151" s="711"/>
      <c r="L1151" s="711"/>
      <c r="M1151" s="711"/>
      <c r="N1151" s="711"/>
      <c r="O1151" s="711"/>
      <c r="P1151" s="701"/>
      <c r="Q1151" s="712"/>
    </row>
    <row r="1152" spans="1:17" ht="14.4" customHeight="1" x14ac:dyDescent="0.3">
      <c r="A1152" s="695" t="s">
        <v>4911</v>
      </c>
      <c r="B1152" s="696" t="s">
        <v>4082</v>
      </c>
      <c r="C1152" s="696" t="s">
        <v>4114</v>
      </c>
      <c r="D1152" s="696" t="s">
        <v>4145</v>
      </c>
      <c r="E1152" s="696" t="s">
        <v>4146</v>
      </c>
      <c r="F1152" s="711">
        <v>1</v>
      </c>
      <c r="G1152" s="711">
        <v>206</v>
      </c>
      <c r="H1152" s="711">
        <v>1</v>
      </c>
      <c r="I1152" s="711">
        <v>206</v>
      </c>
      <c r="J1152" s="711"/>
      <c r="K1152" s="711"/>
      <c r="L1152" s="711"/>
      <c r="M1152" s="711"/>
      <c r="N1152" s="711"/>
      <c r="O1152" s="711"/>
      <c r="P1152" s="701"/>
      <c r="Q1152" s="712"/>
    </row>
    <row r="1153" spans="1:17" ht="14.4" customHeight="1" x14ac:dyDescent="0.3">
      <c r="A1153" s="695" t="s">
        <v>4911</v>
      </c>
      <c r="B1153" s="696" t="s">
        <v>4082</v>
      </c>
      <c r="C1153" s="696" t="s">
        <v>4114</v>
      </c>
      <c r="D1153" s="696" t="s">
        <v>4149</v>
      </c>
      <c r="E1153" s="696" t="s">
        <v>4150</v>
      </c>
      <c r="F1153" s="711"/>
      <c r="G1153" s="711"/>
      <c r="H1153" s="711"/>
      <c r="I1153" s="711"/>
      <c r="J1153" s="711">
        <v>3</v>
      </c>
      <c r="K1153" s="711">
        <v>981</v>
      </c>
      <c r="L1153" s="711"/>
      <c r="M1153" s="711">
        <v>327</v>
      </c>
      <c r="N1153" s="711"/>
      <c r="O1153" s="711"/>
      <c r="P1153" s="701"/>
      <c r="Q1153" s="712"/>
    </row>
    <row r="1154" spans="1:17" ht="14.4" customHeight="1" x14ac:dyDescent="0.3">
      <c r="A1154" s="695" t="s">
        <v>4911</v>
      </c>
      <c r="B1154" s="696" t="s">
        <v>4082</v>
      </c>
      <c r="C1154" s="696" t="s">
        <v>4114</v>
      </c>
      <c r="D1154" s="696" t="s">
        <v>4157</v>
      </c>
      <c r="E1154" s="696" t="s">
        <v>4158</v>
      </c>
      <c r="F1154" s="711">
        <v>1</v>
      </c>
      <c r="G1154" s="711">
        <v>852</v>
      </c>
      <c r="H1154" s="711">
        <v>1</v>
      </c>
      <c r="I1154" s="711">
        <v>852</v>
      </c>
      <c r="J1154" s="711">
        <v>2</v>
      </c>
      <c r="K1154" s="711">
        <v>1406</v>
      </c>
      <c r="L1154" s="711">
        <v>1.6502347417840375</v>
      </c>
      <c r="M1154" s="711">
        <v>703</v>
      </c>
      <c r="N1154" s="711"/>
      <c r="O1154" s="711"/>
      <c r="P1154" s="701"/>
      <c r="Q1154" s="712"/>
    </row>
    <row r="1155" spans="1:17" ht="14.4" customHeight="1" x14ac:dyDescent="0.3">
      <c r="A1155" s="695" t="s">
        <v>4911</v>
      </c>
      <c r="B1155" s="696" t="s">
        <v>4082</v>
      </c>
      <c r="C1155" s="696" t="s">
        <v>4114</v>
      </c>
      <c r="D1155" s="696" t="s">
        <v>4161</v>
      </c>
      <c r="E1155" s="696" t="s">
        <v>4162</v>
      </c>
      <c r="F1155" s="711"/>
      <c r="G1155" s="711"/>
      <c r="H1155" s="711"/>
      <c r="I1155" s="711"/>
      <c r="J1155" s="711">
        <v>1</v>
      </c>
      <c r="K1155" s="711">
        <v>0</v>
      </c>
      <c r="L1155" s="711"/>
      <c r="M1155" s="711">
        <v>0</v>
      </c>
      <c r="N1155" s="711"/>
      <c r="O1155" s="711"/>
      <c r="P1155" s="701"/>
      <c r="Q1155" s="712"/>
    </row>
    <row r="1156" spans="1:17" ht="14.4" customHeight="1" x14ac:dyDescent="0.3">
      <c r="A1156" s="695" t="s">
        <v>4911</v>
      </c>
      <c r="B1156" s="696" t="s">
        <v>4082</v>
      </c>
      <c r="C1156" s="696" t="s">
        <v>4114</v>
      </c>
      <c r="D1156" s="696" t="s">
        <v>4171</v>
      </c>
      <c r="E1156" s="696" t="s">
        <v>4172</v>
      </c>
      <c r="F1156" s="711">
        <v>1</v>
      </c>
      <c r="G1156" s="711">
        <v>295</v>
      </c>
      <c r="H1156" s="711">
        <v>1</v>
      </c>
      <c r="I1156" s="711">
        <v>295</v>
      </c>
      <c r="J1156" s="711"/>
      <c r="K1156" s="711"/>
      <c r="L1156" s="711"/>
      <c r="M1156" s="711"/>
      <c r="N1156" s="711"/>
      <c r="O1156" s="711"/>
      <c r="P1156" s="701"/>
      <c r="Q1156" s="712"/>
    </row>
    <row r="1157" spans="1:17" ht="14.4" customHeight="1" x14ac:dyDescent="0.3">
      <c r="A1157" s="695" t="s">
        <v>4911</v>
      </c>
      <c r="B1157" s="696" t="s">
        <v>4082</v>
      </c>
      <c r="C1157" s="696" t="s">
        <v>4114</v>
      </c>
      <c r="D1157" s="696" t="s">
        <v>4186</v>
      </c>
      <c r="E1157" s="696" t="s">
        <v>4142</v>
      </c>
      <c r="F1157" s="711">
        <v>1</v>
      </c>
      <c r="G1157" s="711">
        <v>333</v>
      </c>
      <c r="H1157" s="711">
        <v>1</v>
      </c>
      <c r="I1157" s="711">
        <v>333</v>
      </c>
      <c r="J1157" s="711"/>
      <c r="K1157" s="711"/>
      <c r="L1157" s="711"/>
      <c r="M1157" s="711"/>
      <c r="N1157" s="711"/>
      <c r="O1157" s="711"/>
      <c r="P1157" s="701"/>
      <c r="Q1157" s="712"/>
    </row>
    <row r="1158" spans="1:17" ht="14.4" customHeight="1" x14ac:dyDescent="0.3">
      <c r="A1158" s="695" t="s">
        <v>4911</v>
      </c>
      <c r="B1158" s="696" t="s">
        <v>4082</v>
      </c>
      <c r="C1158" s="696" t="s">
        <v>4114</v>
      </c>
      <c r="D1158" s="696" t="s">
        <v>4190</v>
      </c>
      <c r="E1158" s="696" t="s">
        <v>4191</v>
      </c>
      <c r="F1158" s="711"/>
      <c r="G1158" s="711"/>
      <c r="H1158" s="711"/>
      <c r="I1158" s="711"/>
      <c r="J1158" s="711">
        <v>1</v>
      </c>
      <c r="K1158" s="711">
        <v>163</v>
      </c>
      <c r="L1158" s="711"/>
      <c r="M1158" s="711">
        <v>163</v>
      </c>
      <c r="N1158" s="711"/>
      <c r="O1158" s="711"/>
      <c r="P1158" s="701"/>
      <c r="Q1158" s="712"/>
    </row>
    <row r="1159" spans="1:17" ht="14.4" customHeight="1" x14ac:dyDescent="0.3">
      <c r="A1159" s="695" t="s">
        <v>4911</v>
      </c>
      <c r="B1159" s="696" t="s">
        <v>4082</v>
      </c>
      <c r="C1159" s="696" t="s">
        <v>4114</v>
      </c>
      <c r="D1159" s="696" t="s">
        <v>4245</v>
      </c>
      <c r="E1159" s="696" t="s">
        <v>4241</v>
      </c>
      <c r="F1159" s="711"/>
      <c r="G1159" s="711"/>
      <c r="H1159" s="711"/>
      <c r="I1159" s="711"/>
      <c r="J1159" s="711"/>
      <c r="K1159" s="711"/>
      <c r="L1159" s="711"/>
      <c r="M1159" s="711"/>
      <c r="N1159" s="711">
        <v>1</v>
      </c>
      <c r="O1159" s="711">
        <v>606</v>
      </c>
      <c r="P1159" s="701"/>
      <c r="Q1159" s="712">
        <v>606</v>
      </c>
    </row>
    <row r="1160" spans="1:17" ht="14.4" customHeight="1" x14ac:dyDescent="0.3">
      <c r="A1160" s="695" t="s">
        <v>4911</v>
      </c>
      <c r="B1160" s="696" t="s">
        <v>4082</v>
      </c>
      <c r="C1160" s="696" t="s">
        <v>4114</v>
      </c>
      <c r="D1160" s="696" t="s">
        <v>4240</v>
      </c>
      <c r="E1160" s="696" t="s">
        <v>4241</v>
      </c>
      <c r="F1160" s="711"/>
      <c r="G1160" s="711"/>
      <c r="H1160" s="711"/>
      <c r="I1160" s="711"/>
      <c r="J1160" s="711"/>
      <c r="K1160" s="711"/>
      <c r="L1160" s="711"/>
      <c r="M1160" s="711"/>
      <c r="N1160" s="711">
        <v>1</v>
      </c>
      <c r="O1160" s="711">
        <v>520</v>
      </c>
      <c r="P1160" s="701"/>
      <c r="Q1160" s="712">
        <v>520</v>
      </c>
    </row>
    <row r="1161" spans="1:17" ht="14.4" customHeight="1" x14ac:dyDescent="0.3">
      <c r="A1161" s="695" t="s">
        <v>4912</v>
      </c>
      <c r="B1161" s="696" t="s">
        <v>4082</v>
      </c>
      <c r="C1161" s="696" t="s">
        <v>4103</v>
      </c>
      <c r="D1161" s="696" t="s">
        <v>4228</v>
      </c>
      <c r="E1161" s="696" t="s">
        <v>4229</v>
      </c>
      <c r="F1161" s="711"/>
      <c r="G1161" s="711"/>
      <c r="H1161" s="711"/>
      <c r="I1161" s="711"/>
      <c r="J1161" s="711"/>
      <c r="K1161" s="711"/>
      <c r="L1161" s="711"/>
      <c r="M1161" s="711"/>
      <c r="N1161" s="711">
        <v>1</v>
      </c>
      <c r="O1161" s="711">
        <v>904.75</v>
      </c>
      <c r="P1161" s="701"/>
      <c r="Q1161" s="712">
        <v>904.75</v>
      </c>
    </row>
    <row r="1162" spans="1:17" ht="14.4" customHeight="1" x14ac:dyDescent="0.3">
      <c r="A1162" s="695" t="s">
        <v>4912</v>
      </c>
      <c r="B1162" s="696" t="s">
        <v>4082</v>
      </c>
      <c r="C1162" s="696" t="s">
        <v>4114</v>
      </c>
      <c r="D1162" s="696" t="s">
        <v>4230</v>
      </c>
      <c r="E1162" s="696" t="s">
        <v>4231</v>
      </c>
      <c r="F1162" s="711"/>
      <c r="G1162" s="711"/>
      <c r="H1162" s="711"/>
      <c r="I1162" s="711"/>
      <c r="J1162" s="711">
        <v>1</v>
      </c>
      <c r="K1162" s="711">
        <v>185</v>
      </c>
      <c r="L1162" s="711"/>
      <c r="M1162" s="711">
        <v>185</v>
      </c>
      <c r="N1162" s="711"/>
      <c r="O1162" s="711"/>
      <c r="P1162" s="701"/>
      <c r="Q1162" s="712"/>
    </row>
    <row r="1163" spans="1:17" ht="14.4" customHeight="1" x14ac:dyDescent="0.3">
      <c r="A1163" s="695" t="s">
        <v>4912</v>
      </c>
      <c r="B1163" s="696" t="s">
        <v>4082</v>
      </c>
      <c r="C1163" s="696" t="s">
        <v>4114</v>
      </c>
      <c r="D1163" s="696" t="s">
        <v>4119</v>
      </c>
      <c r="E1163" s="696" t="s">
        <v>4120</v>
      </c>
      <c r="F1163" s="711">
        <v>1</v>
      </c>
      <c r="G1163" s="711">
        <v>34</v>
      </c>
      <c r="H1163" s="711">
        <v>1</v>
      </c>
      <c r="I1163" s="711">
        <v>34</v>
      </c>
      <c r="J1163" s="711"/>
      <c r="K1163" s="711"/>
      <c r="L1163" s="711"/>
      <c r="M1163" s="711"/>
      <c r="N1163" s="711"/>
      <c r="O1163" s="711"/>
      <c r="P1163" s="701"/>
      <c r="Q1163" s="712"/>
    </row>
    <row r="1164" spans="1:17" ht="14.4" customHeight="1" x14ac:dyDescent="0.3">
      <c r="A1164" s="695" t="s">
        <v>4912</v>
      </c>
      <c r="B1164" s="696" t="s">
        <v>4082</v>
      </c>
      <c r="C1164" s="696" t="s">
        <v>4114</v>
      </c>
      <c r="D1164" s="696" t="s">
        <v>4127</v>
      </c>
      <c r="E1164" s="696" t="s">
        <v>4128</v>
      </c>
      <c r="F1164" s="711">
        <v>5</v>
      </c>
      <c r="G1164" s="711">
        <v>1155</v>
      </c>
      <c r="H1164" s="711">
        <v>1</v>
      </c>
      <c r="I1164" s="711">
        <v>231</v>
      </c>
      <c r="J1164" s="711">
        <v>4</v>
      </c>
      <c r="K1164" s="711">
        <v>928</v>
      </c>
      <c r="L1164" s="711">
        <v>0.80346320346320343</v>
      </c>
      <c r="M1164" s="711">
        <v>232</v>
      </c>
      <c r="N1164" s="711">
        <v>10</v>
      </c>
      <c r="O1164" s="711">
        <v>2336</v>
      </c>
      <c r="P1164" s="701">
        <v>2.0225108225108226</v>
      </c>
      <c r="Q1164" s="712">
        <v>233.6</v>
      </c>
    </row>
    <row r="1165" spans="1:17" ht="14.4" customHeight="1" x14ac:dyDescent="0.3">
      <c r="A1165" s="695" t="s">
        <v>4912</v>
      </c>
      <c r="B1165" s="696" t="s">
        <v>4082</v>
      </c>
      <c r="C1165" s="696" t="s">
        <v>4114</v>
      </c>
      <c r="D1165" s="696" t="s">
        <v>4129</v>
      </c>
      <c r="E1165" s="696" t="s">
        <v>4130</v>
      </c>
      <c r="F1165" s="711">
        <v>1</v>
      </c>
      <c r="G1165" s="711">
        <v>116</v>
      </c>
      <c r="H1165" s="711">
        <v>1</v>
      </c>
      <c r="I1165" s="711">
        <v>116</v>
      </c>
      <c r="J1165" s="711"/>
      <c r="K1165" s="711"/>
      <c r="L1165" s="711"/>
      <c r="M1165" s="711"/>
      <c r="N1165" s="711">
        <v>1</v>
      </c>
      <c r="O1165" s="711">
        <v>118</v>
      </c>
      <c r="P1165" s="701">
        <v>1.0172413793103448</v>
      </c>
      <c r="Q1165" s="712">
        <v>118</v>
      </c>
    </row>
    <row r="1166" spans="1:17" ht="14.4" customHeight="1" x14ac:dyDescent="0.3">
      <c r="A1166" s="695" t="s">
        <v>4912</v>
      </c>
      <c r="B1166" s="696" t="s">
        <v>4082</v>
      </c>
      <c r="C1166" s="696" t="s">
        <v>4114</v>
      </c>
      <c r="D1166" s="696" t="s">
        <v>4913</v>
      </c>
      <c r="E1166" s="696" t="s">
        <v>4914</v>
      </c>
      <c r="F1166" s="711">
        <v>1</v>
      </c>
      <c r="G1166" s="711">
        <v>893</v>
      </c>
      <c r="H1166" s="711">
        <v>1</v>
      </c>
      <c r="I1166" s="711">
        <v>893</v>
      </c>
      <c r="J1166" s="711"/>
      <c r="K1166" s="711"/>
      <c r="L1166" s="711"/>
      <c r="M1166" s="711"/>
      <c r="N1166" s="711"/>
      <c r="O1166" s="711"/>
      <c r="P1166" s="701"/>
      <c r="Q1166" s="712"/>
    </row>
    <row r="1167" spans="1:17" ht="14.4" customHeight="1" x14ac:dyDescent="0.3">
      <c r="A1167" s="695" t="s">
        <v>4912</v>
      </c>
      <c r="B1167" s="696" t="s">
        <v>4082</v>
      </c>
      <c r="C1167" s="696" t="s">
        <v>4114</v>
      </c>
      <c r="D1167" s="696" t="s">
        <v>4140</v>
      </c>
      <c r="E1167" s="696" t="s">
        <v>4136</v>
      </c>
      <c r="F1167" s="711"/>
      <c r="G1167" s="711"/>
      <c r="H1167" s="711"/>
      <c r="I1167" s="711"/>
      <c r="J1167" s="711">
        <v>2</v>
      </c>
      <c r="K1167" s="711">
        <v>1492</v>
      </c>
      <c r="L1167" s="711"/>
      <c r="M1167" s="711">
        <v>746</v>
      </c>
      <c r="N1167" s="711"/>
      <c r="O1167" s="711"/>
      <c r="P1167" s="701"/>
      <c r="Q1167" s="712"/>
    </row>
    <row r="1168" spans="1:17" ht="14.4" customHeight="1" x14ac:dyDescent="0.3">
      <c r="A1168" s="695" t="s">
        <v>4912</v>
      </c>
      <c r="B1168" s="696" t="s">
        <v>4082</v>
      </c>
      <c r="C1168" s="696" t="s">
        <v>4114</v>
      </c>
      <c r="D1168" s="696" t="s">
        <v>4232</v>
      </c>
      <c r="E1168" s="696" t="s">
        <v>4233</v>
      </c>
      <c r="F1168" s="711">
        <v>7</v>
      </c>
      <c r="G1168" s="711">
        <v>5600</v>
      </c>
      <c r="H1168" s="711">
        <v>1</v>
      </c>
      <c r="I1168" s="711">
        <v>800</v>
      </c>
      <c r="J1168" s="711">
        <v>13</v>
      </c>
      <c r="K1168" s="711">
        <v>10439</v>
      </c>
      <c r="L1168" s="711">
        <v>1.864107142857143</v>
      </c>
      <c r="M1168" s="711">
        <v>803</v>
      </c>
      <c r="N1168" s="711">
        <v>19</v>
      </c>
      <c r="O1168" s="711">
        <v>15321</v>
      </c>
      <c r="P1168" s="701">
        <v>2.7358928571428573</v>
      </c>
      <c r="Q1168" s="712">
        <v>806.36842105263156</v>
      </c>
    </row>
    <row r="1169" spans="1:17" ht="14.4" customHeight="1" x14ac:dyDescent="0.3">
      <c r="A1169" s="695" t="s">
        <v>4912</v>
      </c>
      <c r="B1169" s="696" t="s">
        <v>4082</v>
      </c>
      <c r="C1169" s="696" t="s">
        <v>4114</v>
      </c>
      <c r="D1169" s="696" t="s">
        <v>4145</v>
      </c>
      <c r="E1169" s="696" t="s">
        <v>4146</v>
      </c>
      <c r="F1169" s="711">
        <v>2</v>
      </c>
      <c r="G1169" s="711">
        <v>412</v>
      </c>
      <c r="H1169" s="711">
        <v>1</v>
      </c>
      <c r="I1169" s="711">
        <v>206</v>
      </c>
      <c r="J1169" s="711">
        <v>3</v>
      </c>
      <c r="K1169" s="711">
        <v>621</v>
      </c>
      <c r="L1169" s="711">
        <v>1.5072815533980584</v>
      </c>
      <c r="M1169" s="711">
        <v>207</v>
      </c>
      <c r="N1169" s="711">
        <v>3</v>
      </c>
      <c r="O1169" s="711">
        <v>623</v>
      </c>
      <c r="P1169" s="701">
        <v>1.5121359223300972</v>
      </c>
      <c r="Q1169" s="712">
        <v>207.66666666666666</v>
      </c>
    </row>
    <row r="1170" spans="1:17" ht="14.4" customHeight="1" x14ac:dyDescent="0.3">
      <c r="A1170" s="695" t="s">
        <v>4912</v>
      </c>
      <c r="B1170" s="696" t="s">
        <v>4082</v>
      </c>
      <c r="C1170" s="696" t="s">
        <v>4114</v>
      </c>
      <c r="D1170" s="696" t="s">
        <v>4153</v>
      </c>
      <c r="E1170" s="696" t="s">
        <v>4154</v>
      </c>
      <c r="F1170" s="711">
        <v>25</v>
      </c>
      <c r="G1170" s="711">
        <v>2025</v>
      </c>
      <c r="H1170" s="711">
        <v>1</v>
      </c>
      <c r="I1170" s="711">
        <v>81</v>
      </c>
      <c r="J1170" s="711">
        <v>27</v>
      </c>
      <c r="K1170" s="711">
        <v>2214</v>
      </c>
      <c r="L1170" s="711">
        <v>1.0933333333333333</v>
      </c>
      <c r="M1170" s="711">
        <v>82</v>
      </c>
      <c r="N1170" s="711">
        <v>20</v>
      </c>
      <c r="O1170" s="711">
        <v>1664</v>
      </c>
      <c r="P1170" s="701">
        <v>0.82172839506172835</v>
      </c>
      <c r="Q1170" s="712">
        <v>83.2</v>
      </c>
    </row>
    <row r="1171" spans="1:17" ht="14.4" customHeight="1" x14ac:dyDescent="0.3">
      <c r="A1171" s="695" t="s">
        <v>4912</v>
      </c>
      <c r="B1171" s="696" t="s">
        <v>4082</v>
      </c>
      <c r="C1171" s="696" t="s">
        <v>4114</v>
      </c>
      <c r="D1171" s="696" t="s">
        <v>4234</v>
      </c>
      <c r="E1171" s="696" t="s">
        <v>4233</v>
      </c>
      <c r="F1171" s="711"/>
      <c r="G1171" s="711"/>
      <c r="H1171" s="711"/>
      <c r="I1171" s="711"/>
      <c r="J1171" s="711">
        <v>12</v>
      </c>
      <c r="K1171" s="711">
        <v>11148</v>
      </c>
      <c r="L1171" s="711"/>
      <c r="M1171" s="711">
        <v>929</v>
      </c>
      <c r="N1171" s="711">
        <v>5</v>
      </c>
      <c r="O1171" s="711">
        <v>4645</v>
      </c>
      <c r="P1171" s="701"/>
      <c r="Q1171" s="712">
        <v>929</v>
      </c>
    </row>
    <row r="1172" spans="1:17" ht="14.4" customHeight="1" x14ac:dyDescent="0.3">
      <c r="A1172" s="695" t="s">
        <v>4912</v>
      </c>
      <c r="B1172" s="696" t="s">
        <v>4082</v>
      </c>
      <c r="C1172" s="696" t="s">
        <v>4114</v>
      </c>
      <c r="D1172" s="696" t="s">
        <v>4163</v>
      </c>
      <c r="E1172" s="696" t="s">
        <v>4164</v>
      </c>
      <c r="F1172" s="711">
        <v>3</v>
      </c>
      <c r="G1172" s="711">
        <v>333</v>
      </c>
      <c r="H1172" s="711">
        <v>1</v>
      </c>
      <c r="I1172" s="711">
        <v>111</v>
      </c>
      <c r="J1172" s="711"/>
      <c r="K1172" s="711"/>
      <c r="L1172" s="711"/>
      <c r="M1172" s="711"/>
      <c r="N1172" s="711"/>
      <c r="O1172" s="711"/>
      <c r="P1172" s="701"/>
      <c r="Q1172" s="712"/>
    </row>
    <row r="1173" spans="1:17" ht="14.4" customHeight="1" x14ac:dyDescent="0.3">
      <c r="A1173" s="695" t="s">
        <v>4912</v>
      </c>
      <c r="B1173" s="696" t="s">
        <v>4082</v>
      </c>
      <c r="C1173" s="696" t="s">
        <v>4114</v>
      </c>
      <c r="D1173" s="696" t="s">
        <v>4235</v>
      </c>
      <c r="E1173" s="696" t="s">
        <v>4233</v>
      </c>
      <c r="F1173" s="711">
        <v>3</v>
      </c>
      <c r="G1173" s="711">
        <v>2199</v>
      </c>
      <c r="H1173" s="711">
        <v>1</v>
      </c>
      <c r="I1173" s="711">
        <v>733</v>
      </c>
      <c r="J1173" s="711"/>
      <c r="K1173" s="711"/>
      <c r="L1173" s="711"/>
      <c r="M1173" s="711"/>
      <c r="N1173" s="711">
        <v>5</v>
      </c>
      <c r="O1173" s="711">
        <v>3680</v>
      </c>
      <c r="P1173" s="701">
        <v>1.6734879490677581</v>
      </c>
      <c r="Q1173" s="712">
        <v>736</v>
      </c>
    </row>
    <row r="1174" spans="1:17" ht="14.4" customHeight="1" x14ac:dyDescent="0.3">
      <c r="A1174" s="695" t="s">
        <v>4912</v>
      </c>
      <c r="B1174" s="696" t="s">
        <v>4082</v>
      </c>
      <c r="C1174" s="696" t="s">
        <v>4114</v>
      </c>
      <c r="D1174" s="696" t="s">
        <v>4236</v>
      </c>
      <c r="E1174" s="696" t="s">
        <v>4237</v>
      </c>
      <c r="F1174" s="711">
        <v>20</v>
      </c>
      <c r="G1174" s="711">
        <v>10460</v>
      </c>
      <c r="H1174" s="711">
        <v>1</v>
      </c>
      <c r="I1174" s="711">
        <v>523</v>
      </c>
      <c r="J1174" s="711">
        <v>13</v>
      </c>
      <c r="K1174" s="711">
        <v>6812</v>
      </c>
      <c r="L1174" s="711">
        <v>0.65124282982791581</v>
      </c>
      <c r="M1174" s="711">
        <v>524</v>
      </c>
      <c r="N1174" s="711">
        <v>7</v>
      </c>
      <c r="O1174" s="711">
        <v>3672</v>
      </c>
      <c r="P1174" s="701">
        <v>0.35105162523900574</v>
      </c>
      <c r="Q1174" s="712">
        <v>524.57142857142856</v>
      </c>
    </row>
    <row r="1175" spans="1:17" ht="14.4" customHeight="1" x14ac:dyDescent="0.3">
      <c r="A1175" s="695" t="s">
        <v>4912</v>
      </c>
      <c r="B1175" s="696" t="s">
        <v>4082</v>
      </c>
      <c r="C1175" s="696" t="s">
        <v>4114</v>
      </c>
      <c r="D1175" s="696" t="s">
        <v>4171</v>
      </c>
      <c r="E1175" s="696" t="s">
        <v>4172</v>
      </c>
      <c r="F1175" s="711"/>
      <c r="G1175" s="711"/>
      <c r="H1175" s="711"/>
      <c r="I1175" s="711"/>
      <c r="J1175" s="711"/>
      <c r="K1175" s="711"/>
      <c r="L1175" s="711"/>
      <c r="M1175" s="711"/>
      <c r="N1175" s="711">
        <v>5</v>
      </c>
      <c r="O1175" s="711">
        <v>1490</v>
      </c>
      <c r="P1175" s="701"/>
      <c r="Q1175" s="712">
        <v>298</v>
      </c>
    </row>
    <row r="1176" spans="1:17" ht="14.4" customHeight="1" x14ac:dyDescent="0.3">
      <c r="A1176" s="695" t="s">
        <v>4912</v>
      </c>
      <c r="B1176" s="696" t="s">
        <v>4082</v>
      </c>
      <c r="C1176" s="696" t="s">
        <v>4114</v>
      </c>
      <c r="D1176" s="696" t="s">
        <v>4238</v>
      </c>
      <c r="E1176" s="696" t="s">
        <v>4146</v>
      </c>
      <c r="F1176" s="711">
        <v>1</v>
      </c>
      <c r="G1176" s="711">
        <v>172</v>
      </c>
      <c r="H1176" s="711">
        <v>1</v>
      </c>
      <c r="I1176" s="711">
        <v>172</v>
      </c>
      <c r="J1176" s="711"/>
      <c r="K1176" s="711"/>
      <c r="L1176" s="711"/>
      <c r="M1176" s="711"/>
      <c r="N1176" s="711">
        <v>1</v>
      </c>
      <c r="O1176" s="711">
        <v>174</v>
      </c>
      <c r="P1176" s="701">
        <v>1.0116279069767442</v>
      </c>
      <c r="Q1176" s="712">
        <v>174</v>
      </c>
    </row>
    <row r="1177" spans="1:17" ht="14.4" customHeight="1" x14ac:dyDescent="0.3">
      <c r="A1177" s="695" t="s">
        <v>4912</v>
      </c>
      <c r="B1177" s="696" t="s">
        <v>4082</v>
      </c>
      <c r="C1177" s="696" t="s">
        <v>4114</v>
      </c>
      <c r="D1177" s="696" t="s">
        <v>4175</v>
      </c>
      <c r="E1177" s="696" t="s">
        <v>4172</v>
      </c>
      <c r="F1177" s="711">
        <v>3</v>
      </c>
      <c r="G1177" s="711">
        <v>1086</v>
      </c>
      <c r="H1177" s="711">
        <v>1</v>
      </c>
      <c r="I1177" s="711">
        <v>362</v>
      </c>
      <c r="J1177" s="711"/>
      <c r="K1177" s="711"/>
      <c r="L1177" s="711"/>
      <c r="M1177" s="711"/>
      <c r="N1177" s="711"/>
      <c r="O1177" s="711"/>
      <c r="P1177" s="701"/>
      <c r="Q1177" s="712"/>
    </row>
    <row r="1178" spans="1:17" ht="14.4" customHeight="1" x14ac:dyDescent="0.3">
      <c r="A1178" s="695" t="s">
        <v>4912</v>
      </c>
      <c r="B1178" s="696" t="s">
        <v>4082</v>
      </c>
      <c r="C1178" s="696" t="s">
        <v>4114</v>
      </c>
      <c r="D1178" s="696" t="s">
        <v>4915</v>
      </c>
      <c r="E1178" s="696" t="s">
        <v>4916</v>
      </c>
      <c r="F1178" s="711">
        <v>2</v>
      </c>
      <c r="G1178" s="711">
        <v>772</v>
      </c>
      <c r="H1178" s="711">
        <v>1</v>
      </c>
      <c r="I1178" s="711">
        <v>386</v>
      </c>
      <c r="J1178" s="711"/>
      <c r="K1178" s="711"/>
      <c r="L1178" s="711"/>
      <c r="M1178" s="711"/>
      <c r="N1178" s="711"/>
      <c r="O1178" s="711"/>
      <c r="P1178" s="701"/>
      <c r="Q1178" s="712"/>
    </row>
    <row r="1179" spans="1:17" ht="14.4" customHeight="1" x14ac:dyDescent="0.3">
      <c r="A1179" s="695" t="s">
        <v>4912</v>
      </c>
      <c r="B1179" s="696" t="s">
        <v>4082</v>
      </c>
      <c r="C1179" s="696" t="s">
        <v>4114</v>
      </c>
      <c r="D1179" s="696" t="s">
        <v>4261</v>
      </c>
      <c r="E1179" s="696" t="s">
        <v>4233</v>
      </c>
      <c r="F1179" s="711">
        <v>15</v>
      </c>
      <c r="G1179" s="711">
        <v>14130</v>
      </c>
      <c r="H1179" s="711">
        <v>1</v>
      </c>
      <c r="I1179" s="711">
        <v>942</v>
      </c>
      <c r="J1179" s="711"/>
      <c r="K1179" s="711"/>
      <c r="L1179" s="711"/>
      <c r="M1179" s="711"/>
      <c r="N1179" s="711"/>
      <c r="O1179" s="711"/>
      <c r="P1179" s="701"/>
      <c r="Q1179" s="712"/>
    </row>
    <row r="1180" spans="1:17" ht="14.4" customHeight="1" x14ac:dyDescent="0.3">
      <c r="A1180" s="695" t="s">
        <v>4912</v>
      </c>
      <c r="B1180" s="696" t="s">
        <v>4540</v>
      </c>
      <c r="C1180" s="696" t="s">
        <v>4114</v>
      </c>
      <c r="D1180" s="696" t="s">
        <v>4247</v>
      </c>
      <c r="E1180" s="696" t="s">
        <v>4248</v>
      </c>
      <c r="F1180" s="711"/>
      <c r="G1180" s="711"/>
      <c r="H1180" s="711"/>
      <c r="I1180" s="711"/>
      <c r="J1180" s="711">
        <v>2</v>
      </c>
      <c r="K1180" s="711">
        <v>0</v>
      </c>
      <c r="L1180" s="711"/>
      <c r="M1180" s="711">
        <v>0</v>
      </c>
      <c r="N1180" s="711"/>
      <c r="O1180" s="711"/>
      <c r="P1180" s="701"/>
      <c r="Q1180" s="712"/>
    </row>
    <row r="1181" spans="1:17" ht="14.4" customHeight="1" x14ac:dyDescent="0.3">
      <c r="A1181" s="695" t="s">
        <v>4917</v>
      </c>
      <c r="B1181" s="696" t="s">
        <v>4082</v>
      </c>
      <c r="C1181" s="696" t="s">
        <v>4103</v>
      </c>
      <c r="D1181" s="696" t="s">
        <v>4251</v>
      </c>
      <c r="E1181" s="696" t="s">
        <v>4252</v>
      </c>
      <c r="F1181" s="711">
        <v>4</v>
      </c>
      <c r="G1181" s="711">
        <v>9240</v>
      </c>
      <c r="H1181" s="711">
        <v>1</v>
      </c>
      <c r="I1181" s="711">
        <v>2310</v>
      </c>
      <c r="J1181" s="711">
        <v>8</v>
      </c>
      <c r="K1181" s="711">
        <v>18480</v>
      </c>
      <c r="L1181" s="711">
        <v>2</v>
      </c>
      <c r="M1181" s="711">
        <v>2310</v>
      </c>
      <c r="N1181" s="711">
        <v>6</v>
      </c>
      <c r="O1181" s="711">
        <v>13860</v>
      </c>
      <c r="P1181" s="701">
        <v>1.5</v>
      </c>
      <c r="Q1181" s="712">
        <v>2310</v>
      </c>
    </row>
    <row r="1182" spans="1:17" ht="14.4" customHeight="1" x14ac:dyDescent="0.3">
      <c r="A1182" s="695" t="s">
        <v>4917</v>
      </c>
      <c r="B1182" s="696" t="s">
        <v>4082</v>
      </c>
      <c r="C1182" s="696" t="s">
        <v>4103</v>
      </c>
      <c r="D1182" s="696" t="s">
        <v>4228</v>
      </c>
      <c r="E1182" s="696" t="s">
        <v>4229</v>
      </c>
      <c r="F1182" s="711"/>
      <c r="G1182" s="711"/>
      <c r="H1182" s="711"/>
      <c r="I1182" s="711"/>
      <c r="J1182" s="711">
        <v>111</v>
      </c>
      <c r="K1182" s="711">
        <v>100427.25</v>
      </c>
      <c r="L1182" s="711"/>
      <c r="M1182" s="711">
        <v>904.75</v>
      </c>
      <c r="N1182" s="711">
        <v>203</v>
      </c>
      <c r="O1182" s="711">
        <v>183664.25</v>
      </c>
      <c r="P1182" s="701"/>
      <c r="Q1182" s="712">
        <v>904.75</v>
      </c>
    </row>
    <row r="1183" spans="1:17" ht="14.4" customHeight="1" x14ac:dyDescent="0.3">
      <c r="A1183" s="695" t="s">
        <v>4917</v>
      </c>
      <c r="B1183" s="696" t="s">
        <v>4082</v>
      </c>
      <c r="C1183" s="696" t="s">
        <v>4103</v>
      </c>
      <c r="D1183" s="696" t="s">
        <v>4106</v>
      </c>
      <c r="E1183" s="696" t="s">
        <v>4107</v>
      </c>
      <c r="F1183" s="711"/>
      <c r="G1183" s="711"/>
      <c r="H1183" s="711"/>
      <c r="I1183" s="711"/>
      <c r="J1183" s="711">
        <v>1</v>
      </c>
      <c r="K1183" s="711">
        <v>242.64</v>
      </c>
      <c r="L1183" s="711"/>
      <c r="M1183" s="711">
        <v>242.64</v>
      </c>
      <c r="N1183" s="711"/>
      <c r="O1183" s="711"/>
      <c r="P1183" s="701"/>
      <c r="Q1183" s="712"/>
    </row>
    <row r="1184" spans="1:17" ht="14.4" customHeight="1" x14ac:dyDescent="0.3">
      <c r="A1184" s="695" t="s">
        <v>4917</v>
      </c>
      <c r="B1184" s="696" t="s">
        <v>4082</v>
      </c>
      <c r="C1184" s="696" t="s">
        <v>4114</v>
      </c>
      <c r="D1184" s="696" t="s">
        <v>4230</v>
      </c>
      <c r="E1184" s="696" t="s">
        <v>4231</v>
      </c>
      <c r="F1184" s="711">
        <v>54</v>
      </c>
      <c r="G1184" s="711">
        <v>9990</v>
      </c>
      <c r="H1184" s="711">
        <v>1</v>
      </c>
      <c r="I1184" s="711">
        <v>185</v>
      </c>
      <c r="J1184" s="711">
        <v>50</v>
      </c>
      <c r="K1184" s="711">
        <v>9250</v>
      </c>
      <c r="L1184" s="711">
        <v>0.92592592592592593</v>
      </c>
      <c r="M1184" s="711">
        <v>185</v>
      </c>
      <c r="N1184" s="711">
        <v>57</v>
      </c>
      <c r="O1184" s="711">
        <v>10614</v>
      </c>
      <c r="P1184" s="701">
        <v>1.0624624624624626</v>
      </c>
      <c r="Q1184" s="712">
        <v>186.21052631578948</v>
      </c>
    </row>
    <row r="1185" spans="1:17" ht="14.4" customHeight="1" x14ac:dyDescent="0.3">
      <c r="A1185" s="695" t="s">
        <v>4917</v>
      </c>
      <c r="B1185" s="696" t="s">
        <v>4082</v>
      </c>
      <c r="C1185" s="696" t="s">
        <v>4114</v>
      </c>
      <c r="D1185" s="696" t="s">
        <v>4266</v>
      </c>
      <c r="E1185" s="696" t="s">
        <v>4267</v>
      </c>
      <c r="F1185" s="711">
        <v>2</v>
      </c>
      <c r="G1185" s="711">
        <v>2186</v>
      </c>
      <c r="H1185" s="711">
        <v>1</v>
      </c>
      <c r="I1185" s="711">
        <v>1093</v>
      </c>
      <c r="J1185" s="711">
        <v>6</v>
      </c>
      <c r="K1185" s="711">
        <v>6804</v>
      </c>
      <c r="L1185" s="711">
        <v>3.1125343092406221</v>
      </c>
      <c r="M1185" s="711">
        <v>1134</v>
      </c>
      <c r="N1185" s="711">
        <v>4</v>
      </c>
      <c r="O1185" s="711">
        <v>4544</v>
      </c>
      <c r="P1185" s="701">
        <v>2.0786825251601098</v>
      </c>
      <c r="Q1185" s="712">
        <v>1136</v>
      </c>
    </row>
    <row r="1186" spans="1:17" ht="14.4" customHeight="1" x14ac:dyDescent="0.3">
      <c r="A1186" s="695" t="s">
        <v>4917</v>
      </c>
      <c r="B1186" s="696" t="s">
        <v>4082</v>
      </c>
      <c r="C1186" s="696" t="s">
        <v>4114</v>
      </c>
      <c r="D1186" s="696" t="s">
        <v>4119</v>
      </c>
      <c r="E1186" s="696" t="s">
        <v>4120</v>
      </c>
      <c r="F1186" s="711">
        <v>2</v>
      </c>
      <c r="G1186" s="711">
        <v>68</v>
      </c>
      <c r="H1186" s="711">
        <v>1</v>
      </c>
      <c r="I1186" s="711">
        <v>34</v>
      </c>
      <c r="J1186" s="711"/>
      <c r="K1186" s="711"/>
      <c r="L1186" s="711"/>
      <c r="M1186" s="711"/>
      <c r="N1186" s="711">
        <v>2</v>
      </c>
      <c r="O1186" s="711">
        <v>69</v>
      </c>
      <c r="P1186" s="701">
        <v>1.0147058823529411</v>
      </c>
      <c r="Q1186" s="712">
        <v>34.5</v>
      </c>
    </row>
    <row r="1187" spans="1:17" ht="14.4" customHeight="1" x14ac:dyDescent="0.3">
      <c r="A1187" s="695" t="s">
        <v>4917</v>
      </c>
      <c r="B1187" s="696" t="s">
        <v>4082</v>
      </c>
      <c r="C1187" s="696" t="s">
        <v>4114</v>
      </c>
      <c r="D1187" s="696" t="s">
        <v>4125</v>
      </c>
      <c r="E1187" s="696" t="s">
        <v>4078</v>
      </c>
      <c r="F1187" s="711">
        <v>21</v>
      </c>
      <c r="G1187" s="711">
        <v>3276</v>
      </c>
      <c r="H1187" s="711">
        <v>1</v>
      </c>
      <c r="I1187" s="711">
        <v>156</v>
      </c>
      <c r="J1187" s="711"/>
      <c r="K1187" s="711"/>
      <c r="L1187" s="711"/>
      <c r="M1187" s="711"/>
      <c r="N1187" s="711"/>
      <c r="O1187" s="711"/>
      <c r="P1187" s="701"/>
      <c r="Q1187" s="712"/>
    </row>
    <row r="1188" spans="1:17" ht="14.4" customHeight="1" x14ac:dyDescent="0.3">
      <c r="A1188" s="695" t="s">
        <v>4917</v>
      </c>
      <c r="B1188" s="696" t="s">
        <v>4082</v>
      </c>
      <c r="C1188" s="696" t="s">
        <v>4114</v>
      </c>
      <c r="D1188" s="696" t="s">
        <v>4126</v>
      </c>
      <c r="E1188" s="696" t="s">
        <v>4078</v>
      </c>
      <c r="F1188" s="711">
        <v>24</v>
      </c>
      <c r="G1188" s="711">
        <v>1872</v>
      </c>
      <c r="H1188" s="711">
        <v>1</v>
      </c>
      <c r="I1188" s="711">
        <v>78</v>
      </c>
      <c r="J1188" s="711"/>
      <c r="K1188" s="711"/>
      <c r="L1188" s="711"/>
      <c r="M1188" s="711"/>
      <c r="N1188" s="711"/>
      <c r="O1188" s="711"/>
      <c r="P1188" s="701"/>
      <c r="Q1188" s="712"/>
    </row>
    <row r="1189" spans="1:17" ht="14.4" customHeight="1" x14ac:dyDescent="0.3">
      <c r="A1189" s="695" t="s">
        <v>4917</v>
      </c>
      <c r="B1189" s="696" t="s">
        <v>4082</v>
      </c>
      <c r="C1189" s="696" t="s">
        <v>4114</v>
      </c>
      <c r="D1189" s="696" t="s">
        <v>4127</v>
      </c>
      <c r="E1189" s="696" t="s">
        <v>4128</v>
      </c>
      <c r="F1189" s="711">
        <v>365</v>
      </c>
      <c r="G1189" s="711">
        <v>84315</v>
      </c>
      <c r="H1189" s="711">
        <v>1</v>
      </c>
      <c r="I1189" s="711">
        <v>231</v>
      </c>
      <c r="J1189" s="711">
        <v>493</v>
      </c>
      <c r="K1189" s="711">
        <v>114376</v>
      </c>
      <c r="L1189" s="711">
        <v>1.3565320524224633</v>
      </c>
      <c r="M1189" s="711">
        <v>232</v>
      </c>
      <c r="N1189" s="711">
        <v>516</v>
      </c>
      <c r="O1189" s="711">
        <v>120188</v>
      </c>
      <c r="P1189" s="701">
        <v>1.4254640336832118</v>
      </c>
      <c r="Q1189" s="712">
        <v>232.92248062015503</v>
      </c>
    </row>
    <row r="1190" spans="1:17" ht="14.4" customHeight="1" x14ac:dyDescent="0.3">
      <c r="A1190" s="695" t="s">
        <v>4917</v>
      </c>
      <c r="B1190" s="696" t="s">
        <v>4082</v>
      </c>
      <c r="C1190" s="696" t="s">
        <v>4114</v>
      </c>
      <c r="D1190" s="696" t="s">
        <v>4129</v>
      </c>
      <c r="E1190" s="696" t="s">
        <v>4130</v>
      </c>
      <c r="F1190" s="711">
        <v>22</v>
      </c>
      <c r="G1190" s="711">
        <v>2552</v>
      </c>
      <c r="H1190" s="711">
        <v>1</v>
      </c>
      <c r="I1190" s="711">
        <v>116</v>
      </c>
      <c r="J1190" s="711">
        <v>86</v>
      </c>
      <c r="K1190" s="711">
        <v>9976</v>
      </c>
      <c r="L1190" s="711">
        <v>3.9090909090909092</v>
      </c>
      <c r="M1190" s="711">
        <v>116</v>
      </c>
      <c r="N1190" s="711">
        <v>87</v>
      </c>
      <c r="O1190" s="711">
        <v>10178</v>
      </c>
      <c r="P1190" s="701">
        <v>3.988244514106583</v>
      </c>
      <c r="Q1190" s="712">
        <v>116.98850574712644</v>
      </c>
    </row>
    <row r="1191" spans="1:17" ht="14.4" customHeight="1" x14ac:dyDescent="0.3">
      <c r="A1191" s="695" t="s">
        <v>4917</v>
      </c>
      <c r="B1191" s="696" t="s">
        <v>4082</v>
      </c>
      <c r="C1191" s="696" t="s">
        <v>4114</v>
      </c>
      <c r="D1191" s="696" t="s">
        <v>4131</v>
      </c>
      <c r="E1191" s="696" t="s">
        <v>4132</v>
      </c>
      <c r="F1191" s="711"/>
      <c r="G1191" s="711"/>
      <c r="H1191" s="711"/>
      <c r="I1191" s="711"/>
      <c r="J1191" s="711"/>
      <c r="K1191" s="711"/>
      <c r="L1191" s="711"/>
      <c r="M1191" s="711"/>
      <c r="N1191" s="711">
        <v>7</v>
      </c>
      <c r="O1191" s="711">
        <v>2240</v>
      </c>
      <c r="P1191" s="701"/>
      <c r="Q1191" s="712">
        <v>320</v>
      </c>
    </row>
    <row r="1192" spans="1:17" ht="14.4" customHeight="1" x14ac:dyDescent="0.3">
      <c r="A1192" s="695" t="s">
        <v>4917</v>
      </c>
      <c r="B1192" s="696" t="s">
        <v>4082</v>
      </c>
      <c r="C1192" s="696" t="s">
        <v>4114</v>
      </c>
      <c r="D1192" s="696" t="s">
        <v>4133</v>
      </c>
      <c r="E1192" s="696" t="s">
        <v>4134</v>
      </c>
      <c r="F1192" s="711">
        <v>5</v>
      </c>
      <c r="G1192" s="711">
        <v>2415</v>
      </c>
      <c r="H1192" s="711">
        <v>1</v>
      </c>
      <c r="I1192" s="711">
        <v>483</v>
      </c>
      <c r="J1192" s="711">
        <v>21</v>
      </c>
      <c r="K1192" s="711">
        <v>10164</v>
      </c>
      <c r="L1192" s="711">
        <v>4.2086956521739127</v>
      </c>
      <c r="M1192" s="711">
        <v>484</v>
      </c>
      <c r="N1192" s="711">
        <v>6</v>
      </c>
      <c r="O1192" s="711">
        <v>2908</v>
      </c>
      <c r="P1192" s="701">
        <v>1.2041407867494824</v>
      </c>
      <c r="Q1192" s="712">
        <v>484.66666666666669</v>
      </c>
    </row>
    <row r="1193" spans="1:17" ht="14.4" customHeight="1" x14ac:dyDescent="0.3">
      <c r="A1193" s="695" t="s">
        <v>4917</v>
      </c>
      <c r="B1193" s="696" t="s">
        <v>4082</v>
      </c>
      <c r="C1193" s="696" t="s">
        <v>4114</v>
      </c>
      <c r="D1193" s="696" t="s">
        <v>4135</v>
      </c>
      <c r="E1193" s="696" t="s">
        <v>4136</v>
      </c>
      <c r="F1193" s="711">
        <v>6</v>
      </c>
      <c r="G1193" s="711">
        <v>4056</v>
      </c>
      <c r="H1193" s="711">
        <v>1</v>
      </c>
      <c r="I1193" s="711">
        <v>676</v>
      </c>
      <c r="J1193" s="711">
        <v>14</v>
      </c>
      <c r="K1193" s="711">
        <v>9478</v>
      </c>
      <c r="L1193" s="711">
        <v>2.3367850098619329</v>
      </c>
      <c r="M1193" s="711">
        <v>677</v>
      </c>
      <c r="N1193" s="711">
        <v>6</v>
      </c>
      <c r="O1193" s="711">
        <v>4064</v>
      </c>
      <c r="P1193" s="701">
        <v>1.0019723865877712</v>
      </c>
      <c r="Q1193" s="712">
        <v>677.33333333333337</v>
      </c>
    </row>
    <row r="1194" spans="1:17" ht="14.4" customHeight="1" x14ac:dyDescent="0.3">
      <c r="A1194" s="695" t="s">
        <v>4917</v>
      </c>
      <c r="B1194" s="696" t="s">
        <v>4082</v>
      </c>
      <c r="C1194" s="696" t="s">
        <v>4114</v>
      </c>
      <c r="D1194" s="696" t="s">
        <v>4137</v>
      </c>
      <c r="E1194" s="696" t="s">
        <v>4138</v>
      </c>
      <c r="F1194" s="711"/>
      <c r="G1194" s="711"/>
      <c r="H1194" s="711"/>
      <c r="I1194" s="711"/>
      <c r="J1194" s="711">
        <v>1</v>
      </c>
      <c r="K1194" s="711">
        <v>749</v>
      </c>
      <c r="L1194" s="711"/>
      <c r="M1194" s="711">
        <v>749</v>
      </c>
      <c r="N1194" s="711"/>
      <c r="O1194" s="711"/>
      <c r="P1194" s="701"/>
      <c r="Q1194" s="712"/>
    </row>
    <row r="1195" spans="1:17" ht="14.4" customHeight="1" x14ac:dyDescent="0.3">
      <c r="A1195" s="695" t="s">
        <v>4917</v>
      </c>
      <c r="B1195" s="696" t="s">
        <v>4082</v>
      </c>
      <c r="C1195" s="696" t="s">
        <v>4114</v>
      </c>
      <c r="D1195" s="696" t="s">
        <v>4139</v>
      </c>
      <c r="E1195" s="696" t="s">
        <v>4134</v>
      </c>
      <c r="F1195" s="711">
        <v>7</v>
      </c>
      <c r="G1195" s="711">
        <v>3850</v>
      </c>
      <c r="H1195" s="711">
        <v>1</v>
      </c>
      <c r="I1195" s="711">
        <v>550</v>
      </c>
      <c r="J1195" s="711">
        <v>11</v>
      </c>
      <c r="K1195" s="711">
        <v>6083</v>
      </c>
      <c r="L1195" s="711">
        <v>1.58</v>
      </c>
      <c r="M1195" s="711">
        <v>553</v>
      </c>
      <c r="N1195" s="711">
        <v>26</v>
      </c>
      <c r="O1195" s="711">
        <v>14410</v>
      </c>
      <c r="P1195" s="701">
        <v>3.7428571428571429</v>
      </c>
      <c r="Q1195" s="712">
        <v>554.23076923076928</v>
      </c>
    </row>
    <row r="1196" spans="1:17" ht="14.4" customHeight="1" x14ac:dyDescent="0.3">
      <c r="A1196" s="695" t="s">
        <v>4917</v>
      </c>
      <c r="B1196" s="696" t="s">
        <v>4082</v>
      </c>
      <c r="C1196" s="696" t="s">
        <v>4114</v>
      </c>
      <c r="D1196" s="696" t="s">
        <v>4140</v>
      </c>
      <c r="E1196" s="696" t="s">
        <v>4136</v>
      </c>
      <c r="F1196" s="711">
        <v>3</v>
      </c>
      <c r="G1196" s="711">
        <v>2229</v>
      </c>
      <c r="H1196" s="711">
        <v>1</v>
      </c>
      <c r="I1196" s="711">
        <v>743</v>
      </c>
      <c r="J1196" s="711">
        <v>20</v>
      </c>
      <c r="K1196" s="711">
        <v>14920</v>
      </c>
      <c r="L1196" s="711">
        <v>6.6935845670704355</v>
      </c>
      <c r="M1196" s="711">
        <v>746</v>
      </c>
      <c r="N1196" s="711">
        <v>42</v>
      </c>
      <c r="O1196" s="711">
        <v>31348</v>
      </c>
      <c r="P1196" s="701">
        <v>14.063705697622252</v>
      </c>
      <c r="Q1196" s="712">
        <v>746.38095238095241</v>
      </c>
    </row>
    <row r="1197" spans="1:17" ht="14.4" customHeight="1" x14ac:dyDescent="0.3">
      <c r="A1197" s="695" t="s">
        <v>4917</v>
      </c>
      <c r="B1197" s="696" t="s">
        <v>4082</v>
      </c>
      <c r="C1197" s="696" t="s">
        <v>4114</v>
      </c>
      <c r="D1197" s="696" t="s">
        <v>4232</v>
      </c>
      <c r="E1197" s="696" t="s">
        <v>4233</v>
      </c>
      <c r="F1197" s="711">
        <v>958</v>
      </c>
      <c r="G1197" s="711">
        <v>766400</v>
      </c>
      <c r="H1197" s="711">
        <v>1</v>
      </c>
      <c r="I1197" s="711">
        <v>800</v>
      </c>
      <c r="J1197" s="711">
        <v>1158</v>
      </c>
      <c r="K1197" s="711">
        <v>929874</v>
      </c>
      <c r="L1197" s="711">
        <v>1.2133011482254696</v>
      </c>
      <c r="M1197" s="711">
        <v>803</v>
      </c>
      <c r="N1197" s="711">
        <v>1603</v>
      </c>
      <c r="O1197" s="711">
        <v>1290065</v>
      </c>
      <c r="P1197" s="701">
        <v>1.6832789665970773</v>
      </c>
      <c r="Q1197" s="712">
        <v>804.78165938864629</v>
      </c>
    </row>
    <row r="1198" spans="1:17" ht="14.4" customHeight="1" x14ac:dyDescent="0.3">
      <c r="A1198" s="695" t="s">
        <v>4917</v>
      </c>
      <c r="B1198" s="696" t="s">
        <v>4082</v>
      </c>
      <c r="C1198" s="696" t="s">
        <v>4114</v>
      </c>
      <c r="D1198" s="696" t="s">
        <v>4141</v>
      </c>
      <c r="E1198" s="696" t="s">
        <v>4142</v>
      </c>
      <c r="F1198" s="711">
        <v>3</v>
      </c>
      <c r="G1198" s="711">
        <v>1305</v>
      </c>
      <c r="H1198" s="711">
        <v>1</v>
      </c>
      <c r="I1198" s="711">
        <v>435</v>
      </c>
      <c r="J1198" s="711">
        <v>4</v>
      </c>
      <c r="K1198" s="711">
        <v>1756</v>
      </c>
      <c r="L1198" s="711">
        <v>1.3455938697318008</v>
      </c>
      <c r="M1198" s="711">
        <v>439</v>
      </c>
      <c r="N1198" s="711"/>
      <c r="O1198" s="711"/>
      <c r="P1198" s="701"/>
      <c r="Q1198" s="712"/>
    </row>
    <row r="1199" spans="1:17" ht="14.4" customHeight="1" x14ac:dyDescent="0.3">
      <c r="A1199" s="695" t="s">
        <v>4917</v>
      </c>
      <c r="B1199" s="696" t="s">
        <v>4082</v>
      </c>
      <c r="C1199" s="696" t="s">
        <v>4114</v>
      </c>
      <c r="D1199" s="696" t="s">
        <v>4255</v>
      </c>
      <c r="E1199" s="696" t="s">
        <v>4181</v>
      </c>
      <c r="F1199" s="711">
        <v>48</v>
      </c>
      <c r="G1199" s="711">
        <v>33648</v>
      </c>
      <c r="H1199" s="711">
        <v>1</v>
      </c>
      <c r="I1199" s="711">
        <v>701</v>
      </c>
      <c r="J1199" s="711">
        <v>69</v>
      </c>
      <c r="K1199" s="711">
        <v>48645</v>
      </c>
      <c r="L1199" s="711">
        <v>1.4457025677603423</v>
      </c>
      <c r="M1199" s="711">
        <v>705</v>
      </c>
      <c r="N1199" s="711">
        <v>95</v>
      </c>
      <c r="O1199" s="711">
        <v>67325</v>
      </c>
      <c r="P1199" s="701">
        <v>2.0008618640038041</v>
      </c>
      <c r="Q1199" s="712">
        <v>708.68421052631584</v>
      </c>
    </row>
    <row r="1200" spans="1:17" ht="14.4" customHeight="1" x14ac:dyDescent="0.3">
      <c r="A1200" s="695" t="s">
        <v>4917</v>
      </c>
      <c r="B1200" s="696" t="s">
        <v>4082</v>
      </c>
      <c r="C1200" s="696" t="s">
        <v>4114</v>
      </c>
      <c r="D1200" s="696" t="s">
        <v>4256</v>
      </c>
      <c r="E1200" s="696" t="s">
        <v>4138</v>
      </c>
      <c r="F1200" s="711">
        <v>42</v>
      </c>
      <c r="G1200" s="711">
        <v>34230</v>
      </c>
      <c r="H1200" s="711">
        <v>1</v>
      </c>
      <c r="I1200" s="711">
        <v>815</v>
      </c>
      <c r="J1200" s="711">
        <v>49</v>
      </c>
      <c r="K1200" s="711">
        <v>40082</v>
      </c>
      <c r="L1200" s="711">
        <v>1.1709611451942741</v>
      </c>
      <c r="M1200" s="711">
        <v>818</v>
      </c>
      <c r="N1200" s="711">
        <v>66</v>
      </c>
      <c r="O1200" s="711">
        <v>54116</v>
      </c>
      <c r="P1200" s="701">
        <v>1.5809523809523809</v>
      </c>
      <c r="Q1200" s="712">
        <v>819.93939393939399</v>
      </c>
    </row>
    <row r="1201" spans="1:17" ht="14.4" customHeight="1" x14ac:dyDescent="0.3">
      <c r="A1201" s="695" t="s">
        <v>4917</v>
      </c>
      <c r="B1201" s="696" t="s">
        <v>4082</v>
      </c>
      <c r="C1201" s="696" t="s">
        <v>4114</v>
      </c>
      <c r="D1201" s="696" t="s">
        <v>4145</v>
      </c>
      <c r="E1201" s="696" t="s">
        <v>4146</v>
      </c>
      <c r="F1201" s="711">
        <v>321</v>
      </c>
      <c r="G1201" s="711">
        <v>66126</v>
      </c>
      <c r="H1201" s="711">
        <v>1</v>
      </c>
      <c r="I1201" s="711">
        <v>206</v>
      </c>
      <c r="J1201" s="711">
        <v>419</v>
      </c>
      <c r="K1201" s="711">
        <v>86733</v>
      </c>
      <c r="L1201" s="711">
        <v>1.3116323382633155</v>
      </c>
      <c r="M1201" s="711">
        <v>207</v>
      </c>
      <c r="N1201" s="711">
        <v>389</v>
      </c>
      <c r="O1201" s="711">
        <v>80865</v>
      </c>
      <c r="P1201" s="701">
        <v>1.2228926594682878</v>
      </c>
      <c r="Q1201" s="712">
        <v>207.87917737789203</v>
      </c>
    </row>
    <row r="1202" spans="1:17" ht="14.4" customHeight="1" x14ac:dyDescent="0.3">
      <c r="A1202" s="695" t="s">
        <v>4917</v>
      </c>
      <c r="B1202" s="696" t="s">
        <v>4082</v>
      </c>
      <c r="C1202" s="696" t="s">
        <v>4114</v>
      </c>
      <c r="D1202" s="696" t="s">
        <v>4153</v>
      </c>
      <c r="E1202" s="696" t="s">
        <v>4154</v>
      </c>
      <c r="F1202" s="711">
        <v>3246</v>
      </c>
      <c r="G1202" s="711">
        <v>262926</v>
      </c>
      <c r="H1202" s="711">
        <v>1</v>
      </c>
      <c r="I1202" s="711">
        <v>81</v>
      </c>
      <c r="J1202" s="711">
        <v>4157</v>
      </c>
      <c r="K1202" s="711">
        <v>340874</v>
      </c>
      <c r="L1202" s="711">
        <v>1.2964636437628838</v>
      </c>
      <c r="M1202" s="711">
        <v>82</v>
      </c>
      <c r="N1202" s="711">
        <v>3908</v>
      </c>
      <c r="O1202" s="711">
        <v>324000</v>
      </c>
      <c r="P1202" s="701">
        <v>1.2322858903265557</v>
      </c>
      <c r="Q1202" s="712">
        <v>82.906857727737972</v>
      </c>
    </row>
    <row r="1203" spans="1:17" ht="14.4" customHeight="1" x14ac:dyDescent="0.3">
      <c r="A1203" s="695" t="s">
        <v>4917</v>
      </c>
      <c r="B1203" s="696" t="s">
        <v>4082</v>
      </c>
      <c r="C1203" s="696" t="s">
        <v>4114</v>
      </c>
      <c r="D1203" s="696" t="s">
        <v>4157</v>
      </c>
      <c r="E1203" s="696" t="s">
        <v>4158</v>
      </c>
      <c r="F1203" s="711">
        <v>2</v>
      </c>
      <c r="G1203" s="711">
        <v>1704</v>
      </c>
      <c r="H1203" s="711">
        <v>1</v>
      </c>
      <c r="I1203" s="711">
        <v>852</v>
      </c>
      <c r="J1203" s="711">
        <v>17</v>
      </c>
      <c r="K1203" s="711">
        <v>11951</v>
      </c>
      <c r="L1203" s="711">
        <v>7.01349765258216</v>
      </c>
      <c r="M1203" s="711">
        <v>703</v>
      </c>
      <c r="N1203" s="711">
        <v>27</v>
      </c>
      <c r="O1203" s="711">
        <v>19023</v>
      </c>
      <c r="P1203" s="701">
        <v>11.163732394366198</v>
      </c>
      <c r="Q1203" s="712">
        <v>704.55555555555554</v>
      </c>
    </row>
    <row r="1204" spans="1:17" ht="14.4" customHeight="1" x14ac:dyDescent="0.3">
      <c r="A1204" s="695" t="s">
        <v>4917</v>
      </c>
      <c r="B1204" s="696" t="s">
        <v>4082</v>
      </c>
      <c r="C1204" s="696" t="s">
        <v>4114</v>
      </c>
      <c r="D1204" s="696" t="s">
        <v>4234</v>
      </c>
      <c r="E1204" s="696" t="s">
        <v>4233</v>
      </c>
      <c r="F1204" s="711">
        <v>1920</v>
      </c>
      <c r="G1204" s="711">
        <v>1777920</v>
      </c>
      <c r="H1204" s="711">
        <v>1</v>
      </c>
      <c r="I1204" s="711">
        <v>926</v>
      </c>
      <c r="J1204" s="711">
        <v>2412</v>
      </c>
      <c r="K1204" s="711">
        <v>2240748</v>
      </c>
      <c r="L1204" s="711">
        <v>1.2603199244060475</v>
      </c>
      <c r="M1204" s="711">
        <v>929</v>
      </c>
      <c r="N1204" s="711">
        <v>1892</v>
      </c>
      <c r="O1204" s="711">
        <v>1761272</v>
      </c>
      <c r="P1204" s="701">
        <v>0.99063624910007197</v>
      </c>
      <c r="Q1204" s="712">
        <v>930.90486257928114</v>
      </c>
    </row>
    <row r="1205" spans="1:17" ht="14.4" customHeight="1" x14ac:dyDescent="0.3">
      <c r="A1205" s="695" t="s">
        <v>4917</v>
      </c>
      <c r="B1205" s="696" t="s">
        <v>4082</v>
      </c>
      <c r="C1205" s="696" t="s">
        <v>4114</v>
      </c>
      <c r="D1205" s="696" t="s">
        <v>4161</v>
      </c>
      <c r="E1205" s="696" t="s">
        <v>4162</v>
      </c>
      <c r="F1205" s="711"/>
      <c r="G1205" s="711"/>
      <c r="H1205" s="711"/>
      <c r="I1205" s="711"/>
      <c r="J1205" s="711">
        <v>3</v>
      </c>
      <c r="K1205" s="711">
        <v>0</v>
      </c>
      <c r="L1205" s="711"/>
      <c r="M1205" s="711">
        <v>0</v>
      </c>
      <c r="N1205" s="711"/>
      <c r="O1205" s="711"/>
      <c r="P1205" s="701"/>
      <c r="Q1205" s="712"/>
    </row>
    <row r="1206" spans="1:17" ht="14.4" customHeight="1" x14ac:dyDescent="0.3">
      <c r="A1206" s="695" t="s">
        <v>4917</v>
      </c>
      <c r="B1206" s="696" t="s">
        <v>4082</v>
      </c>
      <c r="C1206" s="696" t="s">
        <v>4114</v>
      </c>
      <c r="D1206" s="696" t="s">
        <v>4163</v>
      </c>
      <c r="E1206" s="696" t="s">
        <v>4164</v>
      </c>
      <c r="F1206" s="711">
        <v>8</v>
      </c>
      <c r="G1206" s="711">
        <v>888</v>
      </c>
      <c r="H1206" s="711">
        <v>1</v>
      </c>
      <c r="I1206" s="711">
        <v>111</v>
      </c>
      <c r="J1206" s="711">
        <v>4</v>
      </c>
      <c r="K1206" s="711">
        <v>448</v>
      </c>
      <c r="L1206" s="711">
        <v>0.50450450450450446</v>
      </c>
      <c r="M1206" s="711">
        <v>112</v>
      </c>
      <c r="N1206" s="711">
        <v>7</v>
      </c>
      <c r="O1206" s="711">
        <v>784</v>
      </c>
      <c r="P1206" s="701">
        <v>0.88288288288288286</v>
      </c>
      <c r="Q1206" s="712">
        <v>112</v>
      </c>
    </row>
    <row r="1207" spans="1:17" ht="14.4" customHeight="1" x14ac:dyDescent="0.3">
      <c r="A1207" s="695" t="s">
        <v>4917</v>
      </c>
      <c r="B1207" s="696" t="s">
        <v>4082</v>
      </c>
      <c r="C1207" s="696" t="s">
        <v>4114</v>
      </c>
      <c r="D1207" s="696" t="s">
        <v>4235</v>
      </c>
      <c r="E1207" s="696" t="s">
        <v>4233</v>
      </c>
      <c r="F1207" s="711">
        <v>137</v>
      </c>
      <c r="G1207" s="711">
        <v>100421</v>
      </c>
      <c r="H1207" s="711">
        <v>1</v>
      </c>
      <c r="I1207" s="711">
        <v>733</v>
      </c>
      <c r="J1207" s="711">
        <v>154</v>
      </c>
      <c r="K1207" s="711">
        <v>113036</v>
      </c>
      <c r="L1207" s="711">
        <v>1.1256211350215592</v>
      </c>
      <c r="M1207" s="711">
        <v>734</v>
      </c>
      <c r="N1207" s="711">
        <v>122</v>
      </c>
      <c r="O1207" s="711">
        <v>89704</v>
      </c>
      <c r="P1207" s="701">
        <v>0.89327929417153784</v>
      </c>
      <c r="Q1207" s="712">
        <v>735.27868852459017</v>
      </c>
    </row>
    <row r="1208" spans="1:17" ht="14.4" customHeight="1" x14ac:dyDescent="0.3">
      <c r="A1208" s="695" t="s">
        <v>4917</v>
      </c>
      <c r="B1208" s="696" t="s">
        <v>4082</v>
      </c>
      <c r="C1208" s="696" t="s">
        <v>4114</v>
      </c>
      <c r="D1208" s="696" t="s">
        <v>4243</v>
      </c>
      <c r="E1208" s="696" t="s">
        <v>4244</v>
      </c>
      <c r="F1208" s="711">
        <v>5</v>
      </c>
      <c r="G1208" s="711">
        <v>290</v>
      </c>
      <c r="H1208" s="711">
        <v>1</v>
      </c>
      <c r="I1208" s="711">
        <v>58</v>
      </c>
      <c r="J1208" s="711">
        <v>8</v>
      </c>
      <c r="K1208" s="711">
        <v>448</v>
      </c>
      <c r="L1208" s="711">
        <v>1.5448275862068965</v>
      </c>
      <c r="M1208" s="711">
        <v>56</v>
      </c>
      <c r="N1208" s="711">
        <v>3</v>
      </c>
      <c r="O1208" s="711">
        <v>170</v>
      </c>
      <c r="P1208" s="701">
        <v>0.58620689655172409</v>
      </c>
      <c r="Q1208" s="712">
        <v>56.666666666666664</v>
      </c>
    </row>
    <row r="1209" spans="1:17" ht="14.4" customHeight="1" x14ac:dyDescent="0.3">
      <c r="A1209" s="695" t="s">
        <v>4917</v>
      </c>
      <c r="B1209" s="696" t="s">
        <v>4082</v>
      </c>
      <c r="C1209" s="696" t="s">
        <v>4114</v>
      </c>
      <c r="D1209" s="696" t="s">
        <v>4236</v>
      </c>
      <c r="E1209" s="696" t="s">
        <v>4237</v>
      </c>
      <c r="F1209" s="711">
        <v>335</v>
      </c>
      <c r="G1209" s="711">
        <v>175205</v>
      </c>
      <c r="H1209" s="711">
        <v>1</v>
      </c>
      <c r="I1209" s="711">
        <v>523</v>
      </c>
      <c r="J1209" s="711">
        <v>447</v>
      </c>
      <c r="K1209" s="711">
        <v>234228</v>
      </c>
      <c r="L1209" s="711">
        <v>1.3368796552609801</v>
      </c>
      <c r="M1209" s="711">
        <v>524</v>
      </c>
      <c r="N1209" s="711">
        <v>365</v>
      </c>
      <c r="O1209" s="711">
        <v>191506</v>
      </c>
      <c r="P1209" s="701">
        <v>1.0930395822037042</v>
      </c>
      <c r="Q1209" s="712">
        <v>524.6739726027397</v>
      </c>
    </row>
    <row r="1210" spans="1:17" ht="14.4" customHeight="1" x14ac:dyDescent="0.3">
      <c r="A1210" s="695" t="s">
        <v>4917</v>
      </c>
      <c r="B1210" s="696" t="s">
        <v>4082</v>
      </c>
      <c r="C1210" s="696" t="s">
        <v>4114</v>
      </c>
      <c r="D1210" s="696" t="s">
        <v>4171</v>
      </c>
      <c r="E1210" s="696" t="s">
        <v>4172</v>
      </c>
      <c r="F1210" s="711">
        <v>6</v>
      </c>
      <c r="G1210" s="711">
        <v>1770</v>
      </c>
      <c r="H1210" s="711">
        <v>1</v>
      </c>
      <c r="I1210" s="711">
        <v>295</v>
      </c>
      <c r="J1210" s="711">
        <v>3</v>
      </c>
      <c r="K1210" s="711">
        <v>888</v>
      </c>
      <c r="L1210" s="711">
        <v>0.50169491525423726</v>
      </c>
      <c r="M1210" s="711">
        <v>296</v>
      </c>
      <c r="N1210" s="711">
        <v>3</v>
      </c>
      <c r="O1210" s="711">
        <v>888</v>
      </c>
      <c r="P1210" s="701">
        <v>0.50169491525423726</v>
      </c>
      <c r="Q1210" s="712">
        <v>296</v>
      </c>
    </row>
    <row r="1211" spans="1:17" ht="14.4" customHeight="1" x14ac:dyDescent="0.3">
      <c r="A1211" s="695" t="s">
        <v>4917</v>
      </c>
      <c r="B1211" s="696" t="s">
        <v>4082</v>
      </c>
      <c r="C1211" s="696" t="s">
        <v>4114</v>
      </c>
      <c r="D1211" s="696" t="s">
        <v>4238</v>
      </c>
      <c r="E1211" s="696" t="s">
        <v>4146</v>
      </c>
      <c r="F1211" s="711">
        <v>29</v>
      </c>
      <c r="G1211" s="711">
        <v>4988</v>
      </c>
      <c r="H1211" s="711">
        <v>1</v>
      </c>
      <c r="I1211" s="711">
        <v>172</v>
      </c>
      <c r="J1211" s="711">
        <v>25</v>
      </c>
      <c r="K1211" s="711">
        <v>4300</v>
      </c>
      <c r="L1211" s="711">
        <v>0.86206896551724133</v>
      </c>
      <c r="M1211" s="711">
        <v>172</v>
      </c>
      <c r="N1211" s="711">
        <v>20</v>
      </c>
      <c r="O1211" s="711">
        <v>3462</v>
      </c>
      <c r="P1211" s="701">
        <v>0.69406575781876501</v>
      </c>
      <c r="Q1211" s="712">
        <v>173.1</v>
      </c>
    </row>
    <row r="1212" spans="1:17" ht="14.4" customHeight="1" x14ac:dyDescent="0.3">
      <c r="A1212" s="695" t="s">
        <v>4917</v>
      </c>
      <c r="B1212" s="696" t="s">
        <v>4082</v>
      </c>
      <c r="C1212" s="696" t="s">
        <v>4114</v>
      </c>
      <c r="D1212" s="696" t="s">
        <v>4175</v>
      </c>
      <c r="E1212" s="696" t="s">
        <v>4172</v>
      </c>
      <c r="F1212" s="711">
        <v>2</v>
      </c>
      <c r="G1212" s="711">
        <v>724</v>
      </c>
      <c r="H1212" s="711">
        <v>1</v>
      </c>
      <c r="I1212" s="711">
        <v>362</v>
      </c>
      <c r="J1212" s="711">
        <v>7</v>
      </c>
      <c r="K1212" s="711">
        <v>2555</v>
      </c>
      <c r="L1212" s="711">
        <v>3.5290055248618786</v>
      </c>
      <c r="M1212" s="711">
        <v>365</v>
      </c>
      <c r="N1212" s="711">
        <v>17</v>
      </c>
      <c r="O1212" s="711">
        <v>6257</v>
      </c>
      <c r="P1212" s="701">
        <v>8.6422651933701662</v>
      </c>
      <c r="Q1212" s="712">
        <v>368.05882352941177</v>
      </c>
    </row>
    <row r="1213" spans="1:17" ht="14.4" customHeight="1" x14ac:dyDescent="0.3">
      <c r="A1213" s="695" t="s">
        <v>4917</v>
      </c>
      <c r="B1213" s="696" t="s">
        <v>4082</v>
      </c>
      <c r="C1213" s="696" t="s">
        <v>4114</v>
      </c>
      <c r="D1213" s="696" t="s">
        <v>4178</v>
      </c>
      <c r="E1213" s="696" t="s">
        <v>4179</v>
      </c>
      <c r="F1213" s="711">
        <v>1</v>
      </c>
      <c r="G1213" s="711">
        <v>632</v>
      </c>
      <c r="H1213" s="711">
        <v>1</v>
      </c>
      <c r="I1213" s="711">
        <v>632</v>
      </c>
      <c r="J1213" s="711">
        <v>3</v>
      </c>
      <c r="K1213" s="711">
        <v>1905</v>
      </c>
      <c r="L1213" s="711">
        <v>3.0142405063291138</v>
      </c>
      <c r="M1213" s="711">
        <v>635</v>
      </c>
      <c r="N1213" s="711"/>
      <c r="O1213" s="711"/>
      <c r="P1213" s="701"/>
      <c r="Q1213" s="712"/>
    </row>
    <row r="1214" spans="1:17" ht="14.4" customHeight="1" x14ac:dyDescent="0.3">
      <c r="A1214" s="695" t="s">
        <v>4917</v>
      </c>
      <c r="B1214" s="696" t="s">
        <v>4082</v>
      </c>
      <c r="C1214" s="696" t="s">
        <v>4114</v>
      </c>
      <c r="D1214" s="696" t="s">
        <v>4180</v>
      </c>
      <c r="E1214" s="696" t="s">
        <v>4181</v>
      </c>
      <c r="F1214" s="711">
        <v>4</v>
      </c>
      <c r="G1214" s="711">
        <v>2396</v>
      </c>
      <c r="H1214" s="711">
        <v>1</v>
      </c>
      <c r="I1214" s="711">
        <v>599</v>
      </c>
      <c r="J1214" s="711">
        <v>2</v>
      </c>
      <c r="K1214" s="711">
        <v>1202</v>
      </c>
      <c r="L1214" s="711">
        <v>0.501669449081803</v>
      </c>
      <c r="M1214" s="711">
        <v>601</v>
      </c>
      <c r="N1214" s="711">
        <v>2</v>
      </c>
      <c r="O1214" s="711">
        <v>1206</v>
      </c>
      <c r="P1214" s="701">
        <v>0.503338898163606</v>
      </c>
      <c r="Q1214" s="712">
        <v>603</v>
      </c>
    </row>
    <row r="1215" spans="1:17" ht="14.4" customHeight="1" x14ac:dyDescent="0.3">
      <c r="A1215" s="695" t="s">
        <v>4917</v>
      </c>
      <c r="B1215" s="696" t="s">
        <v>4082</v>
      </c>
      <c r="C1215" s="696" t="s">
        <v>4114</v>
      </c>
      <c r="D1215" s="696" t="s">
        <v>4257</v>
      </c>
      <c r="E1215" s="696" t="s">
        <v>4258</v>
      </c>
      <c r="F1215" s="711">
        <v>46</v>
      </c>
      <c r="G1215" s="711">
        <v>4600</v>
      </c>
      <c r="H1215" s="711">
        <v>1</v>
      </c>
      <c r="I1215" s="711">
        <v>100</v>
      </c>
      <c r="J1215" s="711">
        <v>48</v>
      </c>
      <c r="K1215" s="711">
        <v>4800</v>
      </c>
      <c r="L1215" s="711">
        <v>1.0434782608695652</v>
      </c>
      <c r="M1215" s="711">
        <v>100</v>
      </c>
      <c r="N1215" s="711">
        <v>48</v>
      </c>
      <c r="O1215" s="711">
        <v>4800</v>
      </c>
      <c r="P1215" s="701">
        <v>1.0434782608695652</v>
      </c>
      <c r="Q1215" s="712">
        <v>100</v>
      </c>
    </row>
    <row r="1216" spans="1:17" ht="14.4" customHeight="1" x14ac:dyDescent="0.3">
      <c r="A1216" s="695" t="s">
        <v>4917</v>
      </c>
      <c r="B1216" s="696" t="s">
        <v>4082</v>
      </c>
      <c r="C1216" s="696" t="s">
        <v>4114</v>
      </c>
      <c r="D1216" s="696" t="s">
        <v>4239</v>
      </c>
      <c r="E1216" s="696" t="s">
        <v>4233</v>
      </c>
      <c r="F1216" s="711">
        <v>251</v>
      </c>
      <c r="G1216" s="711">
        <v>253259</v>
      </c>
      <c r="H1216" s="711">
        <v>1</v>
      </c>
      <c r="I1216" s="711">
        <v>1009</v>
      </c>
      <c r="J1216" s="711">
        <v>396</v>
      </c>
      <c r="K1216" s="711">
        <v>400752</v>
      </c>
      <c r="L1216" s="711">
        <v>1.5823800931062668</v>
      </c>
      <c r="M1216" s="711">
        <v>1012</v>
      </c>
      <c r="N1216" s="711">
        <v>251</v>
      </c>
      <c r="O1216" s="711">
        <v>254272</v>
      </c>
      <c r="P1216" s="701">
        <v>1.003999857853028</v>
      </c>
      <c r="Q1216" s="712">
        <v>1013.0358565737051</v>
      </c>
    </row>
    <row r="1217" spans="1:17" ht="14.4" customHeight="1" x14ac:dyDescent="0.3">
      <c r="A1217" s="695" t="s">
        <v>4917</v>
      </c>
      <c r="B1217" s="696" t="s">
        <v>4082</v>
      </c>
      <c r="C1217" s="696" t="s">
        <v>4114</v>
      </c>
      <c r="D1217" s="696" t="s">
        <v>4186</v>
      </c>
      <c r="E1217" s="696" t="s">
        <v>4142</v>
      </c>
      <c r="F1217" s="711">
        <v>1</v>
      </c>
      <c r="G1217" s="711">
        <v>333</v>
      </c>
      <c r="H1217" s="711">
        <v>1</v>
      </c>
      <c r="I1217" s="711">
        <v>333</v>
      </c>
      <c r="J1217" s="711"/>
      <c r="K1217" s="711"/>
      <c r="L1217" s="711"/>
      <c r="M1217" s="711"/>
      <c r="N1217" s="711"/>
      <c r="O1217" s="711"/>
      <c r="P1217" s="701"/>
      <c r="Q1217" s="712"/>
    </row>
    <row r="1218" spans="1:17" ht="14.4" customHeight="1" x14ac:dyDescent="0.3">
      <c r="A1218" s="695" t="s">
        <v>4917</v>
      </c>
      <c r="B1218" s="696" t="s">
        <v>4082</v>
      </c>
      <c r="C1218" s="696" t="s">
        <v>4114</v>
      </c>
      <c r="D1218" s="696" t="s">
        <v>4187</v>
      </c>
      <c r="E1218" s="696" t="s">
        <v>4144</v>
      </c>
      <c r="F1218" s="711"/>
      <c r="G1218" s="711"/>
      <c r="H1218" s="711"/>
      <c r="I1218" s="711"/>
      <c r="J1218" s="711">
        <v>1</v>
      </c>
      <c r="K1218" s="711">
        <v>362</v>
      </c>
      <c r="L1218" s="711"/>
      <c r="M1218" s="711">
        <v>362</v>
      </c>
      <c r="N1218" s="711"/>
      <c r="O1218" s="711"/>
      <c r="P1218" s="701"/>
      <c r="Q1218" s="712"/>
    </row>
    <row r="1219" spans="1:17" ht="14.4" customHeight="1" x14ac:dyDescent="0.3">
      <c r="A1219" s="695" t="s">
        <v>4917</v>
      </c>
      <c r="B1219" s="696" t="s">
        <v>4082</v>
      </c>
      <c r="C1219" s="696" t="s">
        <v>4114</v>
      </c>
      <c r="D1219" s="696" t="s">
        <v>4249</v>
      </c>
      <c r="E1219" s="696" t="s">
        <v>4233</v>
      </c>
      <c r="F1219" s="711">
        <v>58</v>
      </c>
      <c r="G1219" s="711">
        <v>49822</v>
      </c>
      <c r="H1219" s="711">
        <v>1</v>
      </c>
      <c r="I1219" s="711">
        <v>859</v>
      </c>
      <c r="J1219" s="711">
        <v>2</v>
      </c>
      <c r="K1219" s="711">
        <v>1720</v>
      </c>
      <c r="L1219" s="711">
        <v>3.4522901529444823E-2</v>
      </c>
      <c r="M1219" s="711">
        <v>860</v>
      </c>
      <c r="N1219" s="711"/>
      <c r="O1219" s="711"/>
      <c r="P1219" s="701"/>
      <c r="Q1219" s="712"/>
    </row>
    <row r="1220" spans="1:17" ht="14.4" customHeight="1" x14ac:dyDescent="0.3">
      <c r="A1220" s="695" t="s">
        <v>4917</v>
      </c>
      <c r="B1220" s="696" t="s">
        <v>4082</v>
      </c>
      <c r="C1220" s="696" t="s">
        <v>4114</v>
      </c>
      <c r="D1220" s="696" t="s">
        <v>4188</v>
      </c>
      <c r="E1220" s="696" t="s">
        <v>4189</v>
      </c>
      <c r="F1220" s="711">
        <v>16</v>
      </c>
      <c r="G1220" s="711">
        <v>8304</v>
      </c>
      <c r="H1220" s="711">
        <v>1</v>
      </c>
      <c r="I1220" s="711">
        <v>519</v>
      </c>
      <c r="J1220" s="711">
        <v>8</v>
      </c>
      <c r="K1220" s="711">
        <v>4160</v>
      </c>
      <c r="L1220" s="711">
        <v>0.50096339113680155</v>
      </c>
      <c r="M1220" s="711">
        <v>520</v>
      </c>
      <c r="N1220" s="711">
        <v>9</v>
      </c>
      <c r="O1220" s="711">
        <v>4692</v>
      </c>
      <c r="P1220" s="701">
        <v>0.56502890173410403</v>
      </c>
      <c r="Q1220" s="712">
        <v>521.33333333333337</v>
      </c>
    </row>
    <row r="1221" spans="1:17" ht="14.4" customHeight="1" x14ac:dyDescent="0.3">
      <c r="A1221" s="695" t="s">
        <v>4917</v>
      </c>
      <c r="B1221" s="696" t="s">
        <v>4082</v>
      </c>
      <c r="C1221" s="696" t="s">
        <v>4114</v>
      </c>
      <c r="D1221" s="696" t="s">
        <v>4259</v>
      </c>
      <c r="E1221" s="696" t="s">
        <v>4189</v>
      </c>
      <c r="F1221" s="711">
        <v>60</v>
      </c>
      <c r="G1221" s="711">
        <v>47880</v>
      </c>
      <c r="H1221" s="711">
        <v>1</v>
      </c>
      <c r="I1221" s="711">
        <v>798</v>
      </c>
      <c r="J1221" s="711">
        <v>89</v>
      </c>
      <c r="K1221" s="711">
        <v>71289</v>
      </c>
      <c r="L1221" s="711">
        <v>1.4889097744360902</v>
      </c>
      <c r="M1221" s="711">
        <v>801</v>
      </c>
      <c r="N1221" s="711">
        <v>79</v>
      </c>
      <c r="O1221" s="711">
        <v>63419</v>
      </c>
      <c r="P1221" s="701">
        <v>1.3245405179615706</v>
      </c>
      <c r="Q1221" s="712">
        <v>802.77215189873414</v>
      </c>
    </row>
    <row r="1222" spans="1:17" ht="14.4" customHeight="1" x14ac:dyDescent="0.3">
      <c r="A1222" s="695" t="s">
        <v>4917</v>
      </c>
      <c r="B1222" s="696" t="s">
        <v>4082</v>
      </c>
      <c r="C1222" s="696" t="s">
        <v>4114</v>
      </c>
      <c r="D1222" s="696" t="s">
        <v>4260</v>
      </c>
      <c r="E1222" s="696" t="s">
        <v>4189</v>
      </c>
      <c r="F1222" s="711">
        <v>3</v>
      </c>
      <c r="G1222" s="711">
        <v>1758</v>
      </c>
      <c r="H1222" s="711">
        <v>1</v>
      </c>
      <c r="I1222" s="711">
        <v>586</v>
      </c>
      <c r="J1222" s="711">
        <v>37</v>
      </c>
      <c r="K1222" s="711">
        <v>21793</v>
      </c>
      <c r="L1222" s="711">
        <v>12.396473265073947</v>
      </c>
      <c r="M1222" s="711">
        <v>589</v>
      </c>
      <c r="N1222" s="711">
        <v>78</v>
      </c>
      <c r="O1222" s="711">
        <v>46154</v>
      </c>
      <c r="P1222" s="701">
        <v>26.253697383390215</v>
      </c>
      <c r="Q1222" s="712">
        <v>591.71794871794873</v>
      </c>
    </row>
    <row r="1223" spans="1:17" ht="14.4" customHeight="1" x14ac:dyDescent="0.3">
      <c r="A1223" s="695" t="s">
        <v>4917</v>
      </c>
      <c r="B1223" s="696" t="s">
        <v>4082</v>
      </c>
      <c r="C1223" s="696" t="s">
        <v>4114</v>
      </c>
      <c r="D1223" s="696" t="s">
        <v>4261</v>
      </c>
      <c r="E1223" s="696" t="s">
        <v>4233</v>
      </c>
      <c r="F1223" s="711"/>
      <c r="G1223" s="711"/>
      <c r="H1223" s="711"/>
      <c r="I1223" s="711"/>
      <c r="J1223" s="711"/>
      <c r="K1223" s="711"/>
      <c r="L1223" s="711"/>
      <c r="M1223" s="711"/>
      <c r="N1223" s="711">
        <v>2</v>
      </c>
      <c r="O1223" s="711">
        <v>1890</v>
      </c>
      <c r="P1223" s="701"/>
      <c r="Q1223" s="712">
        <v>945</v>
      </c>
    </row>
    <row r="1224" spans="1:17" ht="14.4" customHeight="1" x14ac:dyDescent="0.3">
      <c r="A1224" s="695" t="s">
        <v>4917</v>
      </c>
      <c r="B1224" s="696" t="s">
        <v>4082</v>
      </c>
      <c r="C1224" s="696" t="s">
        <v>4114</v>
      </c>
      <c r="D1224" s="696" t="s">
        <v>4245</v>
      </c>
      <c r="E1224" s="696" t="s">
        <v>4241</v>
      </c>
      <c r="F1224" s="711"/>
      <c r="G1224" s="711"/>
      <c r="H1224" s="711"/>
      <c r="I1224" s="711"/>
      <c r="J1224" s="711">
        <v>2</v>
      </c>
      <c r="K1224" s="711">
        <v>1212</v>
      </c>
      <c r="L1224" s="711"/>
      <c r="M1224" s="711">
        <v>606</v>
      </c>
      <c r="N1224" s="711">
        <v>2</v>
      </c>
      <c r="O1224" s="711">
        <v>1212</v>
      </c>
      <c r="P1224" s="701"/>
      <c r="Q1224" s="712">
        <v>606</v>
      </c>
    </row>
    <row r="1225" spans="1:17" ht="14.4" customHeight="1" x14ac:dyDescent="0.3">
      <c r="A1225" s="695" t="s">
        <v>4917</v>
      </c>
      <c r="B1225" s="696" t="s">
        <v>4082</v>
      </c>
      <c r="C1225" s="696" t="s">
        <v>4114</v>
      </c>
      <c r="D1225" s="696" t="s">
        <v>4240</v>
      </c>
      <c r="E1225" s="696" t="s">
        <v>4241</v>
      </c>
      <c r="F1225" s="711"/>
      <c r="G1225" s="711"/>
      <c r="H1225" s="711"/>
      <c r="I1225" s="711"/>
      <c r="J1225" s="711"/>
      <c r="K1225" s="711"/>
      <c r="L1225" s="711"/>
      <c r="M1225" s="711"/>
      <c r="N1225" s="711">
        <v>1</v>
      </c>
      <c r="O1225" s="711">
        <v>520</v>
      </c>
      <c r="P1225" s="701"/>
      <c r="Q1225" s="712">
        <v>520</v>
      </c>
    </row>
    <row r="1226" spans="1:17" ht="14.4" customHeight="1" x14ac:dyDescent="0.3">
      <c r="A1226" s="695" t="s">
        <v>4917</v>
      </c>
      <c r="B1226" s="696" t="s">
        <v>4082</v>
      </c>
      <c r="C1226" s="696" t="s">
        <v>4114</v>
      </c>
      <c r="D1226" s="696" t="s">
        <v>4268</v>
      </c>
      <c r="E1226" s="696" t="s">
        <v>4269</v>
      </c>
      <c r="F1226" s="711">
        <v>1</v>
      </c>
      <c r="G1226" s="711">
        <v>1364</v>
      </c>
      <c r="H1226" s="711">
        <v>1</v>
      </c>
      <c r="I1226" s="711">
        <v>1364</v>
      </c>
      <c r="J1226" s="711">
        <v>4</v>
      </c>
      <c r="K1226" s="711">
        <v>5464</v>
      </c>
      <c r="L1226" s="711">
        <v>4.0058651026392962</v>
      </c>
      <c r="M1226" s="711">
        <v>1366</v>
      </c>
      <c r="N1226" s="711">
        <v>1</v>
      </c>
      <c r="O1226" s="711">
        <v>1370</v>
      </c>
      <c r="P1226" s="701">
        <v>1.0043988269794721</v>
      </c>
      <c r="Q1226" s="712">
        <v>1370</v>
      </c>
    </row>
    <row r="1227" spans="1:17" ht="14.4" customHeight="1" x14ac:dyDescent="0.3">
      <c r="A1227" s="695" t="s">
        <v>4917</v>
      </c>
      <c r="B1227" s="696" t="s">
        <v>4082</v>
      </c>
      <c r="C1227" s="696" t="s">
        <v>4114</v>
      </c>
      <c r="D1227" s="696" t="s">
        <v>4262</v>
      </c>
      <c r="E1227" s="696" t="s">
        <v>4189</v>
      </c>
      <c r="F1227" s="711"/>
      <c r="G1227" s="711"/>
      <c r="H1227" s="711"/>
      <c r="I1227" s="711"/>
      <c r="J1227" s="711"/>
      <c r="K1227" s="711"/>
      <c r="L1227" s="711"/>
      <c r="M1227" s="711"/>
      <c r="N1227" s="711">
        <v>34</v>
      </c>
      <c r="O1227" s="711">
        <v>28934</v>
      </c>
      <c r="P1227" s="701"/>
      <c r="Q1227" s="712">
        <v>851</v>
      </c>
    </row>
    <row r="1228" spans="1:17" ht="14.4" customHeight="1" x14ac:dyDescent="0.3">
      <c r="A1228" s="695" t="s">
        <v>4917</v>
      </c>
      <c r="B1228" s="696" t="s">
        <v>4082</v>
      </c>
      <c r="C1228" s="696" t="s">
        <v>4114</v>
      </c>
      <c r="D1228" s="696" t="s">
        <v>4918</v>
      </c>
      <c r="E1228" s="696" t="s">
        <v>4919</v>
      </c>
      <c r="F1228" s="711"/>
      <c r="G1228" s="711"/>
      <c r="H1228" s="711"/>
      <c r="I1228" s="711"/>
      <c r="J1228" s="711">
        <v>3</v>
      </c>
      <c r="K1228" s="711">
        <v>1572</v>
      </c>
      <c r="L1228" s="711"/>
      <c r="M1228" s="711">
        <v>524</v>
      </c>
      <c r="N1228" s="711">
        <v>2</v>
      </c>
      <c r="O1228" s="711">
        <v>1050</v>
      </c>
      <c r="P1228" s="701"/>
      <c r="Q1228" s="712">
        <v>525</v>
      </c>
    </row>
    <row r="1229" spans="1:17" ht="14.4" customHeight="1" thickBot="1" x14ac:dyDescent="0.35">
      <c r="A1229" s="703" t="s">
        <v>4917</v>
      </c>
      <c r="B1229" s="704" t="s">
        <v>4082</v>
      </c>
      <c r="C1229" s="704" t="s">
        <v>4114</v>
      </c>
      <c r="D1229" s="704" t="s">
        <v>4263</v>
      </c>
      <c r="E1229" s="704" t="s">
        <v>4264</v>
      </c>
      <c r="F1229" s="713">
        <v>2</v>
      </c>
      <c r="G1229" s="713">
        <v>676</v>
      </c>
      <c r="H1229" s="713">
        <v>1</v>
      </c>
      <c r="I1229" s="713">
        <v>338</v>
      </c>
      <c r="J1229" s="713">
        <v>5</v>
      </c>
      <c r="K1229" s="713">
        <v>1700</v>
      </c>
      <c r="L1229" s="713">
        <v>2.5147928994082842</v>
      </c>
      <c r="M1229" s="713">
        <v>340</v>
      </c>
      <c r="N1229" s="713">
        <v>3</v>
      </c>
      <c r="O1229" s="713">
        <v>1024</v>
      </c>
      <c r="P1229" s="709">
        <v>1.514792899408284</v>
      </c>
      <c r="Q1229" s="714">
        <v>341.33333333333331</v>
      </c>
    </row>
  </sheetData>
  <autoFilter ref="A5:Q5"/>
  <mergeCells count="11">
    <mergeCell ref="J4:K4"/>
    <mergeCell ref="A1:Q1"/>
    <mergeCell ref="N4:O4"/>
    <mergeCell ref="Q4:Q5"/>
    <mergeCell ref="A4:A5"/>
    <mergeCell ref="B4:B5"/>
    <mergeCell ref="C4:C5"/>
    <mergeCell ref="D4:D5"/>
    <mergeCell ref="P4:P5"/>
    <mergeCell ref="E4:E5"/>
    <mergeCell ref="F4:G4"/>
  </mergeCells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2">
    <tabColor theme="5" tint="0.39997558519241921"/>
    <pageSetUpPr fitToPage="1"/>
  </sheetPr>
  <dimension ref="A1:M46"/>
  <sheetViews>
    <sheetView showGridLines="0" showRowColHeaders="0" zoomScaleNormal="100" workbookViewId="0">
      <selection sqref="A1:M1"/>
    </sheetView>
  </sheetViews>
  <sheetFormatPr defaultColWidth="9.33203125" defaultRowHeight="14.4" customHeight="1" outlineLevelRow="1" x14ac:dyDescent="0.25"/>
  <cols>
    <col min="1" max="1" width="29.109375" style="364" customWidth="1"/>
    <col min="2" max="4" width="7.88671875" style="364" customWidth="1"/>
    <col min="5" max="5" width="7.88671875" style="373" customWidth="1"/>
    <col min="6" max="8" width="7.88671875" style="364" customWidth="1"/>
    <col min="9" max="9" width="7.88671875" style="374" customWidth="1"/>
    <col min="10" max="13" width="7.88671875" style="364" customWidth="1"/>
    <col min="14" max="16384" width="9.33203125" style="364"/>
  </cols>
  <sheetData>
    <row r="1" spans="1:13" ht="18.600000000000001" customHeight="1" thickBot="1" x14ac:dyDescent="0.4">
      <c r="A1" s="547" t="s">
        <v>136</v>
      </c>
      <c r="B1" s="524"/>
      <c r="C1" s="524"/>
      <c r="D1" s="524"/>
      <c r="E1" s="524"/>
      <c r="F1" s="524"/>
      <c r="G1" s="524"/>
      <c r="H1" s="524"/>
      <c r="I1" s="524"/>
      <c r="J1" s="524"/>
      <c r="K1" s="524"/>
      <c r="L1" s="524"/>
      <c r="M1" s="524"/>
    </row>
    <row r="2" spans="1:13" ht="14.4" customHeight="1" thickBot="1" x14ac:dyDescent="0.35">
      <c r="A2" s="386" t="s">
        <v>321</v>
      </c>
      <c r="B2" s="365"/>
      <c r="C2" s="365"/>
      <c r="D2" s="365"/>
      <c r="E2" s="365"/>
      <c r="F2" s="365"/>
      <c r="G2" s="365"/>
      <c r="H2" s="365"/>
      <c r="I2" s="365"/>
      <c r="J2" s="365"/>
      <c r="K2" s="365"/>
      <c r="L2" s="365"/>
      <c r="M2" s="365"/>
    </row>
    <row r="3" spans="1:13" ht="14.4" customHeight="1" thickBot="1" x14ac:dyDescent="0.35">
      <c r="A3" s="548" t="s">
        <v>70</v>
      </c>
      <c r="B3" s="527" t="s">
        <v>71</v>
      </c>
      <c r="C3" s="528"/>
      <c r="D3" s="528"/>
      <c r="E3" s="529"/>
      <c r="F3" s="527" t="s">
        <v>315</v>
      </c>
      <c r="G3" s="528"/>
      <c r="H3" s="528"/>
      <c r="I3" s="529"/>
      <c r="J3" s="123"/>
      <c r="K3" s="124"/>
      <c r="L3" s="123"/>
      <c r="M3" s="125"/>
    </row>
    <row r="4" spans="1:13" ht="14.4" customHeight="1" thickBot="1" x14ac:dyDescent="0.35">
      <c r="A4" s="549"/>
      <c r="B4" s="126">
        <v>2012</v>
      </c>
      <c r="C4" s="127">
        <v>2013</v>
      </c>
      <c r="D4" s="127">
        <v>2014</v>
      </c>
      <c r="E4" s="128" t="s">
        <v>2</v>
      </c>
      <c r="F4" s="127">
        <v>2012</v>
      </c>
      <c r="G4" s="127">
        <v>2013</v>
      </c>
      <c r="H4" s="127">
        <v>2014</v>
      </c>
      <c r="I4" s="128" t="s">
        <v>2</v>
      </c>
      <c r="J4" s="123"/>
      <c r="K4" s="123"/>
      <c r="L4" s="129" t="s">
        <v>72</v>
      </c>
      <c r="M4" s="130" t="s">
        <v>73</v>
      </c>
    </row>
    <row r="5" spans="1:13" ht="14.4" hidden="1" customHeight="1" outlineLevel="1" x14ac:dyDescent="0.3">
      <c r="A5" s="118" t="s">
        <v>169</v>
      </c>
      <c r="B5" s="121">
        <v>374.452</v>
      </c>
      <c r="C5" s="114">
        <v>305.08800000000002</v>
      </c>
      <c r="D5" s="114">
        <v>395.57400000000001</v>
      </c>
      <c r="E5" s="131">
        <v>1.0564077638789484</v>
      </c>
      <c r="F5" s="132">
        <v>49</v>
      </c>
      <c r="G5" s="114">
        <v>47</v>
      </c>
      <c r="H5" s="114">
        <v>36</v>
      </c>
      <c r="I5" s="133">
        <v>0.73469387755102045</v>
      </c>
      <c r="J5" s="123"/>
      <c r="K5" s="123"/>
      <c r="L5" s="7">
        <f>D5-B5</f>
        <v>21.122000000000014</v>
      </c>
      <c r="M5" s="8">
        <f>H5-F5</f>
        <v>-13</v>
      </c>
    </row>
    <row r="6" spans="1:13" ht="14.4" hidden="1" customHeight="1" outlineLevel="1" x14ac:dyDescent="0.3">
      <c r="A6" s="119" t="s">
        <v>170</v>
      </c>
      <c r="B6" s="122">
        <v>29.143999999999998</v>
      </c>
      <c r="C6" s="113">
        <v>120.32599999999999</v>
      </c>
      <c r="D6" s="113">
        <v>50.954999999999998</v>
      </c>
      <c r="E6" s="134">
        <v>1.7483873181443865</v>
      </c>
      <c r="F6" s="135">
        <v>9</v>
      </c>
      <c r="G6" s="113">
        <v>13</v>
      </c>
      <c r="H6" s="113">
        <v>6</v>
      </c>
      <c r="I6" s="136">
        <v>0.66666666666666663</v>
      </c>
      <c r="J6" s="123"/>
      <c r="K6" s="123"/>
      <c r="L6" s="5">
        <f t="shared" ref="L6:L11" si="0">D6-B6</f>
        <v>21.811</v>
      </c>
      <c r="M6" s="6">
        <f t="shared" ref="M6:M13" si="1">H6-F6</f>
        <v>-3</v>
      </c>
    </row>
    <row r="7" spans="1:13" ht="14.4" hidden="1" customHeight="1" outlineLevel="1" x14ac:dyDescent="0.3">
      <c r="A7" s="119" t="s">
        <v>171</v>
      </c>
      <c r="B7" s="122">
        <v>161.08199999999999</v>
      </c>
      <c r="C7" s="113">
        <v>114.18300000000001</v>
      </c>
      <c r="D7" s="113">
        <v>136.97999999999999</v>
      </c>
      <c r="E7" s="134">
        <v>0.8503743435020672</v>
      </c>
      <c r="F7" s="135">
        <v>24</v>
      </c>
      <c r="G7" s="113">
        <v>16</v>
      </c>
      <c r="H7" s="113">
        <v>16</v>
      </c>
      <c r="I7" s="136">
        <v>0.66666666666666663</v>
      </c>
      <c r="J7" s="123"/>
      <c r="K7" s="123"/>
      <c r="L7" s="5">
        <f t="shared" si="0"/>
        <v>-24.102000000000004</v>
      </c>
      <c r="M7" s="6">
        <f t="shared" si="1"/>
        <v>-8</v>
      </c>
    </row>
    <row r="8" spans="1:13" ht="14.4" hidden="1" customHeight="1" outlineLevel="1" x14ac:dyDescent="0.3">
      <c r="A8" s="119" t="s">
        <v>172</v>
      </c>
      <c r="B8" s="122">
        <v>48.612000000000002</v>
      </c>
      <c r="C8" s="113">
        <v>1.8089999999999999</v>
      </c>
      <c r="D8" s="113">
        <v>34.064</v>
      </c>
      <c r="E8" s="134">
        <v>0.70073232946597541</v>
      </c>
      <c r="F8" s="135">
        <v>3</v>
      </c>
      <c r="G8" s="113">
        <v>1</v>
      </c>
      <c r="H8" s="113">
        <v>3</v>
      </c>
      <c r="I8" s="136">
        <v>1</v>
      </c>
      <c r="J8" s="123"/>
      <c r="K8" s="123"/>
      <c r="L8" s="5">
        <f t="shared" si="0"/>
        <v>-14.548000000000002</v>
      </c>
      <c r="M8" s="6">
        <f t="shared" si="1"/>
        <v>0</v>
      </c>
    </row>
    <row r="9" spans="1:13" ht="14.4" hidden="1" customHeight="1" outlineLevel="1" x14ac:dyDescent="0.3">
      <c r="A9" s="119" t="s">
        <v>173</v>
      </c>
      <c r="B9" s="122">
        <v>0</v>
      </c>
      <c r="C9" s="113">
        <v>0</v>
      </c>
      <c r="D9" s="113">
        <v>0</v>
      </c>
      <c r="E9" s="134" t="s">
        <v>547</v>
      </c>
      <c r="F9" s="135">
        <v>0</v>
      </c>
      <c r="G9" s="113">
        <v>0</v>
      </c>
      <c r="H9" s="113">
        <v>0</v>
      </c>
      <c r="I9" s="136" t="s">
        <v>547</v>
      </c>
      <c r="J9" s="123"/>
      <c r="K9" s="123"/>
      <c r="L9" s="5">
        <f t="shared" si="0"/>
        <v>0</v>
      </c>
      <c r="M9" s="6">
        <f t="shared" si="1"/>
        <v>0</v>
      </c>
    </row>
    <row r="10" spans="1:13" ht="14.4" hidden="1" customHeight="1" outlineLevel="1" x14ac:dyDescent="0.3">
      <c r="A10" s="119" t="s">
        <v>174</v>
      </c>
      <c r="B10" s="122">
        <v>39.954000000000001</v>
      </c>
      <c r="C10" s="113">
        <v>144.00200000000001</v>
      </c>
      <c r="D10" s="113">
        <v>76.777000000000001</v>
      </c>
      <c r="E10" s="134">
        <v>1.921634880112129</v>
      </c>
      <c r="F10" s="135">
        <v>6</v>
      </c>
      <c r="G10" s="113">
        <v>13</v>
      </c>
      <c r="H10" s="113">
        <v>9</v>
      </c>
      <c r="I10" s="136">
        <v>1.5</v>
      </c>
      <c r="J10" s="123"/>
      <c r="K10" s="123"/>
      <c r="L10" s="5">
        <f t="shared" si="0"/>
        <v>36.823</v>
      </c>
      <c r="M10" s="6">
        <f t="shared" si="1"/>
        <v>3</v>
      </c>
    </row>
    <row r="11" spans="1:13" ht="14.4" hidden="1" customHeight="1" outlineLevel="1" x14ac:dyDescent="0.3">
      <c r="A11" s="119" t="s">
        <v>175</v>
      </c>
      <c r="B11" s="122">
        <v>15.747</v>
      </c>
      <c r="C11" s="113">
        <v>25.285</v>
      </c>
      <c r="D11" s="113">
        <v>49.155000000000001</v>
      </c>
      <c r="E11" s="134">
        <v>3.1215469613259668</v>
      </c>
      <c r="F11" s="135">
        <v>2</v>
      </c>
      <c r="G11" s="113">
        <v>4</v>
      </c>
      <c r="H11" s="113">
        <v>2</v>
      </c>
      <c r="I11" s="136">
        <v>1</v>
      </c>
      <c r="J11" s="123"/>
      <c r="K11" s="123"/>
      <c r="L11" s="5">
        <f t="shared" si="0"/>
        <v>33.408000000000001</v>
      </c>
      <c r="M11" s="6">
        <f t="shared" si="1"/>
        <v>0</v>
      </c>
    </row>
    <row r="12" spans="1:13" ht="14.4" hidden="1" customHeight="1" outlineLevel="1" thickBot="1" x14ac:dyDescent="0.35">
      <c r="A12" s="247" t="s">
        <v>234</v>
      </c>
      <c r="B12" s="248">
        <v>23.995999999999999</v>
      </c>
      <c r="C12" s="249">
        <v>0</v>
      </c>
      <c r="D12" s="249">
        <v>3.214</v>
      </c>
      <c r="E12" s="250"/>
      <c r="F12" s="251">
        <v>2</v>
      </c>
      <c r="G12" s="249">
        <v>0</v>
      </c>
      <c r="H12" s="249">
        <v>1</v>
      </c>
      <c r="I12" s="252"/>
      <c r="J12" s="123"/>
      <c r="K12" s="123"/>
      <c r="L12" s="253">
        <f>D12-B12</f>
        <v>-20.782</v>
      </c>
      <c r="M12" s="254">
        <f>H12-F12</f>
        <v>-1</v>
      </c>
    </row>
    <row r="13" spans="1:13" ht="14.4" customHeight="1" collapsed="1" thickBot="1" x14ac:dyDescent="0.35">
      <c r="A13" s="120" t="s">
        <v>3</v>
      </c>
      <c r="B13" s="115">
        <f>SUM(B5:B12)</f>
        <v>692.98699999999985</v>
      </c>
      <c r="C13" s="116">
        <f>SUM(C5:C12)</f>
        <v>710.69299999999987</v>
      </c>
      <c r="D13" s="116">
        <f>SUM(D5:D12)</f>
        <v>746.71900000000005</v>
      </c>
      <c r="E13" s="137">
        <f>IF(OR(D13=0,B13=0),0,D13/B13)</f>
        <v>1.0775368080497905</v>
      </c>
      <c r="F13" s="138">
        <f>SUM(F5:F12)</f>
        <v>95</v>
      </c>
      <c r="G13" s="116">
        <f>SUM(G5:G12)</f>
        <v>94</v>
      </c>
      <c r="H13" s="116">
        <f>SUM(H5:H12)</f>
        <v>73</v>
      </c>
      <c r="I13" s="139">
        <f>IF(OR(H13=0,F13=0),0,H13/F13)</f>
        <v>0.76842105263157889</v>
      </c>
      <c r="J13" s="123"/>
      <c r="K13" s="123"/>
      <c r="L13" s="129">
        <f>D13-B13</f>
        <v>53.732000000000198</v>
      </c>
      <c r="M13" s="140">
        <f t="shared" si="1"/>
        <v>-22</v>
      </c>
    </row>
    <row r="14" spans="1:13" ht="14.4" customHeight="1" x14ac:dyDescent="0.3">
      <c r="A14" s="141"/>
      <c r="B14" s="550"/>
      <c r="C14" s="550"/>
      <c r="D14" s="550"/>
      <c r="E14" s="550"/>
      <c r="F14" s="550"/>
      <c r="G14" s="550"/>
      <c r="H14" s="550"/>
      <c r="I14" s="550"/>
      <c r="J14" s="123"/>
      <c r="K14" s="123"/>
      <c r="L14" s="123"/>
      <c r="M14" s="125"/>
    </row>
    <row r="15" spans="1:13" ht="14.4" customHeight="1" thickBot="1" x14ac:dyDescent="0.35">
      <c r="A15" s="141"/>
      <c r="B15" s="366"/>
      <c r="C15" s="367"/>
      <c r="D15" s="367"/>
      <c r="E15" s="367"/>
      <c r="F15" s="366"/>
      <c r="G15" s="367"/>
      <c r="H15" s="367"/>
      <c r="I15" s="367"/>
      <c r="J15" s="123"/>
      <c r="K15" s="123"/>
      <c r="L15" s="123"/>
      <c r="M15" s="125"/>
    </row>
    <row r="16" spans="1:13" ht="14.4" customHeight="1" thickBot="1" x14ac:dyDescent="0.35">
      <c r="A16" s="556" t="s">
        <v>230</v>
      </c>
      <c r="B16" s="558" t="s">
        <v>71</v>
      </c>
      <c r="C16" s="559"/>
      <c r="D16" s="559"/>
      <c r="E16" s="560"/>
      <c r="F16" s="558" t="s">
        <v>315</v>
      </c>
      <c r="G16" s="559"/>
      <c r="H16" s="559"/>
      <c r="I16" s="560"/>
      <c r="J16" s="541" t="s">
        <v>180</v>
      </c>
      <c r="K16" s="542"/>
      <c r="L16" s="158"/>
      <c r="M16" s="158"/>
    </row>
    <row r="17" spans="1:13" ht="14.4" customHeight="1" thickBot="1" x14ac:dyDescent="0.35">
      <c r="A17" s="557"/>
      <c r="B17" s="142">
        <v>2012</v>
      </c>
      <c r="C17" s="143">
        <v>2013</v>
      </c>
      <c r="D17" s="143">
        <v>2014</v>
      </c>
      <c r="E17" s="144" t="s">
        <v>2</v>
      </c>
      <c r="F17" s="142">
        <v>2012</v>
      </c>
      <c r="G17" s="143">
        <v>2013</v>
      </c>
      <c r="H17" s="143">
        <v>2014</v>
      </c>
      <c r="I17" s="144" t="s">
        <v>2</v>
      </c>
      <c r="J17" s="543" t="s">
        <v>181</v>
      </c>
      <c r="K17" s="544"/>
      <c r="L17" s="145" t="s">
        <v>72</v>
      </c>
      <c r="M17" s="146" t="s">
        <v>73</v>
      </c>
    </row>
    <row r="18" spans="1:13" ht="14.4" hidden="1" customHeight="1" outlineLevel="1" x14ac:dyDescent="0.3">
      <c r="A18" s="118" t="s">
        <v>169</v>
      </c>
      <c r="B18" s="121">
        <v>374.452</v>
      </c>
      <c r="C18" s="114">
        <v>305.08800000000002</v>
      </c>
      <c r="D18" s="114">
        <v>395.57400000000001</v>
      </c>
      <c r="E18" s="131">
        <v>1.0564077638789484</v>
      </c>
      <c r="F18" s="121">
        <v>49</v>
      </c>
      <c r="G18" s="114">
        <v>47</v>
      </c>
      <c r="H18" s="114">
        <v>36</v>
      </c>
      <c r="I18" s="133">
        <v>0.73469387755102045</v>
      </c>
      <c r="J18" s="545">
        <f>0.97*0.976</f>
        <v>0.94672000000000001</v>
      </c>
      <c r="K18" s="546"/>
      <c r="L18" s="147">
        <f>D18-B18</f>
        <v>21.122000000000014</v>
      </c>
      <c r="M18" s="148">
        <f>H18-F18</f>
        <v>-13</v>
      </c>
    </row>
    <row r="19" spans="1:13" ht="14.4" hidden="1" customHeight="1" outlineLevel="1" x14ac:dyDescent="0.3">
      <c r="A19" s="119" t="s">
        <v>170</v>
      </c>
      <c r="B19" s="122">
        <v>29.143999999999998</v>
      </c>
      <c r="C19" s="113">
        <v>120.32599999999999</v>
      </c>
      <c r="D19" s="113">
        <v>50.954999999999998</v>
      </c>
      <c r="E19" s="134">
        <v>1.7483873181443865</v>
      </c>
      <c r="F19" s="122">
        <v>9</v>
      </c>
      <c r="G19" s="113">
        <v>13</v>
      </c>
      <c r="H19" s="113">
        <v>6</v>
      </c>
      <c r="I19" s="136">
        <v>0.66666666666666663</v>
      </c>
      <c r="J19" s="545">
        <f>0.97*1.096</f>
        <v>1.0631200000000001</v>
      </c>
      <c r="K19" s="546"/>
      <c r="L19" s="149">
        <f t="shared" ref="L19:L26" si="2">D19-B19</f>
        <v>21.811</v>
      </c>
      <c r="M19" s="150">
        <f t="shared" ref="M19:M26" si="3">H19-F19</f>
        <v>-3</v>
      </c>
    </row>
    <row r="20" spans="1:13" ht="14.4" hidden="1" customHeight="1" outlineLevel="1" x14ac:dyDescent="0.3">
      <c r="A20" s="119" t="s">
        <v>171</v>
      </c>
      <c r="B20" s="122">
        <v>161.08199999999999</v>
      </c>
      <c r="C20" s="113">
        <v>114.18300000000001</v>
      </c>
      <c r="D20" s="113">
        <v>131.44300000000001</v>
      </c>
      <c r="E20" s="134">
        <v>0.81600054630560848</v>
      </c>
      <c r="F20" s="122">
        <v>24</v>
      </c>
      <c r="G20" s="113">
        <v>16</v>
      </c>
      <c r="H20" s="113">
        <v>15</v>
      </c>
      <c r="I20" s="136">
        <v>0.625</v>
      </c>
      <c r="J20" s="545">
        <f>0.97*1.047</f>
        <v>1.01559</v>
      </c>
      <c r="K20" s="546"/>
      <c r="L20" s="149">
        <f t="shared" si="2"/>
        <v>-29.638999999999982</v>
      </c>
      <c r="M20" s="150">
        <f t="shared" si="3"/>
        <v>-9</v>
      </c>
    </row>
    <row r="21" spans="1:13" ht="14.4" hidden="1" customHeight="1" outlineLevel="1" x14ac:dyDescent="0.3">
      <c r="A21" s="119" t="s">
        <v>172</v>
      </c>
      <c r="B21" s="122">
        <v>48.612000000000002</v>
      </c>
      <c r="C21" s="113">
        <v>1.8089999999999999</v>
      </c>
      <c r="D21" s="113">
        <v>34.064</v>
      </c>
      <c r="E21" s="134">
        <v>0.70073232946597541</v>
      </c>
      <c r="F21" s="122">
        <v>3</v>
      </c>
      <c r="G21" s="113">
        <v>1</v>
      </c>
      <c r="H21" s="113">
        <v>3</v>
      </c>
      <c r="I21" s="136">
        <v>1</v>
      </c>
      <c r="J21" s="545">
        <f>0.97*1.091</f>
        <v>1.05827</v>
      </c>
      <c r="K21" s="546"/>
      <c r="L21" s="149">
        <f t="shared" si="2"/>
        <v>-14.548000000000002</v>
      </c>
      <c r="M21" s="150">
        <f t="shared" si="3"/>
        <v>0</v>
      </c>
    </row>
    <row r="22" spans="1:13" ht="14.4" hidden="1" customHeight="1" outlineLevel="1" x14ac:dyDescent="0.3">
      <c r="A22" s="119" t="s">
        <v>173</v>
      </c>
      <c r="B22" s="122">
        <v>0</v>
      </c>
      <c r="C22" s="113">
        <v>0</v>
      </c>
      <c r="D22" s="113">
        <v>0</v>
      </c>
      <c r="E22" s="134" t="s">
        <v>547</v>
      </c>
      <c r="F22" s="122">
        <v>0</v>
      </c>
      <c r="G22" s="113">
        <v>0</v>
      </c>
      <c r="H22" s="113">
        <v>0</v>
      </c>
      <c r="I22" s="136" t="s">
        <v>547</v>
      </c>
      <c r="J22" s="545">
        <f>0.97*1</f>
        <v>0.97</v>
      </c>
      <c r="K22" s="546"/>
      <c r="L22" s="149">
        <f t="shared" si="2"/>
        <v>0</v>
      </c>
      <c r="M22" s="150">
        <f t="shared" si="3"/>
        <v>0</v>
      </c>
    </row>
    <row r="23" spans="1:13" ht="14.4" hidden="1" customHeight="1" outlineLevel="1" x14ac:dyDescent="0.3">
      <c r="A23" s="119" t="s">
        <v>174</v>
      </c>
      <c r="B23" s="122">
        <v>39.954000000000001</v>
      </c>
      <c r="C23" s="113">
        <v>144.00200000000001</v>
      </c>
      <c r="D23" s="113">
        <v>76.777000000000001</v>
      </c>
      <c r="E23" s="134">
        <v>1.921634880112129</v>
      </c>
      <c r="F23" s="122">
        <v>6</v>
      </c>
      <c r="G23" s="113">
        <v>13</v>
      </c>
      <c r="H23" s="113">
        <v>9</v>
      </c>
      <c r="I23" s="136">
        <v>1.5</v>
      </c>
      <c r="J23" s="545">
        <f>0.97*1.096</f>
        <v>1.0631200000000001</v>
      </c>
      <c r="K23" s="546"/>
      <c r="L23" s="149">
        <f t="shared" si="2"/>
        <v>36.823</v>
      </c>
      <c r="M23" s="150">
        <f t="shared" si="3"/>
        <v>3</v>
      </c>
    </row>
    <row r="24" spans="1:13" ht="14.4" hidden="1" customHeight="1" outlineLevel="1" x14ac:dyDescent="0.3">
      <c r="A24" s="119" t="s">
        <v>175</v>
      </c>
      <c r="B24" s="122">
        <v>15.747</v>
      </c>
      <c r="C24" s="113">
        <v>25.285</v>
      </c>
      <c r="D24" s="113">
        <v>49.155000000000001</v>
      </c>
      <c r="E24" s="134">
        <v>3.1215469613259668</v>
      </c>
      <c r="F24" s="122">
        <v>2</v>
      </c>
      <c r="G24" s="113">
        <v>4</v>
      </c>
      <c r="H24" s="113">
        <v>2</v>
      </c>
      <c r="I24" s="136">
        <v>1</v>
      </c>
      <c r="J24" s="545">
        <f>0.97*0.989</f>
        <v>0.95933000000000002</v>
      </c>
      <c r="K24" s="546"/>
      <c r="L24" s="149">
        <f t="shared" si="2"/>
        <v>33.408000000000001</v>
      </c>
      <c r="M24" s="150">
        <f t="shared" si="3"/>
        <v>0</v>
      </c>
    </row>
    <row r="25" spans="1:13" ht="14.4" hidden="1" customHeight="1" outlineLevel="1" thickBot="1" x14ac:dyDescent="0.35">
      <c r="A25" s="247" t="s">
        <v>234</v>
      </c>
      <c r="B25" s="248">
        <v>23.995999999999999</v>
      </c>
      <c r="C25" s="249">
        <v>0</v>
      </c>
      <c r="D25" s="249">
        <v>3.214</v>
      </c>
      <c r="E25" s="250"/>
      <c r="F25" s="248">
        <v>2</v>
      </c>
      <c r="G25" s="249">
        <v>0</v>
      </c>
      <c r="H25" s="249">
        <v>1</v>
      </c>
      <c r="I25" s="252"/>
      <c r="J25" s="368"/>
      <c r="K25" s="369"/>
      <c r="L25" s="255">
        <f>D25-B25</f>
        <v>-20.782</v>
      </c>
      <c r="M25" s="256">
        <f>H25-F25</f>
        <v>-1</v>
      </c>
    </row>
    <row r="26" spans="1:13" ht="14.4" customHeight="1" collapsed="1" thickBot="1" x14ac:dyDescent="0.35">
      <c r="A26" s="151" t="s">
        <v>3</v>
      </c>
      <c r="B26" s="152">
        <f>SUM(B18:B25)</f>
        <v>692.98699999999985</v>
      </c>
      <c r="C26" s="153">
        <f>SUM(C18:C25)</f>
        <v>710.69299999999987</v>
      </c>
      <c r="D26" s="153">
        <f>SUM(D18:D25)</f>
        <v>741.18200000000002</v>
      </c>
      <c r="E26" s="154">
        <f>IF(OR(D26=0,B26=0),0,D26/B26)</f>
        <v>1.0695467591744148</v>
      </c>
      <c r="F26" s="152">
        <f>SUM(F18:F25)</f>
        <v>95</v>
      </c>
      <c r="G26" s="153">
        <f>SUM(G18:G25)</f>
        <v>94</v>
      </c>
      <c r="H26" s="153">
        <f>SUM(H18:H25)</f>
        <v>72</v>
      </c>
      <c r="I26" s="155">
        <f>IF(OR(H26=0,F26=0),0,H26/F26)</f>
        <v>0.75789473684210529</v>
      </c>
      <c r="J26" s="123"/>
      <c r="K26" s="123"/>
      <c r="L26" s="145">
        <f t="shared" si="2"/>
        <v>48.195000000000164</v>
      </c>
      <c r="M26" s="156">
        <f t="shared" si="3"/>
        <v>-23</v>
      </c>
    </row>
    <row r="27" spans="1:13" ht="14.4" customHeight="1" x14ac:dyDescent="0.3">
      <c r="A27" s="157"/>
      <c r="B27" s="550" t="s">
        <v>232</v>
      </c>
      <c r="C27" s="561"/>
      <c r="D27" s="561"/>
      <c r="E27" s="561"/>
      <c r="F27" s="550" t="s">
        <v>233</v>
      </c>
      <c r="G27" s="561"/>
      <c r="H27" s="561"/>
      <c r="I27" s="561"/>
      <c r="J27" s="158"/>
      <c r="K27" s="158"/>
      <c r="L27" s="158"/>
      <c r="M27" s="159"/>
    </row>
    <row r="28" spans="1:13" ht="14.4" customHeight="1" thickBot="1" x14ac:dyDescent="0.35">
      <c r="A28" s="157"/>
      <c r="B28" s="366"/>
      <c r="C28" s="367"/>
      <c r="D28" s="367"/>
      <c r="E28" s="367"/>
      <c r="F28" s="366"/>
      <c r="G28" s="367"/>
      <c r="H28" s="367"/>
      <c r="I28" s="367"/>
      <c r="J28" s="158"/>
      <c r="K28" s="158"/>
      <c r="L28" s="158"/>
      <c r="M28" s="159"/>
    </row>
    <row r="29" spans="1:13" ht="14.4" customHeight="1" thickBot="1" x14ac:dyDescent="0.35">
      <c r="A29" s="551" t="s">
        <v>231</v>
      </c>
      <c r="B29" s="553" t="s">
        <v>71</v>
      </c>
      <c r="C29" s="554"/>
      <c r="D29" s="554"/>
      <c r="E29" s="555"/>
      <c r="F29" s="554" t="s">
        <v>315</v>
      </c>
      <c r="G29" s="554"/>
      <c r="H29" s="554"/>
      <c r="I29" s="555"/>
      <c r="J29" s="158"/>
      <c r="K29" s="158"/>
      <c r="L29" s="158"/>
      <c r="M29" s="159"/>
    </row>
    <row r="30" spans="1:13" ht="14.4" customHeight="1" thickBot="1" x14ac:dyDescent="0.35">
      <c r="A30" s="552"/>
      <c r="B30" s="160">
        <v>2012</v>
      </c>
      <c r="C30" s="161">
        <v>2013</v>
      </c>
      <c r="D30" s="161">
        <v>2014</v>
      </c>
      <c r="E30" s="162" t="s">
        <v>2</v>
      </c>
      <c r="F30" s="161">
        <v>2012</v>
      </c>
      <c r="G30" s="161">
        <v>2013</v>
      </c>
      <c r="H30" s="161">
        <v>2014</v>
      </c>
      <c r="I30" s="162" t="s">
        <v>2</v>
      </c>
      <c r="J30" s="158"/>
      <c r="K30" s="158"/>
      <c r="L30" s="163" t="s">
        <v>72</v>
      </c>
      <c r="M30" s="164" t="s">
        <v>73</v>
      </c>
    </row>
    <row r="31" spans="1:13" ht="14.4" hidden="1" customHeight="1" outlineLevel="1" x14ac:dyDescent="0.3">
      <c r="A31" s="118" t="s">
        <v>169</v>
      </c>
      <c r="B31" s="121">
        <v>0</v>
      </c>
      <c r="C31" s="114">
        <v>0</v>
      </c>
      <c r="D31" s="114">
        <v>0</v>
      </c>
      <c r="E31" s="131" t="s">
        <v>547</v>
      </c>
      <c r="F31" s="132">
        <v>0</v>
      </c>
      <c r="G31" s="114">
        <v>0</v>
      </c>
      <c r="H31" s="114">
        <v>0</v>
      </c>
      <c r="I31" s="133" t="s">
        <v>547</v>
      </c>
      <c r="J31" s="158"/>
      <c r="K31" s="158"/>
      <c r="L31" s="147">
        <f t="shared" ref="L31:L39" si="4">D31-B31</f>
        <v>0</v>
      </c>
      <c r="M31" s="148">
        <f t="shared" ref="M31:M39" si="5">H31-F31</f>
        <v>0</v>
      </c>
    </row>
    <row r="32" spans="1:13" ht="14.4" hidden="1" customHeight="1" outlineLevel="1" x14ac:dyDescent="0.3">
      <c r="A32" s="119" t="s">
        <v>170</v>
      </c>
      <c r="B32" s="122">
        <v>0</v>
      </c>
      <c r="C32" s="113">
        <v>0</v>
      </c>
      <c r="D32" s="113">
        <v>0</v>
      </c>
      <c r="E32" s="134" t="s">
        <v>547</v>
      </c>
      <c r="F32" s="135">
        <v>0</v>
      </c>
      <c r="G32" s="113">
        <v>0</v>
      </c>
      <c r="H32" s="113">
        <v>0</v>
      </c>
      <c r="I32" s="136" t="s">
        <v>547</v>
      </c>
      <c r="J32" s="158"/>
      <c r="K32" s="158"/>
      <c r="L32" s="149">
        <f t="shared" si="4"/>
        <v>0</v>
      </c>
      <c r="M32" s="150">
        <f t="shared" si="5"/>
        <v>0</v>
      </c>
    </row>
    <row r="33" spans="1:13" ht="14.4" hidden="1" customHeight="1" outlineLevel="1" x14ac:dyDescent="0.3">
      <c r="A33" s="119" t="s">
        <v>171</v>
      </c>
      <c r="B33" s="122">
        <v>0</v>
      </c>
      <c r="C33" s="113">
        <v>0</v>
      </c>
      <c r="D33" s="113">
        <v>5.5369999999999999</v>
      </c>
      <c r="E33" s="134" t="s">
        <v>547</v>
      </c>
      <c r="F33" s="135">
        <v>0</v>
      </c>
      <c r="G33" s="113">
        <v>0</v>
      </c>
      <c r="H33" s="113">
        <v>1</v>
      </c>
      <c r="I33" s="136" t="s">
        <v>547</v>
      </c>
      <c r="J33" s="158"/>
      <c r="K33" s="158"/>
      <c r="L33" s="149">
        <f t="shared" si="4"/>
        <v>5.5369999999999999</v>
      </c>
      <c r="M33" s="150">
        <f t="shared" si="5"/>
        <v>1</v>
      </c>
    </row>
    <row r="34" spans="1:13" ht="14.4" hidden="1" customHeight="1" outlineLevel="1" x14ac:dyDescent="0.3">
      <c r="A34" s="119" t="s">
        <v>172</v>
      </c>
      <c r="B34" s="122">
        <v>0</v>
      </c>
      <c r="C34" s="113">
        <v>0</v>
      </c>
      <c r="D34" s="113">
        <v>0</v>
      </c>
      <c r="E34" s="134" t="s">
        <v>547</v>
      </c>
      <c r="F34" s="135">
        <v>0</v>
      </c>
      <c r="G34" s="113">
        <v>0</v>
      </c>
      <c r="H34" s="113">
        <v>0</v>
      </c>
      <c r="I34" s="136" t="s">
        <v>547</v>
      </c>
      <c r="J34" s="158"/>
      <c r="K34" s="158"/>
      <c r="L34" s="149">
        <f t="shared" si="4"/>
        <v>0</v>
      </c>
      <c r="M34" s="150">
        <f t="shared" si="5"/>
        <v>0</v>
      </c>
    </row>
    <row r="35" spans="1:13" ht="14.4" hidden="1" customHeight="1" outlineLevel="1" x14ac:dyDescent="0.3">
      <c r="A35" s="119" t="s">
        <v>173</v>
      </c>
      <c r="B35" s="122">
        <v>0</v>
      </c>
      <c r="C35" s="113">
        <v>0</v>
      </c>
      <c r="D35" s="113">
        <v>0</v>
      </c>
      <c r="E35" s="134" t="s">
        <v>547</v>
      </c>
      <c r="F35" s="135">
        <v>0</v>
      </c>
      <c r="G35" s="113">
        <v>0</v>
      </c>
      <c r="H35" s="113">
        <v>0</v>
      </c>
      <c r="I35" s="136" t="s">
        <v>547</v>
      </c>
      <c r="J35" s="158"/>
      <c r="K35" s="158"/>
      <c r="L35" s="149">
        <f t="shared" si="4"/>
        <v>0</v>
      </c>
      <c r="M35" s="150">
        <f t="shared" si="5"/>
        <v>0</v>
      </c>
    </row>
    <row r="36" spans="1:13" ht="14.4" hidden="1" customHeight="1" outlineLevel="1" x14ac:dyDescent="0.3">
      <c r="A36" s="119" t="s">
        <v>174</v>
      </c>
      <c r="B36" s="122">
        <v>0</v>
      </c>
      <c r="C36" s="113">
        <v>0</v>
      </c>
      <c r="D36" s="113">
        <v>0</v>
      </c>
      <c r="E36" s="134" t="s">
        <v>547</v>
      </c>
      <c r="F36" s="135">
        <v>0</v>
      </c>
      <c r="G36" s="113">
        <v>0</v>
      </c>
      <c r="H36" s="113">
        <v>0</v>
      </c>
      <c r="I36" s="136" t="s">
        <v>547</v>
      </c>
      <c r="J36" s="158"/>
      <c r="K36" s="158"/>
      <c r="L36" s="149">
        <f t="shared" si="4"/>
        <v>0</v>
      </c>
      <c r="M36" s="150">
        <f t="shared" si="5"/>
        <v>0</v>
      </c>
    </row>
    <row r="37" spans="1:13" ht="14.4" hidden="1" customHeight="1" outlineLevel="1" x14ac:dyDescent="0.3">
      <c r="A37" s="119" t="s">
        <v>175</v>
      </c>
      <c r="B37" s="122">
        <v>0</v>
      </c>
      <c r="C37" s="113">
        <v>0</v>
      </c>
      <c r="D37" s="113">
        <v>0</v>
      </c>
      <c r="E37" s="134" t="s">
        <v>547</v>
      </c>
      <c r="F37" s="135">
        <v>0</v>
      </c>
      <c r="G37" s="113">
        <v>0</v>
      </c>
      <c r="H37" s="113">
        <v>0</v>
      </c>
      <c r="I37" s="136" t="s">
        <v>547</v>
      </c>
      <c r="J37" s="158"/>
      <c r="K37" s="158"/>
      <c r="L37" s="149">
        <f t="shared" si="4"/>
        <v>0</v>
      </c>
      <c r="M37" s="150">
        <f t="shared" si="5"/>
        <v>0</v>
      </c>
    </row>
    <row r="38" spans="1:13" ht="14.4" hidden="1" customHeight="1" outlineLevel="1" thickBot="1" x14ac:dyDescent="0.35">
      <c r="A38" s="247" t="s">
        <v>234</v>
      </c>
      <c r="B38" s="248">
        <v>0</v>
      </c>
      <c r="C38" s="249">
        <v>0</v>
      </c>
      <c r="D38" s="249">
        <v>0</v>
      </c>
      <c r="E38" s="250"/>
      <c r="F38" s="251">
        <v>0</v>
      </c>
      <c r="G38" s="249">
        <v>0</v>
      </c>
      <c r="H38" s="249">
        <v>0</v>
      </c>
      <c r="I38" s="252"/>
      <c r="J38" s="158"/>
      <c r="K38" s="158"/>
      <c r="L38" s="255">
        <f>D38-B38</f>
        <v>0</v>
      </c>
      <c r="M38" s="256">
        <f>H38-F38</f>
        <v>0</v>
      </c>
    </row>
    <row r="39" spans="1:13" ht="14.4" customHeight="1" collapsed="1" thickBot="1" x14ac:dyDescent="0.35">
      <c r="A39" s="165" t="s">
        <v>3</v>
      </c>
      <c r="B39" s="117">
        <f>SUM(B31:B38)</f>
        <v>0</v>
      </c>
      <c r="C39" s="166">
        <f>SUM(C31:C38)</f>
        <v>0</v>
      </c>
      <c r="D39" s="166">
        <f>SUM(D31:D38)</f>
        <v>5.5369999999999999</v>
      </c>
      <c r="E39" s="167">
        <f>IF(OR(D39=0,B39=0),0,D39/B39)</f>
        <v>0</v>
      </c>
      <c r="F39" s="168">
        <f>SUM(F31:F38)</f>
        <v>0</v>
      </c>
      <c r="G39" s="166">
        <f>SUM(G31:G38)</f>
        <v>0</v>
      </c>
      <c r="H39" s="166">
        <f>SUM(H31:H38)</f>
        <v>1</v>
      </c>
      <c r="I39" s="169">
        <f>IF(OR(H39=0,F39=0),0,H39/F39)</f>
        <v>0</v>
      </c>
      <c r="J39" s="158"/>
      <c r="K39" s="158"/>
      <c r="L39" s="163">
        <f t="shared" si="4"/>
        <v>5.5369999999999999</v>
      </c>
      <c r="M39" s="170">
        <f t="shared" si="5"/>
        <v>1</v>
      </c>
    </row>
    <row r="40" spans="1:13" ht="14.4" customHeight="1" x14ac:dyDescent="0.25">
      <c r="A40" s="370"/>
      <c r="B40" s="370"/>
      <c r="C40" s="370"/>
      <c r="D40" s="370"/>
      <c r="E40" s="371"/>
      <c r="F40" s="370"/>
      <c r="G40" s="370"/>
      <c r="H40" s="370"/>
      <c r="I40" s="372"/>
      <c r="J40" s="370"/>
      <c r="K40" s="370"/>
      <c r="L40" s="370"/>
      <c r="M40" s="370"/>
    </row>
    <row r="41" spans="1:13" ht="14.4" customHeight="1" x14ac:dyDescent="0.3">
      <c r="A41" s="265" t="s">
        <v>318</v>
      </c>
      <c r="B41" s="370"/>
      <c r="C41" s="370"/>
      <c r="D41" s="370"/>
      <c r="E41" s="371"/>
      <c r="F41" s="370"/>
      <c r="G41" s="370"/>
      <c r="H41" s="370"/>
      <c r="I41" s="372"/>
      <c r="J41" s="370"/>
      <c r="K41" s="370"/>
      <c r="L41" s="370"/>
      <c r="M41" s="370"/>
    </row>
    <row r="42" spans="1:13" ht="14.4" customHeight="1" x14ac:dyDescent="0.25">
      <c r="A42" s="452" t="s">
        <v>314</v>
      </c>
    </row>
    <row r="43" spans="1:13" ht="14.4" customHeight="1" x14ac:dyDescent="0.25">
      <c r="A43" s="453" t="s">
        <v>320</v>
      </c>
    </row>
    <row r="44" spans="1:13" ht="14.4" customHeight="1" x14ac:dyDescent="0.25">
      <c r="A44" s="452" t="s">
        <v>316</v>
      </c>
    </row>
    <row r="45" spans="1:13" ht="14.4" customHeight="1" x14ac:dyDescent="0.25">
      <c r="A45" s="453" t="s">
        <v>317</v>
      </c>
    </row>
    <row r="46" spans="1:13" ht="14.4" customHeight="1" x14ac:dyDescent="0.3">
      <c r="A46" s="246" t="s">
        <v>319</v>
      </c>
    </row>
  </sheetData>
  <mergeCells count="23">
    <mergeCell ref="J24:K24"/>
    <mergeCell ref="J19:K19"/>
    <mergeCell ref="J20:K20"/>
    <mergeCell ref="J21:K21"/>
    <mergeCell ref="J22:K22"/>
    <mergeCell ref="J23:K23"/>
    <mergeCell ref="A29:A30"/>
    <mergeCell ref="B29:E29"/>
    <mergeCell ref="F29:I29"/>
    <mergeCell ref="A16:A17"/>
    <mergeCell ref="B16:E16"/>
    <mergeCell ref="F16:I16"/>
    <mergeCell ref="B27:E27"/>
    <mergeCell ref="F27:I27"/>
    <mergeCell ref="J16:K16"/>
    <mergeCell ref="J17:K17"/>
    <mergeCell ref="J18:K18"/>
    <mergeCell ref="A1:M1"/>
    <mergeCell ref="A3:A4"/>
    <mergeCell ref="B3:E3"/>
    <mergeCell ref="F3:I3"/>
    <mergeCell ref="B14:E14"/>
    <mergeCell ref="F14:I14"/>
  </mergeCells>
  <conditionalFormatting sqref="E18:E26">
    <cfRule type="cellIs" dxfId="17" priority="11" stopIfTrue="1" operator="lessThan">
      <formula>1</formula>
    </cfRule>
  </conditionalFormatting>
  <conditionalFormatting sqref="I18:I26">
    <cfRule type="cellIs" dxfId="16" priority="10" stopIfTrue="1" operator="lessThan">
      <formula>0.95</formula>
    </cfRule>
  </conditionalFormatting>
  <conditionalFormatting sqref="L5:M13 L18:M26 L31:M39">
    <cfRule type="cellIs" dxfId="15" priority="9" stopIfTrue="1" operator="lessThan">
      <formula>0</formula>
    </cfRule>
  </conditionalFormatting>
  <conditionalFormatting sqref="D31:D38 D5:D12 H5:H12 D18:D25 H18:H25 H31:H38">
    <cfRule type="dataBar" priority="8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{42AE6CD6-2D5D-4743-B35C-69F84FE26F98}</x14:id>
        </ext>
      </extLst>
    </cfRule>
  </conditionalFormatting>
  <conditionalFormatting sqref="D5:D12">
    <cfRule type="dataBar" priority="7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{A4EF560A-8599-4347-B851-343B92BCD5E1}</x14:id>
        </ext>
      </extLst>
    </cfRule>
  </conditionalFormatting>
  <conditionalFormatting sqref="H5:H12">
    <cfRule type="dataBar" priority="6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{C26992FC-93C6-46A0-A6FF-231000D745AA}</x14:id>
        </ext>
      </extLst>
    </cfRule>
  </conditionalFormatting>
  <conditionalFormatting sqref="D18:D25">
    <cfRule type="dataBar" priority="5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{6B84CA98-94F0-413A-8305-92901160F8F9}</x14:id>
        </ext>
      </extLst>
    </cfRule>
  </conditionalFormatting>
  <conditionalFormatting sqref="H18:H25">
    <cfRule type="dataBar" priority="4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{22330AD9-BF89-40A5-88DF-FF41314428B1}</x14:id>
        </ext>
      </extLst>
    </cfRule>
  </conditionalFormatting>
  <conditionalFormatting sqref="D31:D38">
    <cfRule type="dataBar" priority="2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{1583B143-B462-4C73-A979-5D07CBCBE895}</x14:id>
        </ext>
      </extLst>
    </cfRule>
  </conditionalFormatting>
  <conditionalFormatting sqref="H31:H38">
    <cfRule type="dataBar" priority="1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{DD197DDA-FC0B-4F23-81BF-C02D70CD23CB}</x14:id>
        </ext>
      </extLs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scale="93" fitToHeight="0" orientation="portrait" r:id="rId1"/>
  <headerFooter alignWithMargins="0">
    <oddFooter>&amp;L&amp;F</oddFooter>
  </headerFooter>
  <ignoredErrors>
    <ignoredError sqref="E13 E26 E39" formula="1"/>
    <ignoredError sqref="B39:D39 F39:H39 B13:D13 F13:H13 B26:D26 F26:H26" formulaRange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42AE6CD6-2D5D-4743-B35C-69F84FE26F98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D31:D38 D5:D12 H5:H12 D18:D25 H18:H25 H31:H38</xm:sqref>
        </x14:conditionalFormatting>
        <x14:conditionalFormatting xmlns:xm="http://schemas.microsoft.com/office/excel/2006/main">
          <x14:cfRule type="dataBar" id="{A4EF560A-8599-4347-B851-343B92BCD5E1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D5:D12</xm:sqref>
        </x14:conditionalFormatting>
        <x14:conditionalFormatting xmlns:xm="http://schemas.microsoft.com/office/excel/2006/main">
          <x14:cfRule type="dataBar" id="{C26992FC-93C6-46A0-A6FF-231000D745AA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H5:H12</xm:sqref>
        </x14:conditionalFormatting>
        <x14:conditionalFormatting xmlns:xm="http://schemas.microsoft.com/office/excel/2006/main">
          <x14:cfRule type="dataBar" id="{6B84CA98-94F0-413A-8305-92901160F8F9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D18:D25</xm:sqref>
        </x14:conditionalFormatting>
        <x14:conditionalFormatting xmlns:xm="http://schemas.microsoft.com/office/excel/2006/main">
          <x14:cfRule type="dataBar" id="{22330AD9-BF89-40A5-88DF-FF41314428B1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H18:H25</xm:sqref>
        </x14:conditionalFormatting>
        <x14:conditionalFormatting xmlns:xm="http://schemas.microsoft.com/office/excel/2006/main">
          <x14:cfRule type="dataBar" id="{1583B143-B462-4C73-A979-5D07CBCBE895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D31:D38</xm:sqref>
        </x14:conditionalFormatting>
        <x14:conditionalFormatting xmlns:xm="http://schemas.microsoft.com/office/excel/2006/main">
          <x14:cfRule type="dataBar" id="{DD197DDA-FC0B-4F23-81BF-C02D70CD23CB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H31:H38</xm:sqref>
        </x14:conditionalFormatting>
      </x14:conditionalFormattings>
    </ext>
  </extLst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3">
    <tabColor theme="0" tint="-0.249977111117893"/>
    <pageSetUpPr fitToPage="1"/>
  </sheetPr>
  <dimension ref="A1:M45"/>
  <sheetViews>
    <sheetView showGridLines="0" showRowColHeaders="0" zoomScaleNormal="100" workbookViewId="0">
      <selection sqref="A1:M1"/>
    </sheetView>
  </sheetViews>
  <sheetFormatPr defaultRowHeight="14.4" customHeight="1" x14ac:dyDescent="0.3"/>
  <cols>
    <col min="1" max="1" width="5.44140625" style="81" bestFit="1" customWidth="1"/>
    <col min="2" max="3" width="7.77734375" style="209" customWidth="1"/>
    <col min="4" max="5" width="7.77734375" style="81" customWidth="1"/>
    <col min="6" max="6" width="14.88671875" style="81" bestFit="1" customWidth="1"/>
    <col min="7" max="7" width="2" style="81" bestFit="1" customWidth="1"/>
    <col min="8" max="8" width="5.33203125" style="81" bestFit="1" customWidth="1"/>
    <col min="9" max="9" width="7.6640625" style="81" bestFit="1" customWidth="1"/>
    <col min="10" max="10" width="6.88671875" style="81" bestFit="1" customWidth="1"/>
    <col min="11" max="11" width="17.33203125" style="81" bestFit="1" customWidth="1"/>
    <col min="12" max="13" width="19.6640625" style="81" bestFit="1" customWidth="1"/>
    <col min="14" max="16384" width="8.88671875" style="81"/>
  </cols>
  <sheetData>
    <row r="1" spans="1:13" ht="18.600000000000001" customHeight="1" thickBot="1" x14ac:dyDescent="0.4">
      <c r="A1" s="488" t="s">
        <v>115</v>
      </c>
      <c r="B1" s="524"/>
      <c r="C1" s="524"/>
      <c r="D1" s="524"/>
      <c r="E1" s="524"/>
      <c r="F1" s="524"/>
      <c r="G1" s="524"/>
      <c r="H1" s="524"/>
      <c r="I1" s="524"/>
      <c r="J1" s="524"/>
      <c r="K1" s="524"/>
      <c r="L1" s="524"/>
      <c r="M1" s="524"/>
    </row>
    <row r="2" spans="1:13" ht="14.4" customHeight="1" x14ac:dyDescent="0.3">
      <c r="A2" s="386" t="s">
        <v>321</v>
      </c>
      <c r="B2" s="205"/>
      <c r="C2" s="205"/>
      <c r="D2" s="82"/>
      <c r="E2" s="82"/>
      <c r="F2" s="82"/>
      <c r="G2" s="82"/>
      <c r="H2" s="82"/>
      <c r="I2" s="82"/>
      <c r="J2" s="82"/>
      <c r="K2" s="82"/>
      <c r="L2" s="82"/>
      <c r="M2" s="82"/>
    </row>
    <row r="3" spans="1:13" ht="14.4" customHeight="1" x14ac:dyDescent="0.3">
      <c r="A3" s="80"/>
      <c r="B3" s="375"/>
      <c r="C3" s="375"/>
      <c r="D3" s="80"/>
      <c r="E3" s="80"/>
      <c r="F3" s="80"/>
      <c r="G3" s="80"/>
      <c r="H3" s="80"/>
      <c r="I3" s="80"/>
      <c r="J3" s="80"/>
      <c r="K3" s="80"/>
      <c r="L3" s="80"/>
      <c r="M3" s="80"/>
    </row>
    <row r="4" spans="1:13" ht="14.4" customHeight="1" x14ac:dyDescent="0.3">
      <c r="A4" s="80"/>
      <c r="B4" s="375"/>
      <c r="C4" s="375"/>
      <c r="D4" s="80"/>
      <c r="E4" s="80"/>
      <c r="F4" s="80"/>
      <c r="G4" s="80"/>
      <c r="H4" s="80"/>
      <c r="I4" s="80"/>
      <c r="J4" s="80"/>
      <c r="K4" s="80"/>
      <c r="L4" s="80"/>
      <c r="M4" s="80"/>
    </row>
    <row r="5" spans="1:13" ht="14.4" customHeight="1" x14ac:dyDescent="0.3">
      <c r="A5" s="80"/>
      <c r="B5" s="375"/>
      <c r="C5" s="375"/>
      <c r="D5" s="80"/>
      <c r="E5" s="80"/>
      <c r="F5" s="80"/>
      <c r="G5" s="80"/>
      <c r="H5" s="80"/>
      <c r="I5" s="80"/>
      <c r="J5" s="80"/>
      <c r="K5" s="80"/>
      <c r="L5" s="80"/>
      <c r="M5" s="80"/>
    </row>
    <row r="6" spans="1:13" ht="14.4" customHeight="1" x14ac:dyDescent="0.3">
      <c r="A6" s="80"/>
      <c r="B6" s="375"/>
      <c r="C6" s="375"/>
      <c r="D6" s="80"/>
      <c r="E6" s="80"/>
      <c r="F6" s="80"/>
      <c r="G6" s="80"/>
      <c r="H6" s="80"/>
      <c r="I6" s="80"/>
      <c r="J6" s="80"/>
      <c r="K6" s="80"/>
      <c r="L6" s="80"/>
      <c r="M6" s="80"/>
    </row>
    <row r="7" spans="1:13" ht="14.4" customHeight="1" x14ac:dyDescent="0.3">
      <c r="A7" s="80"/>
      <c r="B7" s="375"/>
      <c r="C7" s="375"/>
      <c r="D7" s="80"/>
      <c r="E7" s="80"/>
      <c r="F7" s="80"/>
      <c r="G7" s="80"/>
      <c r="H7" s="80"/>
      <c r="I7" s="80"/>
      <c r="J7" s="80"/>
      <c r="K7" s="80"/>
      <c r="L7" s="80"/>
      <c r="M7" s="80"/>
    </row>
    <row r="8" spans="1:13" ht="14.4" customHeight="1" x14ac:dyDescent="0.3">
      <c r="A8" s="80"/>
      <c r="B8" s="375"/>
      <c r="C8" s="375"/>
      <c r="D8" s="80"/>
      <c r="E8" s="80"/>
      <c r="F8" s="80"/>
      <c r="G8" s="80"/>
      <c r="H8" s="80"/>
      <c r="I8" s="80"/>
      <c r="J8" s="80"/>
      <c r="K8" s="80"/>
      <c r="L8" s="80"/>
      <c r="M8" s="80"/>
    </row>
    <row r="9" spans="1:13" ht="14.4" customHeight="1" x14ac:dyDescent="0.3">
      <c r="A9" s="80"/>
      <c r="B9" s="375"/>
      <c r="C9" s="375"/>
      <c r="D9" s="80"/>
      <c r="E9" s="80"/>
      <c r="F9" s="80"/>
      <c r="G9" s="80"/>
      <c r="H9" s="80"/>
      <c r="I9" s="80"/>
      <c r="J9" s="80"/>
      <c r="K9" s="80"/>
      <c r="L9" s="80"/>
      <c r="M9" s="80"/>
    </row>
    <row r="10" spans="1:13" ht="14.4" customHeight="1" x14ac:dyDescent="0.3">
      <c r="A10" s="80"/>
      <c r="B10" s="375"/>
      <c r="C10" s="375"/>
      <c r="D10" s="80"/>
      <c r="E10" s="80"/>
      <c r="F10" s="80"/>
      <c r="G10" s="80"/>
      <c r="H10" s="80"/>
      <c r="I10" s="80"/>
      <c r="J10" s="80"/>
      <c r="K10" s="80"/>
      <c r="L10" s="80"/>
      <c r="M10" s="80"/>
    </row>
    <row r="11" spans="1:13" ht="14.4" customHeight="1" x14ac:dyDescent="0.3">
      <c r="A11" s="80"/>
      <c r="B11" s="375"/>
      <c r="C11" s="375"/>
      <c r="D11" s="80"/>
      <c r="E11" s="80"/>
      <c r="F11" s="80"/>
      <c r="G11" s="80"/>
      <c r="H11" s="80"/>
      <c r="I11" s="80"/>
      <c r="J11" s="80"/>
      <c r="K11" s="80"/>
      <c r="L11" s="80"/>
      <c r="M11" s="80"/>
    </row>
    <row r="12" spans="1:13" ht="14.4" customHeight="1" x14ac:dyDescent="0.3">
      <c r="A12" s="80"/>
      <c r="B12" s="375"/>
      <c r="C12" s="375"/>
      <c r="D12" s="80"/>
      <c r="E12" s="80"/>
      <c r="F12" s="80"/>
      <c r="G12" s="80"/>
      <c r="H12" s="80"/>
      <c r="I12" s="80"/>
      <c r="J12" s="80"/>
      <c r="K12" s="80"/>
      <c r="L12" s="80"/>
      <c r="M12" s="80"/>
    </row>
    <row r="13" spans="1:13" ht="14.4" customHeight="1" x14ac:dyDescent="0.3">
      <c r="A13" s="80"/>
      <c r="B13" s="375"/>
      <c r="C13" s="375"/>
      <c r="D13" s="80"/>
      <c r="E13" s="80"/>
      <c r="F13" s="80"/>
      <c r="G13" s="80"/>
      <c r="H13" s="80"/>
      <c r="I13" s="80"/>
      <c r="J13" s="80"/>
      <c r="K13" s="80"/>
      <c r="L13" s="80"/>
      <c r="M13" s="80"/>
    </row>
    <row r="14" spans="1:13" ht="14.4" customHeight="1" x14ac:dyDescent="0.3">
      <c r="A14" s="80"/>
      <c r="B14" s="375"/>
      <c r="C14" s="375"/>
      <c r="D14" s="80"/>
      <c r="E14" s="80"/>
      <c r="F14" s="80"/>
      <c r="G14" s="80"/>
      <c r="H14" s="80"/>
      <c r="I14" s="80"/>
      <c r="J14" s="80"/>
      <c r="K14" s="80"/>
      <c r="L14" s="80"/>
      <c r="M14" s="80"/>
    </row>
    <row r="15" spans="1:13" ht="14.4" customHeight="1" x14ac:dyDescent="0.3">
      <c r="A15" s="80"/>
      <c r="B15" s="375"/>
      <c r="C15" s="375"/>
      <c r="D15" s="80"/>
      <c r="E15" s="80"/>
      <c r="F15" s="80"/>
      <c r="G15" s="80"/>
      <c r="H15" s="80"/>
      <c r="I15" s="80"/>
      <c r="J15" s="80"/>
      <c r="K15" s="80"/>
      <c r="L15" s="80"/>
      <c r="M15" s="80"/>
    </row>
    <row r="16" spans="1:13" ht="14.4" customHeight="1" x14ac:dyDescent="0.3">
      <c r="A16" s="80"/>
      <c r="B16" s="375"/>
      <c r="C16" s="375"/>
      <c r="D16" s="80"/>
      <c r="E16" s="80"/>
      <c r="F16" s="80"/>
      <c r="G16" s="80"/>
      <c r="H16" s="80"/>
      <c r="I16" s="80"/>
      <c r="J16" s="80"/>
      <c r="K16" s="80"/>
      <c r="L16" s="80"/>
      <c r="M16" s="80"/>
    </row>
    <row r="17" spans="1:13" ht="14.4" customHeight="1" x14ac:dyDescent="0.3">
      <c r="A17" s="80"/>
      <c r="B17" s="375"/>
      <c r="C17" s="375"/>
      <c r="D17" s="80"/>
      <c r="E17" s="80"/>
      <c r="F17" s="80"/>
      <c r="G17" s="80"/>
      <c r="H17" s="80"/>
      <c r="I17" s="80"/>
      <c r="J17" s="80"/>
      <c r="K17" s="80"/>
      <c r="L17" s="80"/>
      <c r="M17" s="80"/>
    </row>
    <row r="18" spans="1:13" ht="14.4" customHeight="1" x14ac:dyDescent="0.3">
      <c r="A18" s="80"/>
      <c r="B18" s="375"/>
      <c r="C18" s="375"/>
      <c r="D18" s="80"/>
      <c r="E18" s="80"/>
      <c r="F18" s="80"/>
      <c r="G18" s="80"/>
      <c r="H18" s="80"/>
      <c r="I18" s="80"/>
      <c r="J18" s="80"/>
      <c r="K18" s="80"/>
      <c r="L18" s="80"/>
      <c r="M18" s="80"/>
    </row>
    <row r="19" spans="1:13" ht="14.4" customHeight="1" x14ac:dyDescent="0.3">
      <c r="A19" s="80"/>
      <c r="B19" s="375"/>
      <c r="C19" s="375"/>
      <c r="D19" s="80"/>
      <c r="E19" s="80"/>
      <c r="F19" s="80"/>
      <c r="G19" s="80"/>
      <c r="H19" s="80"/>
      <c r="I19" s="80"/>
      <c r="J19" s="80"/>
      <c r="K19" s="80"/>
      <c r="L19" s="80"/>
      <c r="M19" s="80"/>
    </row>
    <row r="20" spans="1:13" ht="14.4" customHeight="1" x14ac:dyDescent="0.3">
      <c r="A20" s="80"/>
      <c r="B20" s="375"/>
      <c r="C20" s="375"/>
      <c r="D20" s="80"/>
      <c r="E20" s="80"/>
      <c r="F20" s="80"/>
      <c r="G20" s="80"/>
      <c r="H20" s="80"/>
      <c r="I20" s="80"/>
      <c r="J20" s="80"/>
      <c r="K20" s="80"/>
      <c r="L20" s="80"/>
      <c r="M20" s="80"/>
    </row>
    <row r="21" spans="1:13" ht="14.4" customHeight="1" x14ac:dyDescent="0.3">
      <c r="A21" s="80"/>
      <c r="B21" s="375"/>
      <c r="C21" s="375"/>
      <c r="D21" s="80"/>
      <c r="E21" s="80"/>
      <c r="F21" s="80"/>
      <c r="G21" s="80"/>
      <c r="H21" s="80"/>
      <c r="I21" s="80"/>
      <c r="J21" s="80"/>
      <c r="K21" s="80"/>
      <c r="L21" s="80"/>
      <c r="M21" s="80"/>
    </row>
    <row r="22" spans="1:13" ht="14.4" customHeight="1" x14ac:dyDescent="0.3">
      <c r="A22" s="80"/>
      <c r="B22" s="375"/>
      <c r="C22" s="375"/>
      <c r="D22" s="80"/>
      <c r="E22" s="80"/>
      <c r="F22" s="80"/>
      <c r="G22" s="80"/>
      <c r="H22" s="80"/>
      <c r="I22" s="80"/>
      <c r="J22" s="80"/>
      <c r="K22" s="80"/>
      <c r="L22" s="80"/>
      <c r="M22" s="80"/>
    </row>
    <row r="23" spans="1:13" ht="14.4" customHeight="1" x14ac:dyDescent="0.3">
      <c r="A23" s="80"/>
      <c r="B23" s="375"/>
      <c r="C23" s="375"/>
      <c r="D23" s="80"/>
      <c r="E23" s="80"/>
      <c r="F23" s="80"/>
      <c r="G23" s="80"/>
      <c r="H23" s="80"/>
      <c r="I23" s="80"/>
      <c r="J23" s="80"/>
      <c r="K23" s="80"/>
      <c r="L23" s="80"/>
      <c r="M23" s="80"/>
    </row>
    <row r="24" spans="1:13" ht="14.4" customHeight="1" x14ac:dyDescent="0.3">
      <c r="A24" s="80"/>
      <c r="B24" s="375"/>
      <c r="C24" s="375"/>
      <c r="D24" s="80"/>
      <c r="E24" s="80"/>
      <c r="F24" s="80"/>
      <c r="G24" s="80"/>
      <c r="H24" s="80"/>
      <c r="I24" s="80"/>
      <c r="J24" s="80"/>
      <c r="K24" s="80"/>
      <c r="L24" s="80"/>
      <c r="M24" s="80"/>
    </row>
    <row r="25" spans="1:13" ht="14.4" customHeight="1" x14ac:dyDescent="0.3">
      <c r="A25" s="80"/>
      <c r="B25" s="375"/>
      <c r="C25" s="375"/>
      <c r="D25" s="80"/>
      <c r="E25" s="80"/>
      <c r="F25" s="80"/>
      <c r="G25" s="80"/>
      <c r="H25" s="80"/>
      <c r="I25" s="80"/>
      <c r="J25" s="80"/>
      <c r="K25" s="80"/>
      <c r="L25" s="80"/>
      <c r="M25" s="80"/>
    </row>
    <row r="26" spans="1:13" ht="14.4" customHeight="1" x14ac:dyDescent="0.3">
      <c r="A26" s="80"/>
      <c r="B26" s="375"/>
      <c r="C26" s="375"/>
      <c r="D26" s="80"/>
      <c r="E26" s="80"/>
      <c r="F26" s="80"/>
      <c r="G26" s="80"/>
      <c r="H26" s="80"/>
      <c r="I26" s="80"/>
      <c r="J26" s="80"/>
      <c r="K26" s="80"/>
      <c r="L26" s="80"/>
      <c r="M26" s="80"/>
    </row>
    <row r="27" spans="1:13" ht="14.4" customHeight="1" x14ac:dyDescent="0.3">
      <c r="A27" s="80"/>
      <c r="B27" s="375"/>
      <c r="C27" s="375"/>
      <c r="D27" s="80"/>
      <c r="E27" s="80"/>
      <c r="F27" s="80"/>
      <c r="G27" s="80"/>
      <c r="H27" s="80"/>
      <c r="I27" s="80"/>
      <c r="J27" s="80"/>
      <c r="K27" s="80"/>
      <c r="L27" s="80"/>
      <c r="M27" s="80"/>
    </row>
    <row r="28" spans="1:13" ht="14.4" customHeight="1" x14ac:dyDescent="0.3">
      <c r="A28" s="80"/>
      <c r="B28" s="375"/>
      <c r="C28" s="375"/>
      <c r="D28" s="80"/>
      <c r="E28" s="80"/>
      <c r="F28" s="80"/>
      <c r="G28" s="80"/>
      <c r="H28" s="80"/>
      <c r="I28" s="80"/>
      <c r="J28" s="80"/>
      <c r="K28" s="80"/>
      <c r="L28" s="80"/>
      <c r="M28" s="80"/>
    </row>
    <row r="29" spans="1:13" ht="14.4" customHeight="1" x14ac:dyDescent="0.3">
      <c r="A29" s="80"/>
      <c r="B29" s="375"/>
      <c r="C29" s="375"/>
      <c r="D29" s="80"/>
      <c r="E29" s="80"/>
      <c r="F29" s="80"/>
      <c r="G29" s="80"/>
      <c r="H29" s="80"/>
      <c r="I29" s="80"/>
      <c r="J29" s="80"/>
      <c r="K29" s="80"/>
      <c r="L29" s="80"/>
      <c r="M29" s="80"/>
    </row>
    <row r="30" spans="1:13" ht="14.4" customHeight="1" thickBot="1" x14ac:dyDescent="0.35">
      <c r="A30" s="80"/>
      <c r="B30" s="375"/>
      <c r="C30" s="375"/>
      <c r="D30" s="80"/>
      <c r="E30" s="80"/>
      <c r="F30" s="80"/>
      <c r="G30" s="80"/>
      <c r="H30" s="80"/>
      <c r="I30" s="80"/>
      <c r="J30" s="80"/>
      <c r="K30" s="80"/>
      <c r="L30" s="80"/>
      <c r="M30" s="80"/>
    </row>
    <row r="31" spans="1:13" ht="14.4" customHeight="1" x14ac:dyDescent="0.3">
      <c r="A31" s="179"/>
      <c r="B31" s="562" t="s">
        <v>83</v>
      </c>
      <c r="C31" s="563"/>
      <c r="D31" s="563"/>
      <c r="E31" s="564"/>
      <c r="F31" s="171" t="s">
        <v>83</v>
      </c>
      <c r="G31" s="83"/>
      <c r="H31" s="83"/>
      <c r="I31" s="80"/>
      <c r="J31" s="80"/>
      <c r="K31" s="80"/>
      <c r="L31" s="80"/>
      <c r="M31" s="80"/>
    </row>
    <row r="32" spans="1:13" ht="14.4" customHeight="1" thickBot="1" x14ac:dyDescent="0.35">
      <c r="A32" s="180" t="s">
        <v>67</v>
      </c>
      <c r="B32" s="172" t="s">
        <v>86</v>
      </c>
      <c r="C32" s="173" t="s">
        <v>87</v>
      </c>
      <c r="D32" s="173" t="s">
        <v>88</v>
      </c>
      <c r="E32" s="174" t="s">
        <v>2</v>
      </c>
      <c r="F32" s="175" t="s">
        <v>89</v>
      </c>
      <c r="G32" s="376"/>
      <c r="H32" s="376" t="s">
        <v>116</v>
      </c>
      <c r="I32" s="80"/>
      <c r="J32" s="80"/>
      <c r="K32" s="80"/>
      <c r="L32" s="80"/>
      <c r="M32" s="80"/>
    </row>
    <row r="33" spans="1:13" ht="14.4" customHeight="1" x14ac:dyDescent="0.3">
      <c r="A33" s="176" t="s">
        <v>103</v>
      </c>
      <c r="B33" s="206">
        <v>284.04000000000002</v>
      </c>
      <c r="C33" s="206">
        <v>181</v>
      </c>
      <c r="D33" s="84">
        <f>IF(C33="","",C33-B33)</f>
        <v>-103.04000000000002</v>
      </c>
      <c r="E33" s="85">
        <f>IF(C33="","",C33/B33)</f>
        <v>0.63723419236727219</v>
      </c>
      <c r="F33" s="86">
        <v>24.62</v>
      </c>
      <c r="G33" s="376">
        <v>0</v>
      </c>
      <c r="H33" s="377">
        <v>1</v>
      </c>
      <c r="I33" s="80"/>
      <c r="J33" s="80"/>
      <c r="K33" s="80"/>
      <c r="L33" s="80"/>
      <c r="M33" s="80"/>
    </row>
    <row r="34" spans="1:13" ht="14.4" customHeight="1" x14ac:dyDescent="0.3">
      <c r="A34" s="177" t="s">
        <v>104</v>
      </c>
      <c r="B34" s="207">
        <v>366.93</v>
      </c>
      <c r="C34" s="207">
        <v>209</v>
      </c>
      <c r="D34" s="87">
        <f t="shared" ref="D34:D45" si="0">IF(C34="","",C34-B34)</f>
        <v>-157.93</v>
      </c>
      <c r="E34" s="88">
        <f t="shared" ref="E34:E45" si="1">IF(C34="","",C34/B34)</f>
        <v>0.56959093015016482</v>
      </c>
      <c r="F34" s="89">
        <v>23.06</v>
      </c>
      <c r="G34" s="376">
        <v>1</v>
      </c>
      <c r="H34" s="377">
        <v>1</v>
      </c>
      <c r="I34" s="80"/>
      <c r="J34" s="80"/>
      <c r="K34" s="80"/>
      <c r="L34" s="80"/>
      <c r="M34" s="80"/>
    </row>
    <row r="35" spans="1:13" ht="14.4" customHeight="1" x14ac:dyDescent="0.3">
      <c r="A35" s="177" t="s">
        <v>105</v>
      </c>
      <c r="B35" s="207">
        <v>680.5</v>
      </c>
      <c r="C35" s="207">
        <v>444</v>
      </c>
      <c r="D35" s="87">
        <f t="shared" si="0"/>
        <v>-236.5</v>
      </c>
      <c r="E35" s="88">
        <f t="shared" si="1"/>
        <v>0.65246142542248342</v>
      </c>
      <c r="F35" s="89">
        <v>92.46</v>
      </c>
      <c r="G35" s="378"/>
      <c r="H35" s="378"/>
      <c r="I35" s="80"/>
      <c r="J35" s="80"/>
      <c r="K35" s="80"/>
      <c r="L35" s="80"/>
      <c r="M35" s="80"/>
    </row>
    <row r="36" spans="1:13" ht="14.4" customHeight="1" x14ac:dyDescent="0.3">
      <c r="A36" s="177" t="s">
        <v>106</v>
      </c>
      <c r="B36" s="207">
        <v>1017.88</v>
      </c>
      <c r="C36" s="207">
        <v>667</v>
      </c>
      <c r="D36" s="87">
        <f t="shared" si="0"/>
        <v>-350.88</v>
      </c>
      <c r="E36" s="88">
        <f t="shared" si="1"/>
        <v>0.65528353047510512</v>
      </c>
      <c r="F36" s="89">
        <v>126.2</v>
      </c>
      <c r="G36" s="378"/>
      <c r="H36" s="378"/>
      <c r="I36" s="80"/>
      <c r="J36" s="80"/>
      <c r="K36" s="80"/>
      <c r="L36" s="80"/>
      <c r="M36" s="80"/>
    </row>
    <row r="37" spans="1:13" ht="14.4" customHeight="1" x14ac:dyDescent="0.3">
      <c r="A37" s="177" t="s">
        <v>107</v>
      </c>
      <c r="B37" s="207">
        <v>1504.2</v>
      </c>
      <c r="C37" s="207">
        <v>1140</v>
      </c>
      <c r="D37" s="87">
        <f t="shared" si="0"/>
        <v>-364.20000000000005</v>
      </c>
      <c r="E37" s="88">
        <f t="shared" si="1"/>
        <v>0.75787794176306345</v>
      </c>
      <c r="F37" s="89">
        <v>236.14</v>
      </c>
      <c r="G37" s="378"/>
      <c r="H37" s="378"/>
      <c r="I37" s="80"/>
      <c r="J37" s="80"/>
      <c r="K37" s="80"/>
      <c r="L37" s="80"/>
      <c r="M37" s="80"/>
    </row>
    <row r="38" spans="1:13" ht="14.4" customHeight="1" x14ac:dyDescent="0.3">
      <c r="A38" s="177" t="s">
        <v>108</v>
      </c>
      <c r="B38" s="207"/>
      <c r="C38" s="207"/>
      <c r="D38" s="87" t="str">
        <f t="shared" si="0"/>
        <v/>
      </c>
      <c r="E38" s="88" t="str">
        <f t="shared" si="1"/>
        <v/>
      </c>
      <c r="F38" s="89"/>
      <c r="G38" s="378"/>
      <c r="H38" s="378"/>
      <c r="I38" s="80"/>
      <c r="J38" s="80"/>
      <c r="K38" s="80"/>
      <c r="L38" s="80"/>
      <c r="M38" s="80"/>
    </row>
    <row r="39" spans="1:13" ht="14.4" customHeight="1" x14ac:dyDescent="0.3">
      <c r="A39" s="177" t="s">
        <v>109</v>
      </c>
      <c r="B39" s="207"/>
      <c r="C39" s="207"/>
      <c r="D39" s="87" t="str">
        <f t="shared" si="0"/>
        <v/>
      </c>
      <c r="E39" s="88" t="str">
        <f t="shared" si="1"/>
        <v/>
      </c>
      <c r="F39" s="89"/>
      <c r="G39" s="378"/>
      <c r="H39" s="378"/>
      <c r="I39" s="80"/>
      <c r="J39" s="80"/>
      <c r="K39" s="80"/>
      <c r="L39" s="80"/>
      <c r="M39" s="80"/>
    </row>
    <row r="40" spans="1:13" ht="14.4" customHeight="1" x14ac:dyDescent="0.3">
      <c r="A40" s="177" t="s">
        <v>110</v>
      </c>
      <c r="B40" s="207"/>
      <c r="C40" s="207"/>
      <c r="D40" s="87" t="str">
        <f t="shared" si="0"/>
        <v/>
      </c>
      <c r="E40" s="88" t="str">
        <f t="shared" si="1"/>
        <v/>
      </c>
      <c r="F40" s="89"/>
      <c r="G40" s="378"/>
      <c r="H40" s="378"/>
      <c r="I40" s="80"/>
      <c r="J40" s="80"/>
      <c r="K40" s="80"/>
      <c r="L40" s="80"/>
      <c r="M40" s="80"/>
    </row>
    <row r="41" spans="1:13" ht="14.4" customHeight="1" x14ac:dyDescent="0.3">
      <c r="A41" s="177" t="s">
        <v>111</v>
      </c>
      <c r="B41" s="207"/>
      <c r="C41" s="207"/>
      <c r="D41" s="87" t="str">
        <f t="shared" si="0"/>
        <v/>
      </c>
      <c r="E41" s="88" t="str">
        <f t="shared" si="1"/>
        <v/>
      </c>
      <c r="F41" s="89"/>
      <c r="G41" s="378"/>
      <c r="H41" s="378"/>
      <c r="I41" s="80"/>
      <c r="J41" s="80"/>
      <c r="K41" s="80"/>
      <c r="L41" s="80"/>
      <c r="M41" s="80"/>
    </row>
    <row r="42" spans="1:13" ht="14.4" customHeight="1" x14ac:dyDescent="0.3">
      <c r="A42" s="177" t="s">
        <v>112</v>
      </c>
      <c r="B42" s="207"/>
      <c r="C42" s="207"/>
      <c r="D42" s="87" t="str">
        <f t="shared" si="0"/>
        <v/>
      </c>
      <c r="E42" s="88" t="str">
        <f t="shared" si="1"/>
        <v/>
      </c>
      <c r="F42" s="89"/>
      <c r="G42" s="378"/>
      <c r="H42" s="378"/>
      <c r="I42" s="80"/>
      <c r="J42" s="80"/>
      <c r="K42" s="80"/>
      <c r="L42" s="80"/>
      <c r="M42" s="80"/>
    </row>
    <row r="43" spans="1:13" ht="14.4" customHeight="1" x14ac:dyDescent="0.3">
      <c r="A43" s="177" t="s">
        <v>113</v>
      </c>
      <c r="B43" s="207"/>
      <c r="C43" s="207"/>
      <c r="D43" s="87" t="str">
        <f t="shared" si="0"/>
        <v/>
      </c>
      <c r="E43" s="88" t="str">
        <f t="shared" si="1"/>
        <v/>
      </c>
      <c r="F43" s="89"/>
      <c r="G43" s="378"/>
      <c r="H43" s="378"/>
      <c r="I43" s="80"/>
      <c r="J43" s="80"/>
      <c r="K43" s="80"/>
      <c r="L43" s="80"/>
      <c r="M43" s="80"/>
    </row>
    <row r="44" spans="1:13" ht="14.4" customHeight="1" x14ac:dyDescent="0.3">
      <c r="A44" s="177" t="s">
        <v>114</v>
      </c>
      <c r="B44" s="207"/>
      <c r="C44" s="207"/>
      <c r="D44" s="87" t="str">
        <f t="shared" si="0"/>
        <v/>
      </c>
      <c r="E44" s="88" t="str">
        <f t="shared" si="1"/>
        <v/>
      </c>
      <c r="F44" s="89"/>
      <c r="G44" s="378"/>
      <c r="H44" s="378"/>
      <c r="I44" s="80"/>
      <c r="J44" s="80"/>
      <c r="K44" s="80"/>
      <c r="L44" s="80"/>
      <c r="M44" s="80"/>
    </row>
    <row r="45" spans="1:13" ht="14.4" customHeight="1" thickBot="1" x14ac:dyDescent="0.35">
      <c r="A45" s="178" t="s">
        <v>117</v>
      </c>
      <c r="B45" s="208"/>
      <c r="C45" s="208"/>
      <c r="D45" s="90" t="str">
        <f t="shared" si="0"/>
        <v/>
      </c>
      <c r="E45" s="91" t="str">
        <f t="shared" si="1"/>
        <v/>
      </c>
      <c r="F45" s="92"/>
      <c r="G45" s="378"/>
      <c r="H45" s="378"/>
      <c r="I45" s="80"/>
      <c r="J45" s="80"/>
      <c r="K45" s="80"/>
      <c r="L45" s="80"/>
      <c r="M45" s="80"/>
    </row>
  </sheetData>
  <mergeCells count="2">
    <mergeCell ref="A1:M1"/>
    <mergeCell ref="B31:E31"/>
  </mergeCells>
  <conditionalFormatting sqref="E33:E45">
    <cfRule type="cellIs" dxfId="14" priority="2" operator="greaterThan">
      <formula>1</formula>
    </cfRule>
  </conditionalFormatting>
  <conditionalFormatting sqref="F33:F45">
    <cfRule type="cellIs" dxfId="13" priority="1" operator="greaterThan">
      <formula>0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scale="77" fitToHeight="0" orientation="portrait" r:id="rId1"/>
  <headerFooter alignWithMargins="0"/>
  <ignoredErrors>
    <ignoredError sqref="A45" twoDigitTextYear="1"/>
  </ignoredErrors>
  <drawing r:id="rId2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4">
    <tabColor theme="0" tint="-0.249977111117893"/>
    <pageSetUpPr fitToPage="1"/>
  </sheetPr>
  <dimension ref="A1:W71"/>
  <sheetViews>
    <sheetView showGridLines="0" showRowColHeaders="0" zoomScaleNormal="100" workbookViewId="0">
      <pane ySplit="4" topLeftCell="A5" activePane="bottomLeft" state="frozen"/>
      <selection sqref="A1:N1"/>
      <selection pane="bottomLeft" sqref="A1:W1"/>
    </sheetView>
  </sheetViews>
  <sheetFormatPr defaultRowHeight="14.4" customHeight="1" x14ac:dyDescent="0.3"/>
  <cols>
    <col min="1" max="1" width="6.109375" style="96" customWidth="1"/>
    <col min="2" max="2" width="6.5546875" style="220" customWidth="1"/>
    <col min="3" max="3" width="5.88671875" style="220" customWidth="1"/>
    <col min="4" max="4" width="7.6640625" style="220" customWidth="1"/>
    <col min="5" max="5" width="6.5546875" style="99" customWidth="1"/>
    <col min="6" max="6" width="5.88671875" style="99" customWidth="1"/>
    <col min="7" max="7" width="7.6640625" style="99" customWidth="1"/>
    <col min="8" max="8" width="6.6640625" style="99" bestFit="1" customWidth="1"/>
    <col min="9" max="9" width="6" style="99" bestFit="1" customWidth="1"/>
    <col min="10" max="10" width="7.77734375" style="99" bestFit="1" customWidth="1"/>
    <col min="11" max="11" width="9.109375" style="99" bestFit="1" customWidth="1"/>
    <col min="12" max="12" width="3.88671875" style="99" bestFit="1" customWidth="1"/>
    <col min="13" max="13" width="4.33203125" style="99" bestFit="1" customWidth="1"/>
    <col min="14" max="14" width="5.44140625" style="99" bestFit="1" customWidth="1"/>
    <col min="15" max="15" width="4" style="99" bestFit="1" customWidth="1"/>
    <col min="16" max="16" width="55.44140625" style="93" customWidth="1"/>
    <col min="17" max="17" width="7.88671875" style="97" bestFit="1" customWidth="1"/>
    <col min="18" max="18" width="6" style="97" bestFit="1" customWidth="1"/>
    <col min="19" max="19" width="9.5546875" style="220" customWidth="1"/>
    <col min="20" max="20" width="9.6640625" style="220" customWidth="1"/>
    <col min="21" max="21" width="7.6640625" style="220" bestFit="1" customWidth="1"/>
    <col min="22" max="22" width="6.109375" style="100" bestFit="1" customWidth="1"/>
    <col min="23" max="23" width="17.21875" style="98" bestFit="1" customWidth="1"/>
    <col min="24" max="16384" width="8.88671875" style="93"/>
  </cols>
  <sheetData>
    <row r="1" spans="1:23" s="324" customFormat="1" ht="18.600000000000001" customHeight="1" thickBot="1" x14ac:dyDescent="0.4">
      <c r="A1" s="521" t="s">
        <v>5056</v>
      </c>
      <c r="B1" s="459"/>
      <c r="C1" s="459"/>
      <c r="D1" s="459"/>
      <c r="E1" s="459"/>
      <c r="F1" s="459"/>
      <c r="G1" s="459"/>
      <c r="H1" s="459"/>
      <c r="I1" s="459"/>
      <c r="J1" s="459"/>
      <c r="K1" s="459"/>
      <c r="L1" s="459"/>
      <c r="M1" s="459"/>
      <c r="N1" s="459"/>
      <c r="O1" s="459"/>
      <c r="P1" s="459"/>
      <c r="Q1" s="459"/>
      <c r="R1" s="459"/>
      <c r="S1" s="459"/>
      <c r="T1" s="459"/>
      <c r="U1" s="459"/>
      <c r="V1" s="459"/>
      <c r="W1" s="459"/>
    </row>
    <row r="2" spans="1:23" ht="14.4" customHeight="1" thickBot="1" x14ac:dyDescent="0.35">
      <c r="A2" s="386" t="s">
        <v>321</v>
      </c>
      <c r="B2" s="380"/>
      <c r="C2" s="380"/>
      <c r="D2" s="380"/>
      <c r="E2" s="380"/>
      <c r="F2" s="380"/>
      <c r="G2" s="380"/>
      <c r="H2" s="380"/>
      <c r="I2" s="380"/>
      <c r="J2" s="380"/>
      <c r="K2" s="380"/>
      <c r="L2" s="380"/>
      <c r="M2" s="380"/>
      <c r="N2" s="380"/>
      <c r="O2" s="380"/>
      <c r="P2" s="379"/>
      <c r="Q2" s="379"/>
      <c r="R2" s="379"/>
      <c r="S2" s="380"/>
      <c r="T2" s="380"/>
      <c r="U2" s="380"/>
      <c r="V2" s="379"/>
      <c r="W2" s="381"/>
    </row>
    <row r="3" spans="1:23" s="94" customFormat="1" ht="14.4" customHeight="1" x14ac:dyDescent="0.3">
      <c r="A3" s="571" t="s">
        <v>75</v>
      </c>
      <c r="B3" s="572">
        <v>2012</v>
      </c>
      <c r="C3" s="573"/>
      <c r="D3" s="574"/>
      <c r="E3" s="572">
        <v>2013</v>
      </c>
      <c r="F3" s="573"/>
      <c r="G3" s="574"/>
      <c r="H3" s="572">
        <v>2014</v>
      </c>
      <c r="I3" s="573"/>
      <c r="J3" s="574"/>
      <c r="K3" s="575" t="s">
        <v>76</v>
      </c>
      <c r="L3" s="567" t="s">
        <v>77</v>
      </c>
      <c r="M3" s="567" t="s">
        <v>78</v>
      </c>
      <c r="N3" s="567" t="s">
        <v>79</v>
      </c>
      <c r="O3" s="273" t="s">
        <v>80</v>
      </c>
      <c r="P3" s="568" t="s">
        <v>81</v>
      </c>
      <c r="Q3" s="569" t="s">
        <v>82</v>
      </c>
      <c r="R3" s="570"/>
      <c r="S3" s="565" t="s">
        <v>83</v>
      </c>
      <c r="T3" s="566"/>
      <c r="U3" s="566"/>
      <c r="V3" s="566"/>
      <c r="W3" s="221" t="s">
        <v>83</v>
      </c>
    </row>
    <row r="4" spans="1:23" s="95" customFormat="1" ht="14.4" customHeight="1" thickBot="1" x14ac:dyDescent="0.35">
      <c r="A4" s="805"/>
      <c r="B4" s="806" t="s">
        <v>84</v>
      </c>
      <c r="C4" s="807" t="s">
        <v>72</v>
      </c>
      <c r="D4" s="808" t="s">
        <v>85</v>
      </c>
      <c r="E4" s="806" t="s">
        <v>84</v>
      </c>
      <c r="F4" s="807" t="s">
        <v>72</v>
      </c>
      <c r="G4" s="808" t="s">
        <v>85</v>
      </c>
      <c r="H4" s="806" t="s">
        <v>84</v>
      </c>
      <c r="I4" s="807" t="s">
        <v>72</v>
      </c>
      <c r="J4" s="808" t="s">
        <v>85</v>
      </c>
      <c r="K4" s="809"/>
      <c r="L4" s="810"/>
      <c r="M4" s="810"/>
      <c r="N4" s="810"/>
      <c r="O4" s="811"/>
      <c r="P4" s="812"/>
      <c r="Q4" s="813" t="s">
        <v>73</v>
      </c>
      <c r="R4" s="814" t="s">
        <v>72</v>
      </c>
      <c r="S4" s="815" t="s">
        <v>86</v>
      </c>
      <c r="T4" s="816" t="s">
        <v>87</v>
      </c>
      <c r="U4" s="816" t="s">
        <v>88</v>
      </c>
      <c r="V4" s="817" t="s">
        <v>2</v>
      </c>
      <c r="W4" s="818" t="s">
        <v>89</v>
      </c>
    </row>
    <row r="5" spans="1:23" ht="14.4" customHeight="1" x14ac:dyDescent="0.3">
      <c r="A5" s="848" t="s">
        <v>4921</v>
      </c>
      <c r="B5" s="404">
        <v>2</v>
      </c>
      <c r="C5" s="819">
        <v>39.369999999999997</v>
      </c>
      <c r="D5" s="820">
        <v>23</v>
      </c>
      <c r="E5" s="821">
        <v>2</v>
      </c>
      <c r="F5" s="822">
        <v>32.01</v>
      </c>
      <c r="G5" s="823">
        <v>27.5</v>
      </c>
      <c r="H5" s="824">
        <v>4</v>
      </c>
      <c r="I5" s="825">
        <v>67.83</v>
      </c>
      <c r="J5" s="826">
        <v>23.8</v>
      </c>
      <c r="K5" s="827">
        <v>16.36</v>
      </c>
      <c r="L5" s="828">
        <v>10</v>
      </c>
      <c r="M5" s="828">
        <v>88</v>
      </c>
      <c r="N5" s="829">
        <v>29.39</v>
      </c>
      <c r="O5" s="828" t="s">
        <v>4922</v>
      </c>
      <c r="P5" s="830" t="s">
        <v>4923</v>
      </c>
      <c r="Q5" s="831">
        <f>H5-B5</f>
        <v>2</v>
      </c>
      <c r="R5" s="831">
        <f>I5-C5</f>
        <v>28.46</v>
      </c>
      <c r="S5" s="404">
        <f>IF(H5=0,"",H5*N5)</f>
        <v>117.56</v>
      </c>
      <c r="T5" s="404">
        <f>IF(H5=0,"",H5*J5)</f>
        <v>95.2</v>
      </c>
      <c r="U5" s="404">
        <f>IF(H5=0,"",T5-S5)</f>
        <v>-22.36</v>
      </c>
      <c r="V5" s="832">
        <f>IF(H5=0,"",T5/S5)</f>
        <v>0.80979925144607012</v>
      </c>
      <c r="W5" s="833">
        <v>13</v>
      </c>
    </row>
    <row r="6" spans="1:23" ht="14.4" customHeight="1" x14ac:dyDescent="0.3">
      <c r="A6" s="849" t="s">
        <v>4924</v>
      </c>
      <c r="B6" s="798">
        <v>11</v>
      </c>
      <c r="C6" s="799">
        <v>93.6</v>
      </c>
      <c r="D6" s="800">
        <v>10.7</v>
      </c>
      <c r="E6" s="781">
        <v>11</v>
      </c>
      <c r="F6" s="782">
        <v>94.16</v>
      </c>
      <c r="G6" s="783">
        <v>13.6</v>
      </c>
      <c r="H6" s="785">
        <v>7</v>
      </c>
      <c r="I6" s="779">
        <v>59.07</v>
      </c>
      <c r="J6" s="780">
        <v>9.3000000000000007</v>
      </c>
      <c r="K6" s="784">
        <v>8.6300000000000008</v>
      </c>
      <c r="L6" s="785">
        <v>6</v>
      </c>
      <c r="M6" s="785">
        <v>56</v>
      </c>
      <c r="N6" s="786">
        <v>18.63</v>
      </c>
      <c r="O6" s="785" t="s">
        <v>4922</v>
      </c>
      <c r="P6" s="802" t="s">
        <v>4925</v>
      </c>
      <c r="Q6" s="787">
        <f t="shared" ref="Q6:R69" si="0">H6-B6</f>
        <v>-4</v>
      </c>
      <c r="R6" s="787">
        <f t="shared" si="0"/>
        <v>-34.529999999999994</v>
      </c>
      <c r="S6" s="798">
        <f t="shared" ref="S6:S69" si="1">IF(H6=0,"",H6*N6)</f>
        <v>130.41</v>
      </c>
      <c r="T6" s="798">
        <f t="shared" ref="T6:T69" si="2">IF(H6=0,"",H6*J6)</f>
        <v>65.100000000000009</v>
      </c>
      <c r="U6" s="798">
        <f t="shared" ref="U6:U69" si="3">IF(H6=0,"",T6-S6)</f>
        <v>-65.309999999999988</v>
      </c>
      <c r="V6" s="803">
        <f t="shared" ref="V6:V69" si="4">IF(H6=0,"",T6/S6)</f>
        <v>0.49919484702093403</v>
      </c>
      <c r="W6" s="788"/>
    </row>
    <row r="7" spans="1:23" ht="14.4" customHeight="1" x14ac:dyDescent="0.3">
      <c r="A7" s="849" t="s">
        <v>4926</v>
      </c>
      <c r="B7" s="798"/>
      <c r="C7" s="799"/>
      <c r="D7" s="800"/>
      <c r="E7" s="801">
        <v>3</v>
      </c>
      <c r="F7" s="779">
        <v>109.43</v>
      </c>
      <c r="G7" s="780">
        <v>38.299999999999997</v>
      </c>
      <c r="H7" s="781">
        <v>4</v>
      </c>
      <c r="I7" s="782">
        <v>160.04</v>
      </c>
      <c r="J7" s="789">
        <v>55.3</v>
      </c>
      <c r="K7" s="784">
        <v>40.01</v>
      </c>
      <c r="L7" s="785">
        <v>17</v>
      </c>
      <c r="M7" s="785">
        <v>154</v>
      </c>
      <c r="N7" s="786">
        <v>51.21</v>
      </c>
      <c r="O7" s="785" t="s">
        <v>4922</v>
      </c>
      <c r="P7" s="802" t="s">
        <v>4927</v>
      </c>
      <c r="Q7" s="787">
        <f t="shared" si="0"/>
        <v>4</v>
      </c>
      <c r="R7" s="787">
        <f t="shared" si="0"/>
        <v>160.04</v>
      </c>
      <c r="S7" s="798">
        <f t="shared" si="1"/>
        <v>204.84</v>
      </c>
      <c r="T7" s="798">
        <f t="shared" si="2"/>
        <v>221.2</v>
      </c>
      <c r="U7" s="798">
        <f t="shared" si="3"/>
        <v>16.359999999999985</v>
      </c>
      <c r="V7" s="803">
        <f t="shared" si="4"/>
        <v>1.0798672134348759</v>
      </c>
      <c r="W7" s="788">
        <v>56</v>
      </c>
    </row>
    <row r="8" spans="1:23" ht="14.4" customHeight="1" x14ac:dyDescent="0.3">
      <c r="A8" s="849" t="s">
        <v>4928</v>
      </c>
      <c r="B8" s="798"/>
      <c r="C8" s="799"/>
      <c r="D8" s="800"/>
      <c r="E8" s="781">
        <v>1</v>
      </c>
      <c r="F8" s="782">
        <v>27.82</v>
      </c>
      <c r="G8" s="783">
        <v>35</v>
      </c>
      <c r="H8" s="785"/>
      <c r="I8" s="779"/>
      <c r="J8" s="780"/>
      <c r="K8" s="784">
        <v>27.65</v>
      </c>
      <c r="L8" s="785">
        <v>15</v>
      </c>
      <c r="M8" s="785">
        <v>138</v>
      </c>
      <c r="N8" s="786">
        <v>45.96</v>
      </c>
      <c r="O8" s="785" t="s">
        <v>4922</v>
      </c>
      <c r="P8" s="802" t="s">
        <v>4929</v>
      </c>
      <c r="Q8" s="787">
        <f t="shared" si="0"/>
        <v>0</v>
      </c>
      <c r="R8" s="787">
        <f t="shared" si="0"/>
        <v>0</v>
      </c>
      <c r="S8" s="798" t="str">
        <f t="shared" si="1"/>
        <v/>
      </c>
      <c r="T8" s="798" t="str">
        <f t="shared" si="2"/>
        <v/>
      </c>
      <c r="U8" s="798" t="str">
        <f t="shared" si="3"/>
        <v/>
      </c>
      <c r="V8" s="803" t="str">
        <f t="shared" si="4"/>
        <v/>
      </c>
      <c r="W8" s="788"/>
    </row>
    <row r="9" spans="1:23" ht="14.4" customHeight="1" x14ac:dyDescent="0.3">
      <c r="A9" s="849" t="s">
        <v>4930</v>
      </c>
      <c r="B9" s="798">
        <v>1</v>
      </c>
      <c r="C9" s="799">
        <v>20.07</v>
      </c>
      <c r="D9" s="800">
        <v>21</v>
      </c>
      <c r="E9" s="801"/>
      <c r="F9" s="779"/>
      <c r="G9" s="780"/>
      <c r="H9" s="781"/>
      <c r="I9" s="782"/>
      <c r="J9" s="783"/>
      <c r="K9" s="784">
        <v>20.07</v>
      </c>
      <c r="L9" s="785">
        <v>9</v>
      </c>
      <c r="M9" s="785">
        <v>79</v>
      </c>
      <c r="N9" s="786">
        <v>26.18</v>
      </c>
      <c r="O9" s="785" t="s">
        <v>4922</v>
      </c>
      <c r="P9" s="802" t="s">
        <v>4931</v>
      </c>
      <c r="Q9" s="787">
        <f t="shared" si="0"/>
        <v>-1</v>
      </c>
      <c r="R9" s="787">
        <f t="shared" si="0"/>
        <v>-20.07</v>
      </c>
      <c r="S9" s="798" t="str">
        <f t="shared" si="1"/>
        <v/>
      </c>
      <c r="T9" s="798" t="str">
        <f t="shared" si="2"/>
        <v/>
      </c>
      <c r="U9" s="798" t="str">
        <f t="shared" si="3"/>
        <v/>
      </c>
      <c r="V9" s="803" t="str">
        <f t="shared" si="4"/>
        <v/>
      </c>
      <c r="W9" s="788"/>
    </row>
    <row r="10" spans="1:23" ht="14.4" customHeight="1" x14ac:dyDescent="0.3">
      <c r="A10" s="850" t="s">
        <v>4932</v>
      </c>
      <c r="B10" s="834">
        <v>9</v>
      </c>
      <c r="C10" s="835">
        <v>213.88</v>
      </c>
      <c r="D10" s="804">
        <v>26.7</v>
      </c>
      <c r="E10" s="836">
        <v>9</v>
      </c>
      <c r="F10" s="837">
        <v>197.95</v>
      </c>
      <c r="G10" s="790">
        <v>26.1</v>
      </c>
      <c r="H10" s="838">
        <v>10</v>
      </c>
      <c r="I10" s="839">
        <v>239.51</v>
      </c>
      <c r="J10" s="791">
        <v>33.799999999999997</v>
      </c>
      <c r="K10" s="840">
        <v>23.62</v>
      </c>
      <c r="L10" s="841">
        <v>11</v>
      </c>
      <c r="M10" s="841">
        <v>99</v>
      </c>
      <c r="N10" s="842">
        <v>32.9</v>
      </c>
      <c r="O10" s="841" t="s">
        <v>4922</v>
      </c>
      <c r="P10" s="843" t="s">
        <v>4933</v>
      </c>
      <c r="Q10" s="844">
        <f t="shared" si="0"/>
        <v>1</v>
      </c>
      <c r="R10" s="844">
        <f t="shared" si="0"/>
        <v>25.629999999999995</v>
      </c>
      <c r="S10" s="834">
        <f t="shared" si="1"/>
        <v>329</v>
      </c>
      <c r="T10" s="834">
        <f t="shared" si="2"/>
        <v>338</v>
      </c>
      <c r="U10" s="834">
        <f t="shared" si="3"/>
        <v>9</v>
      </c>
      <c r="V10" s="845">
        <f t="shared" si="4"/>
        <v>1.027355623100304</v>
      </c>
      <c r="W10" s="792">
        <v>85</v>
      </c>
    </row>
    <row r="11" spans="1:23" ht="14.4" customHeight="1" x14ac:dyDescent="0.3">
      <c r="A11" s="849" t="s">
        <v>4934</v>
      </c>
      <c r="B11" s="793"/>
      <c r="C11" s="794"/>
      <c r="D11" s="795"/>
      <c r="E11" s="801">
        <v>1</v>
      </c>
      <c r="F11" s="779">
        <v>10.220000000000001</v>
      </c>
      <c r="G11" s="780">
        <v>31</v>
      </c>
      <c r="H11" s="785"/>
      <c r="I11" s="779"/>
      <c r="J11" s="780"/>
      <c r="K11" s="784">
        <v>10.28</v>
      </c>
      <c r="L11" s="785">
        <v>6</v>
      </c>
      <c r="M11" s="785">
        <v>54</v>
      </c>
      <c r="N11" s="786">
        <v>17.899999999999999</v>
      </c>
      <c r="O11" s="785" t="s">
        <v>4922</v>
      </c>
      <c r="P11" s="802" t="s">
        <v>4935</v>
      </c>
      <c r="Q11" s="787">
        <f t="shared" si="0"/>
        <v>0</v>
      </c>
      <c r="R11" s="787">
        <f t="shared" si="0"/>
        <v>0</v>
      </c>
      <c r="S11" s="798" t="str">
        <f t="shared" si="1"/>
        <v/>
      </c>
      <c r="T11" s="798" t="str">
        <f t="shared" si="2"/>
        <v/>
      </c>
      <c r="U11" s="798" t="str">
        <f t="shared" si="3"/>
        <v/>
      </c>
      <c r="V11" s="803" t="str">
        <f t="shared" si="4"/>
        <v/>
      </c>
      <c r="W11" s="788"/>
    </row>
    <row r="12" spans="1:23" ht="14.4" customHeight="1" x14ac:dyDescent="0.3">
      <c r="A12" s="850" t="s">
        <v>4936</v>
      </c>
      <c r="B12" s="846">
        <v>13</v>
      </c>
      <c r="C12" s="847">
        <v>177.96</v>
      </c>
      <c r="D12" s="796">
        <v>20.8</v>
      </c>
      <c r="E12" s="836">
        <v>6</v>
      </c>
      <c r="F12" s="837">
        <v>79.98</v>
      </c>
      <c r="G12" s="790">
        <v>13.3</v>
      </c>
      <c r="H12" s="841">
        <v>6</v>
      </c>
      <c r="I12" s="837">
        <v>80.22</v>
      </c>
      <c r="J12" s="790">
        <v>17.8</v>
      </c>
      <c r="K12" s="840">
        <v>13.53</v>
      </c>
      <c r="L12" s="841">
        <v>8</v>
      </c>
      <c r="M12" s="841">
        <v>70</v>
      </c>
      <c r="N12" s="842">
        <v>23.48</v>
      </c>
      <c r="O12" s="841" t="s">
        <v>4922</v>
      </c>
      <c r="P12" s="843" t="s">
        <v>4937</v>
      </c>
      <c r="Q12" s="844">
        <f t="shared" si="0"/>
        <v>-7</v>
      </c>
      <c r="R12" s="844">
        <f t="shared" si="0"/>
        <v>-97.740000000000009</v>
      </c>
      <c r="S12" s="834">
        <f t="shared" si="1"/>
        <v>140.88</v>
      </c>
      <c r="T12" s="834">
        <f t="shared" si="2"/>
        <v>106.80000000000001</v>
      </c>
      <c r="U12" s="834">
        <f t="shared" si="3"/>
        <v>-34.079999999999984</v>
      </c>
      <c r="V12" s="845">
        <f t="shared" si="4"/>
        <v>0.75809199318569009</v>
      </c>
      <c r="W12" s="792">
        <v>14</v>
      </c>
    </row>
    <row r="13" spans="1:23" ht="14.4" customHeight="1" x14ac:dyDescent="0.3">
      <c r="A13" s="849" t="s">
        <v>4938</v>
      </c>
      <c r="B13" s="798"/>
      <c r="C13" s="799"/>
      <c r="D13" s="800"/>
      <c r="E13" s="801">
        <v>1</v>
      </c>
      <c r="F13" s="779">
        <v>2.48</v>
      </c>
      <c r="G13" s="780">
        <v>1</v>
      </c>
      <c r="H13" s="781">
        <v>2</v>
      </c>
      <c r="I13" s="782">
        <v>15.86</v>
      </c>
      <c r="J13" s="783">
        <v>5</v>
      </c>
      <c r="K13" s="784">
        <v>6.4</v>
      </c>
      <c r="L13" s="785">
        <v>6</v>
      </c>
      <c r="M13" s="785">
        <v>52</v>
      </c>
      <c r="N13" s="786">
        <v>17.18</v>
      </c>
      <c r="O13" s="785" t="s">
        <v>4922</v>
      </c>
      <c r="P13" s="802" t="s">
        <v>4939</v>
      </c>
      <c r="Q13" s="787">
        <f t="shared" si="0"/>
        <v>2</v>
      </c>
      <c r="R13" s="787">
        <f t="shared" si="0"/>
        <v>15.86</v>
      </c>
      <c r="S13" s="798">
        <f t="shared" si="1"/>
        <v>34.36</v>
      </c>
      <c r="T13" s="798">
        <f t="shared" si="2"/>
        <v>10</v>
      </c>
      <c r="U13" s="798">
        <f t="shared" si="3"/>
        <v>-24.36</v>
      </c>
      <c r="V13" s="803">
        <f t="shared" si="4"/>
        <v>0.29103608847497092</v>
      </c>
      <c r="W13" s="788"/>
    </row>
    <row r="14" spans="1:23" ht="14.4" customHeight="1" x14ac:dyDescent="0.3">
      <c r="A14" s="849" t="s">
        <v>4940</v>
      </c>
      <c r="B14" s="793">
        <v>1</v>
      </c>
      <c r="C14" s="794">
        <v>0.5</v>
      </c>
      <c r="D14" s="795">
        <v>2</v>
      </c>
      <c r="E14" s="801"/>
      <c r="F14" s="779"/>
      <c r="G14" s="780"/>
      <c r="H14" s="785"/>
      <c r="I14" s="779"/>
      <c r="J14" s="780"/>
      <c r="K14" s="784">
        <v>1.1299999999999999</v>
      </c>
      <c r="L14" s="785">
        <v>5</v>
      </c>
      <c r="M14" s="785">
        <v>41</v>
      </c>
      <c r="N14" s="786">
        <v>13.51</v>
      </c>
      <c r="O14" s="785" t="s">
        <v>4922</v>
      </c>
      <c r="P14" s="802" t="s">
        <v>4941</v>
      </c>
      <c r="Q14" s="787">
        <f t="shared" si="0"/>
        <v>-1</v>
      </c>
      <c r="R14" s="787">
        <f t="shared" si="0"/>
        <v>-0.5</v>
      </c>
      <c r="S14" s="798" t="str">
        <f t="shared" si="1"/>
        <v/>
      </c>
      <c r="T14" s="798" t="str">
        <f t="shared" si="2"/>
        <v/>
      </c>
      <c r="U14" s="798" t="str">
        <f t="shared" si="3"/>
        <v/>
      </c>
      <c r="V14" s="803" t="str">
        <f t="shared" si="4"/>
        <v/>
      </c>
      <c r="W14" s="788"/>
    </row>
    <row r="15" spans="1:23" ht="14.4" customHeight="1" x14ac:dyDescent="0.3">
      <c r="A15" s="849" t="s">
        <v>4942</v>
      </c>
      <c r="B15" s="793">
        <v>1</v>
      </c>
      <c r="C15" s="794">
        <v>0.36</v>
      </c>
      <c r="D15" s="795">
        <v>1</v>
      </c>
      <c r="E15" s="801"/>
      <c r="F15" s="779"/>
      <c r="G15" s="780"/>
      <c r="H15" s="785"/>
      <c r="I15" s="779"/>
      <c r="J15" s="780"/>
      <c r="K15" s="784">
        <v>1.35</v>
      </c>
      <c r="L15" s="785">
        <v>4</v>
      </c>
      <c r="M15" s="785">
        <v>34</v>
      </c>
      <c r="N15" s="786">
        <v>11.23</v>
      </c>
      <c r="O15" s="785" t="s">
        <v>4922</v>
      </c>
      <c r="P15" s="802" t="s">
        <v>4943</v>
      </c>
      <c r="Q15" s="787">
        <f t="shared" si="0"/>
        <v>-1</v>
      </c>
      <c r="R15" s="787">
        <f t="shared" si="0"/>
        <v>-0.36</v>
      </c>
      <c r="S15" s="798" t="str">
        <f t="shared" si="1"/>
        <v/>
      </c>
      <c r="T15" s="798" t="str">
        <f t="shared" si="2"/>
        <v/>
      </c>
      <c r="U15" s="798" t="str">
        <f t="shared" si="3"/>
        <v/>
      </c>
      <c r="V15" s="803" t="str">
        <f t="shared" si="4"/>
        <v/>
      </c>
      <c r="W15" s="788"/>
    </row>
    <row r="16" spans="1:23" ht="14.4" customHeight="1" x14ac:dyDescent="0.3">
      <c r="A16" s="850" t="s">
        <v>4944</v>
      </c>
      <c r="B16" s="846">
        <v>4</v>
      </c>
      <c r="C16" s="847">
        <v>3.08</v>
      </c>
      <c r="D16" s="796">
        <v>1.5</v>
      </c>
      <c r="E16" s="836">
        <v>3</v>
      </c>
      <c r="F16" s="837">
        <v>1.77</v>
      </c>
      <c r="G16" s="790">
        <v>1</v>
      </c>
      <c r="H16" s="841">
        <v>4</v>
      </c>
      <c r="I16" s="837">
        <v>7.19</v>
      </c>
      <c r="J16" s="790">
        <v>6.5</v>
      </c>
      <c r="K16" s="840">
        <v>2.39</v>
      </c>
      <c r="L16" s="841">
        <v>5</v>
      </c>
      <c r="M16" s="841">
        <v>48</v>
      </c>
      <c r="N16" s="842">
        <v>16.010000000000002</v>
      </c>
      <c r="O16" s="841" t="s">
        <v>4922</v>
      </c>
      <c r="P16" s="843" t="s">
        <v>4945</v>
      </c>
      <c r="Q16" s="844">
        <f t="shared" si="0"/>
        <v>0</v>
      </c>
      <c r="R16" s="844">
        <f t="shared" si="0"/>
        <v>4.1100000000000003</v>
      </c>
      <c r="S16" s="834">
        <f t="shared" si="1"/>
        <v>64.040000000000006</v>
      </c>
      <c r="T16" s="834">
        <f t="shared" si="2"/>
        <v>26</v>
      </c>
      <c r="U16" s="834">
        <f t="shared" si="3"/>
        <v>-38.040000000000006</v>
      </c>
      <c r="V16" s="845">
        <f t="shared" si="4"/>
        <v>0.40599625234228603</v>
      </c>
      <c r="W16" s="792">
        <v>1</v>
      </c>
    </row>
    <row r="17" spans="1:23" ht="14.4" customHeight="1" x14ac:dyDescent="0.3">
      <c r="A17" s="849" t="s">
        <v>4946</v>
      </c>
      <c r="B17" s="793">
        <v>1</v>
      </c>
      <c r="C17" s="794">
        <v>0.95</v>
      </c>
      <c r="D17" s="795">
        <v>3</v>
      </c>
      <c r="E17" s="801"/>
      <c r="F17" s="779"/>
      <c r="G17" s="780"/>
      <c r="H17" s="785"/>
      <c r="I17" s="779"/>
      <c r="J17" s="780"/>
      <c r="K17" s="784">
        <v>1.53</v>
      </c>
      <c r="L17" s="785">
        <v>5</v>
      </c>
      <c r="M17" s="785">
        <v>44</v>
      </c>
      <c r="N17" s="786">
        <v>14.57</v>
      </c>
      <c r="O17" s="785" t="s">
        <v>4922</v>
      </c>
      <c r="P17" s="802" t="s">
        <v>4947</v>
      </c>
      <c r="Q17" s="787">
        <f t="shared" si="0"/>
        <v>-1</v>
      </c>
      <c r="R17" s="787">
        <f t="shared" si="0"/>
        <v>-0.95</v>
      </c>
      <c r="S17" s="798" t="str">
        <f t="shared" si="1"/>
        <v/>
      </c>
      <c r="T17" s="798" t="str">
        <f t="shared" si="2"/>
        <v/>
      </c>
      <c r="U17" s="798" t="str">
        <f t="shared" si="3"/>
        <v/>
      </c>
      <c r="V17" s="803" t="str">
        <f t="shared" si="4"/>
        <v/>
      </c>
      <c r="W17" s="788"/>
    </row>
    <row r="18" spans="1:23" ht="14.4" customHeight="1" x14ac:dyDescent="0.3">
      <c r="A18" s="849" t="s">
        <v>4948</v>
      </c>
      <c r="B18" s="793">
        <v>2</v>
      </c>
      <c r="C18" s="794">
        <v>2.0099999999999998</v>
      </c>
      <c r="D18" s="795">
        <v>4</v>
      </c>
      <c r="E18" s="801"/>
      <c r="F18" s="779"/>
      <c r="G18" s="780"/>
      <c r="H18" s="785"/>
      <c r="I18" s="779"/>
      <c r="J18" s="780"/>
      <c r="K18" s="784">
        <v>1.1399999999999999</v>
      </c>
      <c r="L18" s="785">
        <v>4</v>
      </c>
      <c r="M18" s="785">
        <v>38</v>
      </c>
      <c r="N18" s="786">
        <v>12.53</v>
      </c>
      <c r="O18" s="785" t="s">
        <v>4922</v>
      </c>
      <c r="P18" s="802" t="s">
        <v>4949</v>
      </c>
      <c r="Q18" s="787">
        <f t="shared" si="0"/>
        <v>-2</v>
      </c>
      <c r="R18" s="787">
        <f t="shared" si="0"/>
        <v>-2.0099999999999998</v>
      </c>
      <c r="S18" s="798" t="str">
        <f t="shared" si="1"/>
        <v/>
      </c>
      <c r="T18" s="798" t="str">
        <f t="shared" si="2"/>
        <v/>
      </c>
      <c r="U18" s="798" t="str">
        <f t="shared" si="3"/>
        <v/>
      </c>
      <c r="V18" s="803" t="str">
        <f t="shared" si="4"/>
        <v/>
      </c>
      <c r="W18" s="788"/>
    </row>
    <row r="19" spans="1:23" ht="14.4" customHeight="1" x14ac:dyDescent="0.3">
      <c r="A19" s="849" t="s">
        <v>4950</v>
      </c>
      <c r="B19" s="798">
        <v>1</v>
      </c>
      <c r="C19" s="799">
        <v>0.75</v>
      </c>
      <c r="D19" s="800">
        <v>3</v>
      </c>
      <c r="E19" s="781"/>
      <c r="F19" s="782"/>
      <c r="G19" s="783"/>
      <c r="H19" s="785"/>
      <c r="I19" s="779"/>
      <c r="J19" s="780"/>
      <c r="K19" s="784">
        <v>0.44</v>
      </c>
      <c r="L19" s="785">
        <v>1</v>
      </c>
      <c r="M19" s="785">
        <v>13</v>
      </c>
      <c r="N19" s="786">
        <v>4.46</v>
      </c>
      <c r="O19" s="785" t="s">
        <v>4922</v>
      </c>
      <c r="P19" s="802" t="s">
        <v>4951</v>
      </c>
      <c r="Q19" s="787">
        <f t="shared" si="0"/>
        <v>-1</v>
      </c>
      <c r="R19" s="787">
        <f t="shared" si="0"/>
        <v>-0.75</v>
      </c>
      <c r="S19" s="798" t="str">
        <f t="shared" si="1"/>
        <v/>
      </c>
      <c r="T19" s="798" t="str">
        <f t="shared" si="2"/>
        <v/>
      </c>
      <c r="U19" s="798" t="str">
        <f t="shared" si="3"/>
        <v/>
      </c>
      <c r="V19" s="803" t="str">
        <f t="shared" si="4"/>
        <v/>
      </c>
      <c r="W19" s="788"/>
    </row>
    <row r="20" spans="1:23" ht="14.4" customHeight="1" x14ac:dyDescent="0.3">
      <c r="A20" s="850" t="s">
        <v>4952</v>
      </c>
      <c r="B20" s="834"/>
      <c r="C20" s="835"/>
      <c r="D20" s="804"/>
      <c r="E20" s="838">
        <v>2</v>
      </c>
      <c r="F20" s="839">
        <v>2.39</v>
      </c>
      <c r="G20" s="797">
        <v>6</v>
      </c>
      <c r="H20" s="841"/>
      <c r="I20" s="837"/>
      <c r="J20" s="790"/>
      <c r="K20" s="840">
        <v>1.4</v>
      </c>
      <c r="L20" s="841">
        <v>3</v>
      </c>
      <c r="M20" s="841">
        <v>28</v>
      </c>
      <c r="N20" s="842">
        <v>9.26</v>
      </c>
      <c r="O20" s="841" t="s">
        <v>4922</v>
      </c>
      <c r="P20" s="843" t="s">
        <v>4953</v>
      </c>
      <c r="Q20" s="844">
        <f t="shared" si="0"/>
        <v>0</v>
      </c>
      <c r="R20" s="844">
        <f t="shared" si="0"/>
        <v>0</v>
      </c>
      <c r="S20" s="834" t="str">
        <f t="shared" si="1"/>
        <v/>
      </c>
      <c r="T20" s="834" t="str">
        <f t="shared" si="2"/>
        <v/>
      </c>
      <c r="U20" s="834" t="str">
        <f t="shared" si="3"/>
        <v/>
      </c>
      <c r="V20" s="845" t="str">
        <f t="shared" si="4"/>
        <v/>
      </c>
      <c r="W20" s="792"/>
    </row>
    <row r="21" spans="1:23" ht="14.4" customHeight="1" x14ac:dyDescent="0.3">
      <c r="A21" s="849" t="s">
        <v>4954</v>
      </c>
      <c r="B21" s="793">
        <v>1</v>
      </c>
      <c r="C21" s="794">
        <v>0.97</v>
      </c>
      <c r="D21" s="795">
        <v>5</v>
      </c>
      <c r="E21" s="801"/>
      <c r="F21" s="779"/>
      <c r="G21" s="780"/>
      <c r="H21" s="785"/>
      <c r="I21" s="779"/>
      <c r="J21" s="780"/>
      <c r="K21" s="784">
        <v>0.97</v>
      </c>
      <c r="L21" s="785">
        <v>3</v>
      </c>
      <c r="M21" s="785">
        <v>24</v>
      </c>
      <c r="N21" s="786">
        <v>7.87</v>
      </c>
      <c r="O21" s="785" t="s">
        <v>4922</v>
      </c>
      <c r="P21" s="802" t="s">
        <v>4955</v>
      </c>
      <c r="Q21" s="787">
        <f t="shared" si="0"/>
        <v>-1</v>
      </c>
      <c r="R21" s="787">
        <f t="shared" si="0"/>
        <v>-0.97</v>
      </c>
      <c r="S21" s="798" t="str">
        <f t="shared" si="1"/>
        <v/>
      </c>
      <c r="T21" s="798" t="str">
        <f t="shared" si="2"/>
        <v/>
      </c>
      <c r="U21" s="798" t="str">
        <f t="shared" si="3"/>
        <v/>
      </c>
      <c r="V21" s="803" t="str">
        <f t="shared" si="4"/>
        <v/>
      </c>
      <c r="W21" s="788"/>
    </row>
    <row r="22" spans="1:23" ht="14.4" customHeight="1" x14ac:dyDescent="0.3">
      <c r="A22" s="849" t="s">
        <v>4956</v>
      </c>
      <c r="B22" s="793">
        <v>3</v>
      </c>
      <c r="C22" s="794">
        <v>6.74</v>
      </c>
      <c r="D22" s="795">
        <v>6.3</v>
      </c>
      <c r="E22" s="801">
        <v>2</v>
      </c>
      <c r="F22" s="779">
        <v>2.33</v>
      </c>
      <c r="G22" s="780">
        <v>2</v>
      </c>
      <c r="H22" s="785">
        <v>1</v>
      </c>
      <c r="I22" s="779">
        <v>2.39</v>
      </c>
      <c r="J22" s="780">
        <v>5</v>
      </c>
      <c r="K22" s="784">
        <v>2.39</v>
      </c>
      <c r="L22" s="785">
        <v>5</v>
      </c>
      <c r="M22" s="785">
        <v>42</v>
      </c>
      <c r="N22" s="786">
        <v>13.9</v>
      </c>
      <c r="O22" s="785" t="s">
        <v>4922</v>
      </c>
      <c r="P22" s="802" t="s">
        <v>4957</v>
      </c>
      <c r="Q22" s="787">
        <f t="shared" si="0"/>
        <v>-2</v>
      </c>
      <c r="R22" s="787">
        <f t="shared" si="0"/>
        <v>-4.3499999999999996</v>
      </c>
      <c r="S22" s="798">
        <f t="shared" si="1"/>
        <v>13.9</v>
      </c>
      <c r="T22" s="798">
        <f t="shared" si="2"/>
        <v>5</v>
      </c>
      <c r="U22" s="798">
        <f t="shared" si="3"/>
        <v>-8.9</v>
      </c>
      <c r="V22" s="803">
        <f t="shared" si="4"/>
        <v>0.35971223021582732</v>
      </c>
      <c r="W22" s="788"/>
    </row>
    <row r="23" spans="1:23" ht="14.4" customHeight="1" x14ac:dyDescent="0.3">
      <c r="A23" s="849" t="s">
        <v>4958</v>
      </c>
      <c r="B23" s="798"/>
      <c r="C23" s="799"/>
      <c r="D23" s="800"/>
      <c r="E23" s="781">
        <v>1</v>
      </c>
      <c r="F23" s="782">
        <v>3.23</v>
      </c>
      <c r="G23" s="783">
        <v>4</v>
      </c>
      <c r="H23" s="785"/>
      <c r="I23" s="779"/>
      <c r="J23" s="780"/>
      <c r="K23" s="784">
        <v>3.14</v>
      </c>
      <c r="L23" s="785">
        <v>6</v>
      </c>
      <c r="M23" s="785">
        <v>57</v>
      </c>
      <c r="N23" s="786">
        <v>18.920000000000002</v>
      </c>
      <c r="O23" s="785" t="s">
        <v>4922</v>
      </c>
      <c r="P23" s="802" t="s">
        <v>4959</v>
      </c>
      <c r="Q23" s="787">
        <f t="shared" si="0"/>
        <v>0</v>
      </c>
      <c r="R23" s="787">
        <f t="shared" si="0"/>
        <v>0</v>
      </c>
      <c r="S23" s="798" t="str">
        <f t="shared" si="1"/>
        <v/>
      </c>
      <c r="T23" s="798" t="str">
        <f t="shared" si="2"/>
        <v/>
      </c>
      <c r="U23" s="798" t="str">
        <f t="shared" si="3"/>
        <v/>
      </c>
      <c r="V23" s="803" t="str">
        <f t="shared" si="4"/>
        <v/>
      </c>
      <c r="W23" s="788"/>
    </row>
    <row r="24" spans="1:23" ht="14.4" customHeight="1" x14ac:dyDescent="0.3">
      <c r="A24" s="849" t="s">
        <v>4960</v>
      </c>
      <c r="B24" s="798">
        <v>2</v>
      </c>
      <c r="C24" s="799">
        <v>3.24</v>
      </c>
      <c r="D24" s="800">
        <v>5.5</v>
      </c>
      <c r="E24" s="781">
        <v>22</v>
      </c>
      <c r="F24" s="782">
        <v>33.619999999999997</v>
      </c>
      <c r="G24" s="783">
        <v>6.2</v>
      </c>
      <c r="H24" s="785">
        <v>7</v>
      </c>
      <c r="I24" s="779">
        <v>11.7</v>
      </c>
      <c r="J24" s="780">
        <v>7.3</v>
      </c>
      <c r="K24" s="784">
        <v>1.84</v>
      </c>
      <c r="L24" s="785">
        <v>4</v>
      </c>
      <c r="M24" s="785">
        <v>32</v>
      </c>
      <c r="N24" s="786">
        <v>10.8</v>
      </c>
      <c r="O24" s="785" t="s">
        <v>4922</v>
      </c>
      <c r="P24" s="802" t="s">
        <v>4961</v>
      </c>
      <c r="Q24" s="787">
        <f t="shared" si="0"/>
        <v>5</v>
      </c>
      <c r="R24" s="787">
        <f t="shared" si="0"/>
        <v>8.4599999999999991</v>
      </c>
      <c r="S24" s="798">
        <f t="shared" si="1"/>
        <v>75.600000000000009</v>
      </c>
      <c r="T24" s="798">
        <f t="shared" si="2"/>
        <v>51.1</v>
      </c>
      <c r="U24" s="798">
        <f t="shared" si="3"/>
        <v>-24.500000000000007</v>
      </c>
      <c r="V24" s="803">
        <f t="shared" si="4"/>
        <v>0.67592592592592582</v>
      </c>
      <c r="W24" s="788">
        <v>7</v>
      </c>
    </row>
    <row r="25" spans="1:23" ht="14.4" customHeight="1" x14ac:dyDescent="0.3">
      <c r="A25" s="849" t="s">
        <v>4962</v>
      </c>
      <c r="B25" s="793">
        <v>2</v>
      </c>
      <c r="C25" s="794">
        <v>2.2200000000000002</v>
      </c>
      <c r="D25" s="795">
        <v>4.5</v>
      </c>
      <c r="E25" s="801"/>
      <c r="F25" s="779"/>
      <c r="G25" s="780"/>
      <c r="H25" s="785"/>
      <c r="I25" s="779"/>
      <c r="J25" s="780"/>
      <c r="K25" s="784">
        <v>1.1100000000000001</v>
      </c>
      <c r="L25" s="785">
        <v>4</v>
      </c>
      <c r="M25" s="785">
        <v>34</v>
      </c>
      <c r="N25" s="786">
        <v>11.38</v>
      </c>
      <c r="O25" s="785" t="s">
        <v>4922</v>
      </c>
      <c r="P25" s="802" t="s">
        <v>4963</v>
      </c>
      <c r="Q25" s="787">
        <f t="shared" si="0"/>
        <v>-2</v>
      </c>
      <c r="R25" s="787">
        <f t="shared" si="0"/>
        <v>-2.2200000000000002</v>
      </c>
      <c r="S25" s="798" t="str">
        <f t="shared" si="1"/>
        <v/>
      </c>
      <c r="T25" s="798" t="str">
        <f t="shared" si="2"/>
        <v/>
      </c>
      <c r="U25" s="798" t="str">
        <f t="shared" si="3"/>
        <v/>
      </c>
      <c r="V25" s="803" t="str">
        <f t="shared" si="4"/>
        <v/>
      </c>
      <c r="W25" s="788"/>
    </row>
    <row r="26" spans="1:23" ht="14.4" customHeight="1" x14ac:dyDescent="0.3">
      <c r="A26" s="849" t="s">
        <v>4964</v>
      </c>
      <c r="B26" s="793">
        <v>1</v>
      </c>
      <c r="C26" s="794">
        <v>0.91</v>
      </c>
      <c r="D26" s="795">
        <v>15</v>
      </c>
      <c r="E26" s="801"/>
      <c r="F26" s="779"/>
      <c r="G26" s="780"/>
      <c r="H26" s="785"/>
      <c r="I26" s="779"/>
      <c r="J26" s="780"/>
      <c r="K26" s="784">
        <v>0.91</v>
      </c>
      <c r="L26" s="785">
        <v>4</v>
      </c>
      <c r="M26" s="785">
        <v>34</v>
      </c>
      <c r="N26" s="786">
        <v>11.3</v>
      </c>
      <c r="O26" s="785" t="s">
        <v>4922</v>
      </c>
      <c r="P26" s="802" t="s">
        <v>4965</v>
      </c>
      <c r="Q26" s="787">
        <f t="shared" si="0"/>
        <v>-1</v>
      </c>
      <c r="R26" s="787">
        <f t="shared" si="0"/>
        <v>-0.91</v>
      </c>
      <c r="S26" s="798" t="str">
        <f t="shared" si="1"/>
        <v/>
      </c>
      <c r="T26" s="798" t="str">
        <f t="shared" si="2"/>
        <v/>
      </c>
      <c r="U26" s="798" t="str">
        <f t="shared" si="3"/>
        <v/>
      </c>
      <c r="V26" s="803" t="str">
        <f t="shared" si="4"/>
        <v/>
      </c>
      <c r="W26" s="788"/>
    </row>
    <row r="27" spans="1:23" ht="14.4" customHeight="1" x14ac:dyDescent="0.3">
      <c r="A27" s="849" t="s">
        <v>4966</v>
      </c>
      <c r="B27" s="798"/>
      <c r="C27" s="799"/>
      <c r="D27" s="800"/>
      <c r="E27" s="781">
        <v>1</v>
      </c>
      <c r="F27" s="782">
        <v>1.42</v>
      </c>
      <c r="G27" s="783">
        <v>28</v>
      </c>
      <c r="H27" s="785"/>
      <c r="I27" s="779"/>
      <c r="J27" s="780"/>
      <c r="K27" s="784">
        <v>1.46</v>
      </c>
      <c r="L27" s="785">
        <v>4</v>
      </c>
      <c r="M27" s="785">
        <v>39</v>
      </c>
      <c r="N27" s="786">
        <v>12.9</v>
      </c>
      <c r="O27" s="785" t="s">
        <v>4922</v>
      </c>
      <c r="P27" s="802" t="s">
        <v>4967</v>
      </c>
      <c r="Q27" s="787">
        <f t="shared" si="0"/>
        <v>0</v>
      </c>
      <c r="R27" s="787">
        <f t="shared" si="0"/>
        <v>0</v>
      </c>
      <c r="S27" s="798" t="str">
        <f t="shared" si="1"/>
        <v/>
      </c>
      <c r="T27" s="798" t="str">
        <f t="shared" si="2"/>
        <v/>
      </c>
      <c r="U27" s="798" t="str">
        <f t="shared" si="3"/>
        <v/>
      </c>
      <c r="V27" s="803" t="str">
        <f t="shared" si="4"/>
        <v/>
      </c>
      <c r="W27" s="788"/>
    </row>
    <row r="28" spans="1:23" ht="14.4" customHeight="1" x14ac:dyDescent="0.3">
      <c r="A28" s="849" t="s">
        <v>4968</v>
      </c>
      <c r="B28" s="793">
        <v>1</v>
      </c>
      <c r="C28" s="794">
        <v>0.82</v>
      </c>
      <c r="D28" s="795">
        <v>17</v>
      </c>
      <c r="E28" s="801"/>
      <c r="F28" s="779"/>
      <c r="G28" s="780"/>
      <c r="H28" s="785"/>
      <c r="I28" s="779"/>
      <c r="J28" s="780"/>
      <c r="K28" s="784">
        <v>0.82</v>
      </c>
      <c r="L28" s="785">
        <v>4</v>
      </c>
      <c r="M28" s="785">
        <v>33</v>
      </c>
      <c r="N28" s="786">
        <v>11.02</v>
      </c>
      <c r="O28" s="785" t="s">
        <v>4922</v>
      </c>
      <c r="P28" s="802" t="s">
        <v>4969</v>
      </c>
      <c r="Q28" s="787">
        <f t="shared" si="0"/>
        <v>-1</v>
      </c>
      <c r="R28" s="787">
        <f t="shared" si="0"/>
        <v>-0.82</v>
      </c>
      <c r="S28" s="798" t="str">
        <f t="shared" si="1"/>
        <v/>
      </c>
      <c r="T28" s="798" t="str">
        <f t="shared" si="2"/>
        <v/>
      </c>
      <c r="U28" s="798" t="str">
        <f t="shared" si="3"/>
        <v/>
      </c>
      <c r="V28" s="803" t="str">
        <f t="shared" si="4"/>
        <v/>
      </c>
      <c r="W28" s="788"/>
    </row>
    <row r="29" spans="1:23" ht="14.4" customHeight="1" x14ac:dyDescent="0.3">
      <c r="A29" s="850" t="s">
        <v>4970</v>
      </c>
      <c r="B29" s="846">
        <v>6</v>
      </c>
      <c r="C29" s="847">
        <v>5.88</v>
      </c>
      <c r="D29" s="796">
        <v>7.8</v>
      </c>
      <c r="E29" s="836"/>
      <c r="F29" s="837"/>
      <c r="G29" s="790"/>
      <c r="H29" s="841"/>
      <c r="I29" s="837"/>
      <c r="J29" s="790"/>
      <c r="K29" s="840">
        <v>1.2</v>
      </c>
      <c r="L29" s="841">
        <v>4</v>
      </c>
      <c r="M29" s="841">
        <v>39</v>
      </c>
      <c r="N29" s="842">
        <v>13.04</v>
      </c>
      <c r="O29" s="841" t="s">
        <v>4922</v>
      </c>
      <c r="P29" s="843" t="s">
        <v>4971</v>
      </c>
      <c r="Q29" s="844">
        <f t="shared" si="0"/>
        <v>-6</v>
      </c>
      <c r="R29" s="844">
        <f t="shared" si="0"/>
        <v>-5.88</v>
      </c>
      <c r="S29" s="834" t="str">
        <f t="shared" si="1"/>
        <v/>
      </c>
      <c r="T29" s="834" t="str">
        <f t="shared" si="2"/>
        <v/>
      </c>
      <c r="U29" s="834" t="str">
        <f t="shared" si="3"/>
        <v/>
      </c>
      <c r="V29" s="845" t="str">
        <f t="shared" si="4"/>
        <v/>
      </c>
      <c r="W29" s="792"/>
    </row>
    <row r="30" spans="1:23" ht="14.4" customHeight="1" x14ac:dyDescent="0.3">
      <c r="A30" s="849" t="s">
        <v>4972</v>
      </c>
      <c r="B30" s="798"/>
      <c r="C30" s="799"/>
      <c r="D30" s="800"/>
      <c r="E30" s="781">
        <v>1</v>
      </c>
      <c r="F30" s="782">
        <v>0.22</v>
      </c>
      <c r="G30" s="783">
        <v>1</v>
      </c>
      <c r="H30" s="785"/>
      <c r="I30" s="779"/>
      <c r="J30" s="780"/>
      <c r="K30" s="784">
        <v>0.62</v>
      </c>
      <c r="L30" s="785">
        <v>3</v>
      </c>
      <c r="M30" s="785">
        <v>29</v>
      </c>
      <c r="N30" s="786">
        <v>9.64</v>
      </c>
      <c r="O30" s="785" t="s">
        <v>4922</v>
      </c>
      <c r="P30" s="802" t="s">
        <v>4973</v>
      </c>
      <c r="Q30" s="787">
        <f t="shared" si="0"/>
        <v>0</v>
      </c>
      <c r="R30" s="787">
        <f t="shared" si="0"/>
        <v>0</v>
      </c>
      <c r="S30" s="798" t="str">
        <f t="shared" si="1"/>
        <v/>
      </c>
      <c r="T30" s="798" t="str">
        <f t="shared" si="2"/>
        <v/>
      </c>
      <c r="U30" s="798" t="str">
        <f t="shared" si="3"/>
        <v/>
      </c>
      <c r="V30" s="803" t="str">
        <f t="shared" si="4"/>
        <v/>
      </c>
      <c r="W30" s="788"/>
    </row>
    <row r="31" spans="1:23" ht="14.4" customHeight="1" x14ac:dyDescent="0.3">
      <c r="A31" s="849" t="s">
        <v>4974</v>
      </c>
      <c r="B31" s="798"/>
      <c r="C31" s="799"/>
      <c r="D31" s="800"/>
      <c r="E31" s="781">
        <v>1</v>
      </c>
      <c r="F31" s="782">
        <v>0.41</v>
      </c>
      <c r="G31" s="783">
        <v>2</v>
      </c>
      <c r="H31" s="785"/>
      <c r="I31" s="779"/>
      <c r="J31" s="780"/>
      <c r="K31" s="784">
        <v>0.45</v>
      </c>
      <c r="L31" s="785">
        <v>1</v>
      </c>
      <c r="M31" s="785">
        <v>8</v>
      </c>
      <c r="N31" s="786">
        <v>2.5299999999999998</v>
      </c>
      <c r="O31" s="785" t="s">
        <v>4922</v>
      </c>
      <c r="P31" s="802" t="s">
        <v>4975</v>
      </c>
      <c r="Q31" s="787">
        <f t="shared" si="0"/>
        <v>0</v>
      </c>
      <c r="R31" s="787">
        <f t="shared" si="0"/>
        <v>0</v>
      </c>
      <c r="S31" s="798" t="str">
        <f t="shared" si="1"/>
        <v/>
      </c>
      <c r="T31" s="798" t="str">
        <f t="shared" si="2"/>
        <v/>
      </c>
      <c r="U31" s="798" t="str">
        <f t="shared" si="3"/>
        <v/>
      </c>
      <c r="V31" s="803" t="str">
        <f t="shared" si="4"/>
        <v/>
      </c>
      <c r="W31" s="788"/>
    </row>
    <row r="32" spans="1:23" ht="14.4" customHeight="1" x14ac:dyDescent="0.3">
      <c r="A32" s="849" t="s">
        <v>4976</v>
      </c>
      <c r="B32" s="798"/>
      <c r="C32" s="799"/>
      <c r="D32" s="800"/>
      <c r="E32" s="801"/>
      <c r="F32" s="779"/>
      <c r="G32" s="780"/>
      <c r="H32" s="781">
        <v>1</v>
      </c>
      <c r="I32" s="782">
        <v>2.2599999999999998</v>
      </c>
      <c r="J32" s="783">
        <v>2</v>
      </c>
      <c r="K32" s="784">
        <v>6.46</v>
      </c>
      <c r="L32" s="785">
        <v>4</v>
      </c>
      <c r="M32" s="785">
        <v>40</v>
      </c>
      <c r="N32" s="786">
        <v>13.41</v>
      </c>
      <c r="O32" s="785" t="s">
        <v>4922</v>
      </c>
      <c r="P32" s="802" t="s">
        <v>4977</v>
      </c>
      <c r="Q32" s="787">
        <f t="shared" si="0"/>
        <v>1</v>
      </c>
      <c r="R32" s="787">
        <f t="shared" si="0"/>
        <v>2.2599999999999998</v>
      </c>
      <c r="S32" s="798">
        <f t="shared" si="1"/>
        <v>13.41</v>
      </c>
      <c r="T32" s="798">
        <f t="shared" si="2"/>
        <v>2</v>
      </c>
      <c r="U32" s="798">
        <f t="shared" si="3"/>
        <v>-11.41</v>
      </c>
      <c r="V32" s="803">
        <f t="shared" si="4"/>
        <v>0.14914243102162564</v>
      </c>
      <c r="W32" s="788"/>
    </row>
    <row r="33" spans="1:23" ht="14.4" customHeight="1" x14ac:dyDescent="0.3">
      <c r="A33" s="850" t="s">
        <v>4978</v>
      </c>
      <c r="B33" s="834">
        <v>2</v>
      </c>
      <c r="C33" s="835">
        <v>16.579999999999998</v>
      </c>
      <c r="D33" s="804">
        <v>6.5</v>
      </c>
      <c r="E33" s="836">
        <v>2</v>
      </c>
      <c r="F33" s="837">
        <v>12.35</v>
      </c>
      <c r="G33" s="790">
        <v>3.5</v>
      </c>
      <c r="H33" s="838">
        <v>3</v>
      </c>
      <c r="I33" s="839">
        <v>16.510000000000002</v>
      </c>
      <c r="J33" s="797">
        <v>5.3</v>
      </c>
      <c r="K33" s="840">
        <v>8.2799999999999994</v>
      </c>
      <c r="L33" s="841">
        <v>6</v>
      </c>
      <c r="M33" s="841">
        <v>50</v>
      </c>
      <c r="N33" s="842">
        <v>16.739999999999998</v>
      </c>
      <c r="O33" s="841" t="s">
        <v>4922</v>
      </c>
      <c r="P33" s="843" t="s">
        <v>4979</v>
      </c>
      <c r="Q33" s="844">
        <f t="shared" si="0"/>
        <v>1</v>
      </c>
      <c r="R33" s="844">
        <f t="shared" si="0"/>
        <v>-6.9999999999996732E-2</v>
      </c>
      <c r="S33" s="834">
        <f t="shared" si="1"/>
        <v>50.22</v>
      </c>
      <c r="T33" s="834">
        <f t="shared" si="2"/>
        <v>15.899999999999999</v>
      </c>
      <c r="U33" s="834">
        <f t="shared" si="3"/>
        <v>-34.32</v>
      </c>
      <c r="V33" s="845">
        <f t="shared" si="4"/>
        <v>0.31660692951015529</v>
      </c>
      <c r="W33" s="792"/>
    </row>
    <row r="34" spans="1:23" ht="14.4" customHeight="1" x14ac:dyDescent="0.3">
      <c r="A34" s="849" t="s">
        <v>4980</v>
      </c>
      <c r="B34" s="793">
        <v>2</v>
      </c>
      <c r="C34" s="794">
        <v>10.41</v>
      </c>
      <c r="D34" s="795">
        <v>8.5</v>
      </c>
      <c r="E34" s="801"/>
      <c r="F34" s="779"/>
      <c r="G34" s="780"/>
      <c r="H34" s="785"/>
      <c r="I34" s="779"/>
      <c r="J34" s="780"/>
      <c r="K34" s="784">
        <v>5.21</v>
      </c>
      <c r="L34" s="785">
        <v>3</v>
      </c>
      <c r="M34" s="785">
        <v>25</v>
      </c>
      <c r="N34" s="786">
        <v>8.49</v>
      </c>
      <c r="O34" s="785" t="s">
        <v>4922</v>
      </c>
      <c r="P34" s="802" t="s">
        <v>4981</v>
      </c>
      <c r="Q34" s="787">
        <f t="shared" si="0"/>
        <v>-2</v>
      </c>
      <c r="R34" s="787">
        <f t="shared" si="0"/>
        <v>-10.41</v>
      </c>
      <c r="S34" s="798" t="str">
        <f t="shared" si="1"/>
        <v/>
      </c>
      <c r="T34" s="798" t="str">
        <f t="shared" si="2"/>
        <v/>
      </c>
      <c r="U34" s="798" t="str">
        <f t="shared" si="3"/>
        <v/>
      </c>
      <c r="V34" s="803" t="str">
        <f t="shared" si="4"/>
        <v/>
      </c>
      <c r="W34" s="788"/>
    </row>
    <row r="35" spans="1:23" ht="14.4" customHeight="1" x14ac:dyDescent="0.3">
      <c r="A35" s="849" t="s">
        <v>4982</v>
      </c>
      <c r="B35" s="798"/>
      <c r="C35" s="799"/>
      <c r="D35" s="800"/>
      <c r="E35" s="801"/>
      <c r="F35" s="779"/>
      <c r="G35" s="780"/>
      <c r="H35" s="781">
        <v>1</v>
      </c>
      <c r="I35" s="782">
        <v>5.54</v>
      </c>
      <c r="J35" s="789">
        <v>35</v>
      </c>
      <c r="K35" s="784">
        <v>5.54</v>
      </c>
      <c r="L35" s="785">
        <v>4</v>
      </c>
      <c r="M35" s="785">
        <v>39</v>
      </c>
      <c r="N35" s="786">
        <v>12.93</v>
      </c>
      <c r="O35" s="785" t="s">
        <v>4114</v>
      </c>
      <c r="P35" s="802" t="s">
        <v>4983</v>
      </c>
      <c r="Q35" s="787">
        <f t="shared" si="0"/>
        <v>1</v>
      </c>
      <c r="R35" s="787">
        <f t="shared" si="0"/>
        <v>5.54</v>
      </c>
      <c r="S35" s="798">
        <f t="shared" si="1"/>
        <v>12.93</v>
      </c>
      <c r="T35" s="798">
        <f t="shared" si="2"/>
        <v>35</v>
      </c>
      <c r="U35" s="798">
        <f t="shared" si="3"/>
        <v>22.07</v>
      </c>
      <c r="V35" s="803">
        <f t="shared" si="4"/>
        <v>2.7068832173240525</v>
      </c>
      <c r="W35" s="788">
        <v>22</v>
      </c>
    </row>
    <row r="36" spans="1:23" ht="14.4" customHeight="1" x14ac:dyDescent="0.3">
      <c r="A36" s="849" t="s">
        <v>4984</v>
      </c>
      <c r="B36" s="798"/>
      <c r="C36" s="799"/>
      <c r="D36" s="800"/>
      <c r="E36" s="781">
        <v>1</v>
      </c>
      <c r="F36" s="782">
        <v>1.25</v>
      </c>
      <c r="G36" s="783">
        <v>6</v>
      </c>
      <c r="H36" s="785"/>
      <c r="I36" s="779"/>
      <c r="J36" s="780"/>
      <c r="K36" s="784">
        <v>1.41</v>
      </c>
      <c r="L36" s="785">
        <v>4</v>
      </c>
      <c r="M36" s="785">
        <v>33</v>
      </c>
      <c r="N36" s="786">
        <v>11.01</v>
      </c>
      <c r="O36" s="785" t="s">
        <v>4922</v>
      </c>
      <c r="P36" s="802" t="s">
        <v>4985</v>
      </c>
      <c r="Q36" s="787">
        <f t="shared" si="0"/>
        <v>0</v>
      </c>
      <c r="R36" s="787">
        <f t="shared" si="0"/>
        <v>0</v>
      </c>
      <c r="S36" s="798" t="str">
        <f t="shared" si="1"/>
        <v/>
      </c>
      <c r="T36" s="798" t="str">
        <f t="shared" si="2"/>
        <v/>
      </c>
      <c r="U36" s="798" t="str">
        <f t="shared" si="3"/>
        <v/>
      </c>
      <c r="V36" s="803" t="str">
        <f t="shared" si="4"/>
        <v/>
      </c>
      <c r="W36" s="788"/>
    </row>
    <row r="37" spans="1:23" ht="14.4" customHeight="1" x14ac:dyDescent="0.3">
      <c r="A37" s="849" t="s">
        <v>4986</v>
      </c>
      <c r="B37" s="793">
        <v>1</v>
      </c>
      <c r="C37" s="794">
        <v>1.1200000000000001</v>
      </c>
      <c r="D37" s="795">
        <v>4</v>
      </c>
      <c r="E37" s="801"/>
      <c r="F37" s="779"/>
      <c r="G37" s="780"/>
      <c r="H37" s="785"/>
      <c r="I37" s="779"/>
      <c r="J37" s="780"/>
      <c r="K37" s="784">
        <v>1.1200000000000001</v>
      </c>
      <c r="L37" s="785">
        <v>4</v>
      </c>
      <c r="M37" s="785">
        <v>38</v>
      </c>
      <c r="N37" s="786">
        <v>12.62</v>
      </c>
      <c r="O37" s="785" t="s">
        <v>4922</v>
      </c>
      <c r="P37" s="802" t="s">
        <v>4987</v>
      </c>
      <c r="Q37" s="787">
        <f t="shared" si="0"/>
        <v>-1</v>
      </c>
      <c r="R37" s="787">
        <f t="shared" si="0"/>
        <v>-1.1200000000000001</v>
      </c>
      <c r="S37" s="798" t="str">
        <f t="shared" si="1"/>
        <v/>
      </c>
      <c r="T37" s="798" t="str">
        <f t="shared" si="2"/>
        <v/>
      </c>
      <c r="U37" s="798" t="str">
        <f t="shared" si="3"/>
        <v/>
      </c>
      <c r="V37" s="803" t="str">
        <f t="shared" si="4"/>
        <v/>
      </c>
      <c r="W37" s="788"/>
    </row>
    <row r="38" spans="1:23" ht="14.4" customHeight="1" x14ac:dyDescent="0.3">
      <c r="A38" s="849" t="s">
        <v>4988</v>
      </c>
      <c r="B38" s="798"/>
      <c r="C38" s="799"/>
      <c r="D38" s="800"/>
      <c r="E38" s="781">
        <v>1</v>
      </c>
      <c r="F38" s="782">
        <v>1.52</v>
      </c>
      <c r="G38" s="783">
        <v>4</v>
      </c>
      <c r="H38" s="785"/>
      <c r="I38" s="779"/>
      <c r="J38" s="780"/>
      <c r="K38" s="784">
        <v>1.67</v>
      </c>
      <c r="L38" s="785">
        <v>4</v>
      </c>
      <c r="M38" s="785">
        <v>39</v>
      </c>
      <c r="N38" s="786">
        <v>12.94</v>
      </c>
      <c r="O38" s="785" t="s">
        <v>4922</v>
      </c>
      <c r="P38" s="802" t="s">
        <v>4989</v>
      </c>
      <c r="Q38" s="787">
        <f t="shared" si="0"/>
        <v>0</v>
      </c>
      <c r="R38" s="787">
        <f t="shared" si="0"/>
        <v>0</v>
      </c>
      <c r="S38" s="798" t="str">
        <f t="shared" si="1"/>
        <v/>
      </c>
      <c r="T38" s="798" t="str">
        <f t="shared" si="2"/>
        <v/>
      </c>
      <c r="U38" s="798" t="str">
        <f t="shared" si="3"/>
        <v/>
      </c>
      <c r="V38" s="803" t="str">
        <f t="shared" si="4"/>
        <v/>
      </c>
      <c r="W38" s="788"/>
    </row>
    <row r="39" spans="1:23" ht="14.4" customHeight="1" x14ac:dyDescent="0.3">
      <c r="A39" s="850" t="s">
        <v>4990</v>
      </c>
      <c r="B39" s="834">
        <v>2</v>
      </c>
      <c r="C39" s="835">
        <v>6.33</v>
      </c>
      <c r="D39" s="804">
        <v>9.5</v>
      </c>
      <c r="E39" s="838">
        <v>2</v>
      </c>
      <c r="F39" s="839">
        <v>4.55</v>
      </c>
      <c r="G39" s="797">
        <v>4</v>
      </c>
      <c r="H39" s="841">
        <v>1</v>
      </c>
      <c r="I39" s="837">
        <v>2.57</v>
      </c>
      <c r="J39" s="790">
        <v>4</v>
      </c>
      <c r="K39" s="840">
        <v>3.17</v>
      </c>
      <c r="L39" s="841">
        <v>5</v>
      </c>
      <c r="M39" s="841">
        <v>44</v>
      </c>
      <c r="N39" s="842">
        <v>14.72</v>
      </c>
      <c r="O39" s="841" t="s">
        <v>4922</v>
      </c>
      <c r="P39" s="843" t="s">
        <v>4991</v>
      </c>
      <c r="Q39" s="844">
        <f t="shared" si="0"/>
        <v>-1</v>
      </c>
      <c r="R39" s="844">
        <f t="shared" si="0"/>
        <v>-3.7600000000000002</v>
      </c>
      <c r="S39" s="834">
        <f t="shared" si="1"/>
        <v>14.72</v>
      </c>
      <c r="T39" s="834">
        <f t="shared" si="2"/>
        <v>4</v>
      </c>
      <c r="U39" s="834">
        <f t="shared" si="3"/>
        <v>-10.72</v>
      </c>
      <c r="V39" s="845">
        <f t="shared" si="4"/>
        <v>0.27173913043478259</v>
      </c>
      <c r="W39" s="792"/>
    </row>
    <row r="40" spans="1:23" ht="14.4" customHeight="1" x14ac:dyDescent="0.3">
      <c r="A40" s="849" t="s">
        <v>4992</v>
      </c>
      <c r="B40" s="793">
        <v>2</v>
      </c>
      <c r="C40" s="794">
        <v>1.89</v>
      </c>
      <c r="D40" s="795">
        <v>3</v>
      </c>
      <c r="E40" s="801"/>
      <c r="F40" s="779"/>
      <c r="G40" s="780"/>
      <c r="H40" s="785"/>
      <c r="I40" s="779"/>
      <c r="J40" s="780"/>
      <c r="K40" s="784">
        <v>0.86</v>
      </c>
      <c r="L40" s="785">
        <v>3</v>
      </c>
      <c r="M40" s="785">
        <v>31</v>
      </c>
      <c r="N40" s="786">
        <v>10.46</v>
      </c>
      <c r="O40" s="785" t="s">
        <v>4922</v>
      </c>
      <c r="P40" s="802" t="s">
        <v>4993</v>
      </c>
      <c r="Q40" s="787">
        <f t="shared" si="0"/>
        <v>-2</v>
      </c>
      <c r="R40" s="787">
        <f t="shared" si="0"/>
        <v>-1.89</v>
      </c>
      <c r="S40" s="798" t="str">
        <f t="shared" si="1"/>
        <v/>
      </c>
      <c r="T40" s="798" t="str">
        <f t="shared" si="2"/>
        <v/>
      </c>
      <c r="U40" s="798" t="str">
        <f t="shared" si="3"/>
        <v/>
      </c>
      <c r="V40" s="803" t="str">
        <f t="shared" si="4"/>
        <v/>
      </c>
      <c r="W40" s="788"/>
    </row>
    <row r="41" spans="1:23" ht="14.4" customHeight="1" x14ac:dyDescent="0.3">
      <c r="A41" s="849" t="s">
        <v>4994</v>
      </c>
      <c r="B41" s="798"/>
      <c r="C41" s="799"/>
      <c r="D41" s="800"/>
      <c r="E41" s="781">
        <v>2</v>
      </c>
      <c r="F41" s="782">
        <v>7.68</v>
      </c>
      <c r="G41" s="783">
        <v>17.5</v>
      </c>
      <c r="H41" s="785">
        <v>1</v>
      </c>
      <c r="I41" s="779">
        <v>5.86</v>
      </c>
      <c r="J41" s="789">
        <v>47</v>
      </c>
      <c r="K41" s="784">
        <v>5.86</v>
      </c>
      <c r="L41" s="785">
        <v>8</v>
      </c>
      <c r="M41" s="785">
        <v>68</v>
      </c>
      <c r="N41" s="786">
        <v>22.56</v>
      </c>
      <c r="O41" s="785" t="s">
        <v>4922</v>
      </c>
      <c r="P41" s="802" t="s">
        <v>4995</v>
      </c>
      <c r="Q41" s="787">
        <f t="shared" si="0"/>
        <v>1</v>
      </c>
      <c r="R41" s="787">
        <f t="shared" si="0"/>
        <v>5.86</v>
      </c>
      <c r="S41" s="798">
        <f t="shared" si="1"/>
        <v>22.56</v>
      </c>
      <c r="T41" s="798">
        <f t="shared" si="2"/>
        <v>47</v>
      </c>
      <c r="U41" s="798">
        <f t="shared" si="3"/>
        <v>24.44</v>
      </c>
      <c r="V41" s="803">
        <f t="shared" si="4"/>
        <v>2.0833333333333335</v>
      </c>
      <c r="W41" s="788">
        <v>24</v>
      </c>
    </row>
    <row r="42" spans="1:23" ht="14.4" customHeight="1" x14ac:dyDescent="0.3">
      <c r="A42" s="849" t="s">
        <v>4996</v>
      </c>
      <c r="B42" s="793">
        <v>1</v>
      </c>
      <c r="C42" s="794">
        <v>5.96</v>
      </c>
      <c r="D42" s="795">
        <v>29</v>
      </c>
      <c r="E42" s="801"/>
      <c r="F42" s="779"/>
      <c r="G42" s="780"/>
      <c r="H42" s="785"/>
      <c r="I42" s="779"/>
      <c r="J42" s="780"/>
      <c r="K42" s="784">
        <v>4.45</v>
      </c>
      <c r="L42" s="785">
        <v>5</v>
      </c>
      <c r="M42" s="785">
        <v>47</v>
      </c>
      <c r="N42" s="786">
        <v>15.81</v>
      </c>
      <c r="O42" s="785" t="s">
        <v>4922</v>
      </c>
      <c r="P42" s="802" t="s">
        <v>4997</v>
      </c>
      <c r="Q42" s="787">
        <f t="shared" si="0"/>
        <v>-1</v>
      </c>
      <c r="R42" s="787">
        <f t="shared" si="0"/>
        <v>-5.96</v>
      </c>
      <c r="S42" s="798" t="str">
        <f t="shared" si="1"/>
        <v/>
      </c>
      <c r="T42" s="798" t="str">
        <f t="shared" si="2"/>
        <v/>
      </c>
      <c r="U42" s="798" t="str">
        <f t="shared" si="3"/>
        <v/>
      </c>
      <c r="V42" s="803" t="str">
        <f t="shared" si="4"/>
        <v/>
      </c>
      <c r="W42" s="788"/>
    </row>
    <row r="43" spans="1:23" ht="14.4" customHeight="1" x14ac:dyDescent="0.3">
      <c r="A43" s="849" t="s">
        <v>4998</v>
      </c>
      <c r="B43" s="793">
        <v>1</v>
      </c>
      <c r="C43" s="794">
        <v>2.78</v>
      </c>
      <c r="D43" s="795">
        <v>4</v>
      </c>
      <c r="E43" s="801"/>
      <c r="F43" s="779"/>
      <c r="G43" s="780"/>
      <c r="H43" s="785"/>
      <c r="I43" s="779"/>
      <c r="J43" s="780"/>
      <c r="K43" s="784">
        <v>2.65</v>
      </c>
      <c r="L43" s="785">
        <v>5</v>
      </c>
      <c r="M43" s="785">
        <v>41</v>
      </c>
      <c r="N43" s="786">
        <v>13.51</v>
      </c>
      <c r="O43" s="785" t="s">
        <v>4922</v>
      </c>
      <c r="P43" s="802" t="s">
        <v>4999</v>
      </c>
      <c r="Q43" s="787">
        <f t="shared" si="0"/>
        <v>-1</v>
      </c>
      <c r="R43" s="787">
        <f t="shared" si="0"/>
        <v>-2.78</v>
      </c>
      <c r="S43" s="798" t="str">
        <f t="shared" si="1"/>
        <v/>
      </c>
      <c r="T43" s="798" t="str">
        <f t="shared" si="2"/>
        <v/>
      </c>
      <c r="U43" s="798" t="str">
        <f t="shared" si="3"/>
        <v/>
      </c>
      <c r="V43" s="803" t="str">
        <f t="shared" si="4"/>
        <v/>
      </c>
      <c r="W43" s="788"/>
    </row>
    <row r="44" spans="1:23" ht="14.4" customHeight="1" x14ac:dyDescent="0.3">
      <c r="A44" s="849" t="s">
        <v>5000</v>
      </c>
      <c r="B44" s="798"/>
      <c r="C44" s="799"/>
      <c r="D44" s="800"/>
      <c r="E44" s="781">
        <v>2</v>
      </c>
      <c r="F44" s="782">
        <v>17.940000000000001</v>
      </c>
      <c r="G44" s="783">
        <v>8</v>
      </c>
      <c r="H44" s="785"/>
      <c r="I44" s="779"/>
      <c r="J44" s="780"/>
      <c r="K44" s="784">
        <v>8.57</v>
      </c>
      <c r="L44" s="785">
        <v>9</v>
      </c>
      <c r="M44" s="785">
        <v>78</v>
      </c>
      <c r="N44" s="786">
        <v>25.87</v>
      </c>
      <c r="O44" s="785" t="s">
        <v>4922</v>
      </c>
      <c r="P44" s="802" t="s">
        <v>5001</v>
      </c>
      <c r="Q44" s="787">
        <f t="shared" si="0"/>
        <v>0</v>
      </c>
      <c r="R44" s="787">
        <f t="shared" si="0"/>
        <v>0</v>
      </c>
      <c r="S44" s="798" t="str">
        <f t="shared" si="1"/>
        <v/>
      </c>
      <c r="T44" s="798" t="str">
        <f t="shared" si="2"/>
        <v/>
      </c>
      <c r="U44" s="798" t="str">
        <f t="shared" si="3"/>
        <v/>
      </c>
      <c r="V44" s="803" t="str">
        <f t="shared" si="4"/>
        <v/>
      </c>
      <c r="W44" s="788"/>
    </row>
    <row r="45" spans="1:23" ht="14.4" customHeight="1" x14ac:dyDescent="0.3">
      <c r="A45" s="849" t="s">
        <v>5002</v>
      </c>
      <c r="B45" s="793">
        <v>2</v>
      </c>
      <c r="C45" s="794">
        <v>2.16</v>
      </c>
      <c r="D45" s="795">
        <v>14</v>
      </c>
      <c r="E45" s="801"/>
      <c r="F45" s="779"/>
      <c r="G45" s="780"/>
      <c r="H45" s="785"/>
      <c r="I45" s="779"/>
      <c r="J45" s="780"/>
      <c r="K45" s="784">
        <v>1.01</v>
      </c>
      <c r="L45" s="785">
        <v>4</v>
      </c>
      <c r="M45" s="785">
        <v>35</v>
      </c>
      <c r="N45" s="786">
        <v>11.64</v>
      </c>
      <c r="O45" s="785" t="s">
        <v>4922</v>
      </c>
      <c r="P45" s="802" t="s">
        <v>5003</v>
      </c>
      <c r="Q45" s="787">
        <f t="shared" si="0"/>
        <v>-2</v>
      </c>
      <c r="R45" s="787">
        <f t="shared" si="0"/>
        <v>-2.16</v>
      </c>
      <c r="S45" s="798" t="str">
        <f t="shared" si="1"/>
        <v/>
      </c>
      <c r="T45" s="798" t="str">
        <f t="shared" si="2"/>
        <v/>
      </c>
      <c r="U45" s="798" t="str">
        <f t="shared" si="3"/>
        <v/>
      </c>
      <c r="V45" s="803" t="str">
        <f t="shared" si="4"/>
        <v/>
      </c>
      <c r="W45" s="788"/>
    </row>
    <row r="46" spans="1:23" ht="14.4" customHeight="1" x14ac:dyDescent="0.3">
      <c r="A46" s="849" t="s">
        <v>5004</v>
      </c>
      <c r="B46" s="798">
        <v>1</v>
      </c>
      <c r="C46" s="799">
        <v>2.06</v>
      </c>
      <c r="D46" s="800">
        <v>8</v>
      </c>
      <c r="E46" s="801"/>
      <c r="F46" s="779"/>
      <c r="G46" s="780"/>
      <c r="H46" s="781">
        <v>1</v>
      </c>
      <c r="I46" s="782">
        <v>1.32</v>
      </c>
      <c r="J46" s="783">
        <v>3</v>
      </c>
      <c r="K46" s="784">
        <v>2.06</v>
      </c>
      <c r="L46" s="785">
        <v>5</v>
      </c>
      <c r="M46" s="785">
        <v>42</v>
      </c>
      <c r="N46" s="786">
        <v>14.16</v>
      </c>
      <c r="O46" s="785" t="s">
        <v>4922</v>
      </c>
      <c r="P46" s="802" t="s">
        <v>5005</v>
      </c>
      <c r="Q46" s="787">
        <f t="shared" si="0"/>
        <v>0</v>
      </c>
      <c r="R46" s="787">
        <f t="shared" si="0"/>
        <v>-0.74</v>
      </c>
      <c r="S46" s="798">
        <f t="shared" si="1"/>
        <v>14.16</v>
      </c>
      <c r="T46" s="798">
        <f t="shared" si="2"/>
        <v>3</v>
      </c>
      <c r="U46" s="798">
        <f t="shared" si="3"/>
        <v>-11.16</v>
      </c>
      <c r="V46" s="803">
        <f t="shared" si="4"/>
        <v>0.21186440677966101</v>
      </c>
      <c r="W46" s="788"/>
    </row>
    <row r="47" spans="1:23" ht="14.4" customHeight="1" x14ac:dyDescent="0.3">
      <c r="A47" s="849" t="s">
        <v>5006</v>
      </c>
      <c r="B47" s="793">
        <v>1</v>
      </c>
      <c r="C47" s="794">
        <v>2.52</v>
      </c>
      <c r="D47" s="795">
        <v>7</v>
      </c>
      <c r="E47" s="801"/>
      <c r="F47" s="779"/>
      <c r="G47" s="780"/>
      <c r="H47" s="785"/>
      <c r="I47" s="779"/>
      <c r="J47" s="780"/>
      <c r="K47" s="784">
        <v>1</v>
      </c>
      <c r="L47" s="785">
        <v>4</v>
      </c>
      <c r="M47" s="785">
        <v>36</v>
      </c>
      <c r="N47" s="786">
        <v>11.93</v>
      </c>
      <c r="O47" s="785" t="s">
        <v>4922</v>
      </c>
      <c r="P47" s="802" t="s">
        <v>5007</v>
      </c>
      <c r="Q47" s="787">
        <f t="shared" si="0"/>
        <v>-1</v>
      </c>
      <c r="R47" s="787">
        <f t="shared" si="0"/>
        <v>-2.52</v>
      </c>
      <c r="S47" s="798" t="str">
        <f t="shared" si="1"/>
        <v/>
      </c>
      <c r="T47" s="798" t="str">
        <f t="shared" si="2"/>
        <v/>
      </c>
      <c r="U47" s="798" t="str">
        <f t="shared" si="3"/>
        <v/>
      </c>
      <c r="V47" s="803" t="str">
        <f t="shared" si="4"/>
        <v/>
      </c>
      <c r="W47" s="788"/>
    </row>
    <row r="48" spans="1:23" ht="14.4" customHeight="1" x14ac:dyDescent="0.3">
      <c r="A48" s="849" t="s">
        <v>5008</v>
      </c>
      <c r="B48" s="793">
        <v>1</v>
      </c>
      <c r="C48" s="794">
        <v>4</v>
      </c>
      <c r="D48" s="795">
        <v>8</v>
      </c>
      <c r="E48" s="801"/>
      <c r="F48" s="779"/>
      <c r="G48" s="780"/>
      <c r="H48" s="785"/>
      <c r="I48" s="779"/>
      <c r="J48" s="780"/>
      <c r="K48" s="784">
        <v>4</v>
      </c>
      <c r="L48" s="785">
        <v>7</v>
      </c>
      <c r="M48" s="785">
        <v>65</v>
      </c>
      <c r="N48" s="786">
        <v>21.57</v>
      </c>
      <c r="O48" s="785" t="s">
        <v>4922</v>
      </c>
      <c r="P48" s="802" t="s">
        <v>5009</v>
      </c>
      <c r="Q48" s="787">
        <f t="shared" si="0"/>
        <v>-1</v>
      </c>
      <c r="R48" s="787">
        <f t="shared" si="0"/>
        <v>-4</v>
      </c>
      <c r="S48" s="798" t="str">
        <f t="shared" si="1"/>
        <v/>
      </c>
      <c r="T48" s="798" t="str">
        <f t="shared" si="2"/>
        <v/>
      </c>
      <c r="U48" s="798" t="str">
        <f t="shared" si="3"/>
        <v/>
      </c>
      <c r="V48" s="803" t="str">
        <f t="shared" si="4"/>
        <v/>
      </c>
      <c r="W48" s="788"/>
    </row>
    <row r="49" spans="1:23" ht="14.4" customHeight="1" x14ac:dyDescent="0.3">
      <c r="A49" s="849" t="s">
        <v>5010</v>
      </c>
      <c r="B49" s="793">
        <v>1</v>
      </c>
      <c r="C49" s="794">
        <v>2.25</v>
      </c>
      <c r="D49" s="795">
        <v>4</v>
      </c>
      <c r="E49" s="801"/>
      <c r="F49" s="779"/>
      <c r="G49" s="780"/>
      <c r="H49" s="785"/>
      <c r="I49" s="779"/>
      <c r="J49" s="780"/>
      <c r="K49" s="784">
        <v>3.45</v>
      </c>
      <c r="L49" s="785">
        <v>7</v>
      </c>
      <c r="M49" s="785">
        <v>64</v>
      </c>
      <c r="N49" s="786">
        <v>21.42</v>
      </c>
      <c r="O49" s="785" t="s">
        <v>4922</v>
      </c>
      <c r="P49" s="802" t="s">
        <v>5011</v>
      </c>
      <c r="Q49" s="787">
        <f t="shared" si="0"/>
        <v>-1</v>
      </c>
      <c r="R49" s="787">
        <f t="shared" si="0"/>
        <v>-2.25</v>
      </c>
      <c r="S49" s="798" t="str">
        <f t="shared" si="1"/>
        <v/>
      </c>
      <c r="T49" s="798" t="str">
        <f t="shared" si="2"/>
        <v/>
      </c>
      <c r="U49" s="798" t="str">
        <f t="shared" si="3"/>
        <v/>
      </c>
      <c r="V49" s="803" t="str">
        <f t="shared" si="4"/>
        <v/>
      </c>
      <c r="W49" s="788"/>
    </row>
    <row r="50" spans="1:23" ht="14.4" customHeight="1" x14ac:dyDescent="0.3">
      <c r="A50" s="849" t="s">
        <v>5012</v>
      </c>
      <c r="B50" s="798">
        <v>1</v>
      </c>
      <c r="C50" s="799">
        <v>0.84</v>
      </c>
      <c r="D50" s="800">
        <v>8</v>
      </c>
      <c r="E50" s="781">
        <v>1</v>
      </c>
      <c r="F50" s="782">
        <v>0.74</v>
      </c>
      <c r="G50" s="783">
        <v>9</v>
      </c>
      <c r="H50" s="785"/>
      <c r="I50" s="779"/>
      <c r="J50" s="780"/>
      <c r="K50" s="784">
        <v>0.84</v>
      </c>
      <c r="L50" s="785">
        <v>3</v>
      </c>
      <c r="M50" s="785">
        <v>31</v>
      </c>
      <c r="N50" s="786">
        <v>10.31</v>
      </c>
      <c r="O50" s="785" t="s">
        <v>4922</v>
      </c>
      <c r="P50" s="802" t="s">
        <v>5013</v>
      </c>
      <c r="Q50" s="787">
        <f t="shared" si="0"/>
        <v>-1</v>
      </c>
      <c r="R50" s="787">
        <f t="shared" si="0"/>
        <v>-0.84</v>
      </c>
      <c r="S50" s="798" t="str">
        <f t="shared" si="1"/>
        <v/>
      </c>
      <c r="T50" s="798" t="str">
        <f t="shared" si="2"/>
        <v/>
      </c>
      <c r="U50" s="798" t="str">
        <f t="shared" si="3"/>
        <v/>
      </c>
      <c r="V50" s="803" t="str">
        <f t="shared" si="4"/>
        <v/>
      </c>
      <c r="W50" s="788"/>
    </row>
    <row r="51" spans="1:23" ht="14.4" customHeight="1" x14ac:dyDescent="0.3">
      <c r="A51" s="849" t="s">
        <v>5014</v>
      </c>
      <c r="B51" s="793">
        <v>1</v>
      </c>
      <c r="C51" s="794">
        <v>5.72</v>
      </c>
      <c r="D51" s="795">
        <v>6</v>
      </c>
      <c r="E51" s="801"/>
      <c r="F51" s="779"/>
      <c r="G51" s="780"/>
      <c r="H51" s="785"/>
      <c r="I51" s="779"/>
      <c r="J51" s="780"/>
      <c r="K51" s="784">
        <v>8.18</v>
      </c>
      <c r="L51" s="785">
        <v>9</v>
      </c>
      <c r="M51" s="785">
        <v>80</v>
      </c>
      <c r="N51" s="786">
        <v>26.78</v>
      </c>
      <c r="O51" s="785" t="s">
        <v>4922</v>
      </c>
      <c r="P51" s="802" t="s">
        <v>5015</v>
      </c>
      <c r="Q51" s="787">
        <f t="shared" si="0"/>
        <v>-1</v>
      </c>
      <c r="R51" s="787">
        <f t="shared" si="0"/>
        <v>-5.72</v>
      </c>
      <c r="S51" s="798" t="str">
        <f t="shared" si="1"/>
        <v/>
      </c>
      <c r="T51" s="798" t="str">
        <f t="shared" si="2"/>
        <v/>
      </c>
      <c r="U51" s="798" t="str">
        <f t="shared" si="3"/>
        <v/>
      </c>
      <c r="V51" s="803" t="str">
        <f t="shared" si="4"/>
        <v/>
      </c>
      <c r="W51" s="788"/>
    </row>
    <row r="52" spans="1:23" ht="14.4" customHeight="1" x14ac:dyDescent="0.3">
      <c r="A52" s="849" t="s">
        <v>5016</v>
      </c>
      <c r="B52" s="793">
        <v>1</v>
      </c>
      <c r="C52" s="794">
        <v>1.56</v>
      </c>
      <c r="D52" s="795">
        <v>10</v>
      </c>
      <c r="E52" s="801"/>
      <c r="F52" s="779"/>
      <c r="G52" s="780"/>
      <c r="H52" s="785"/>
      <c r="I52" s="779"/>
      <c r="J52" s="780"/>
      <c r="K52" s="784">
        <v>1</v>
      </c>
      <c r="L52" s="785">
        <v>3</v>
      </c>
      <c r="M52" s="785">
        <v>29</v>
      </c>
      <c r="N52" s="786">
        <v>9.65</v>
      </c>
      <c r="O52" s="785" t="s">
        <v>4922</v>
      </c>
      <c r="P52" s="802" t="s">
        <v>5017</v>
      </c>
      <c r="Q52" s="787">
        <f t="shared" si="0"/>
        <v>-1</v>
      </c>
      <c r="R52" s="787">
        <f t="shared" si="0"/>
        <v>-1.56</v>
      </c>
      <c r="S52" s="798" t="str">
        <f t="shared" si="1"/>
        <v/>
      </c>
      <c r="T52" s="798" t="str">
        <f t="shared" si="2"/>
        <v/>
      </c>
      <c r="U52" s="798" t="str">
        <f t="shared" si="3"/>
        <v/>
      </c>
      <c r="V52" s="803" t="str">
        <f t="shared" si="4"/>
        <v/>
      </c>
      <c r="W52" s="788"/>
    </row>
    <row r="53" spans="1:23" ht="14.4" customHeight="1" x14ac:dyDescent="0.3">
      <c r="A53" s="849" t="s">
        <v>5018</v>
      </c>
      <c r="B53" s="798"/>
      <c r="C53" s="799"/>
      <c r="D53" s="800"/>
      <c r="E53" s="781">
        <v>1</v>
      </c>
      <c r="F53" s="782">
        <v>2.85</v>
      </c>
      <c r="G53" s="783">
        <v>2</v>
      </c>
      <c r="H53" s="785"/>
      <c r="I53" s="779"/>
      <c r="J53" s="780"/>
      <c r="K53" s="784">
        <v>2.0499999999999998</v>
      </c>
      <c r="L53" s="785">
        <v>3</v>
      </c>
      <c r="M53" s="785">
        <v>28</v>
      </c>
      <c r="N53" s="786">
        <v>9.23</v>
      </c>
      <c r="O53" s="785" t="s">
        <v>4922</v>
      </c>
      <c r="P53" s="802" t="s">
        <v>5019</v>
      </c>
      <c r="Q53" s="787">
        <f t="shared" si="0"/>
        <v>0</v>
      </c>
      <c r="R53" s="787">
        <f t="shared" si="0"/>
        <v>0</v>
      </c>
      <c r="S53" s="798" t="str">
        <f t="shared" si="1"/>
        <v/>
      </c>
      <c r="T53" s="798" t="str">
        <f t="shared" si="2"/>
        <v/>
      </c>
      <c r="U53" s="798" t="str">
        <f t="shared" si="3"/>
        <v/>
      </c>
      <c r="V53" s="803" t="str">
        <f t="shared" si="4"/>
        <v/>
      </c>
      <c r="W53" s="788"/>
    </row>
    <row r="54" spans="1:23" ht="14.4" customHeight="1" x14ac:dyDescent="0.3">
      <c r="A54" s="849" t="s">
        <v>5020</v>
      </c>
      <c r="B54" s="798">
        <v>1</v>
      </c>
      <c r="C54" s="799">
        <v>1.59</v>
      </c>
      <c r="D54" s="800">
        <v>3</v>
      </c>
      <c r="E54" s="781">
        <v>2</v>
      </c>
      <c r="F54" s="782">
        <v>8.61</v>
      </c>
      <c r="G54" s="783">
        <v>13.5</v>
      </c>
      <c r="H54" s="785">
        <v>1</v>
      </c>
      <c r="I54" s="779">
        <v>9.24</v>
      </c>
      <c r="J54" s="780">
        <v>4</v>
      </c>
      <c r="K54" s="784">
        <v>1.87</v>
      </c>
      <c r="L54" s="785">
        <v>4</v>
      </c>
      <c r="M54" s="785">
        <v>34</v>
      </c>
      <c r="N54" s="786">
        <v>11.5</v>
      </c>
      <c r="O54" s="785" t="s">
        <v>4922</v>
      </c>
      <c r="P54" s="802" t="s">
        <v>5021</v>
      </c>
      <c r="Q54" s="787">
        <f t="shared" si="0"/>
        <v>0</v>
      </c>
      <c r="R54" s="787">
        <f t="shared" si="0"/>
        <v>7.65</v>
      </c>
      <c r="S54" s="798">
        <f t="shared" si="1"/>
        <v>11.5</v>
      </c>
      <c r="T54" s="798">
        <f t="shared" si="2"/>
        <v>4</v>
      </c>
      <c r="U54" s="798">
        <f t="shared" si="3"/>
        <v>-7.5</v>
      </c>
      <c r="V54" s="803">
        <f t="shared" si="4"/>
        <v>0.34782608695652173</v>
      </c>
      <c r="W54" s="788"/>
    </row>
    <row r="55" spans="1:23" ht="14.4" customHeight="1" x14ac:dyDescent="0.3">
      <c r="A55" s="849" t="s">
        <v>5022</v>
      </c>
      <c r="B55" s="798"/>
      <c r="C55" s="799"/>
      <c r="D55" s="800"/>
      <c r="E55" s="781">
        <v>2</v>
      </c>
      <c r="F55" s="782">
        <v>11.04</v>
      </c>
      <c r="G55" s="783">
        <v>7.5</v>
      </c>
      <c r="H55" s="785">
        <v>1</v>
      </c>
      <c r="I55" s="779">
        <v>6.74</v>
      </c>
      <c r="J55" s="780">
        <v>8</v>
      </c>
      <c r="K55" s="784">
        <v>6.74</v>
      </c>
      <c r="L55" s="785">
        <v>8</v>
      </c>
      <c r="M55" s="785">
        <v>71</v>
      </c>
      <c r="N55" s="786">
        <v>23.79</v>
      </c>
      <c r="O55" s="785" t="s">
        <v>4922</v>
      </c>
      <c r="P55" s="802" t="s">
        <v>5023</v>
      </c>
      <c r="Q55" s="787">
        <f t="shared" si="0"/>
        <v>1</v>
      </c>
      <c r="R55" s="787">
        <f t="shared" si="0"/>
        <v>6.74</v>
      </c>
      <c r="S55" s="798">
        <f t="shared" si="1"/>
        <v>23.79</v>
      </c>
      <c r="T55" s="798">
        <f t="shared" si="2"/>
        <v>8</v>
      </c>
      <c r="U55" s="798">
        <f t="shared" si="3"/>
        <v>-15.79</v>
      </c>
      <c r="V55" s="803">
        <f t="shared" si="4"/>
        <v>0.33627574611181171</v>
      </c>
      <c r="W55" s="788"/>
    </row>
    <row r="56" spans="1:23" ht="14.4" customHeight="1" x14ac:dyDescent="0.3">
      <c r="A56" s="849" t="s">
        <v>5024</v>
      </c>
      <c r="B56" s="798">
        <v>2</v>
      </c>
      <c r="C56" s="799">
        <v>4.96</v>
      </c>
      <c r="D56" s="800">
        <v>15</v>
      </c>
      <c r="E56" s="801">
        <v>6</v>
      </c>
      <c r="F56" s="779">
        <v>9.98</v>
      </c>
      <c r="G56" s="780">
        <v>11.2</v>
      </c>
      <c r="H56" s="781">
        <v>7</v>
      </c>
      <c r="I56" s="782">
        <v>13.87</v>
      </c>
      <c r="J56" s="783">
        <v>5.4</v>
      </c>
      <c r="K56" s="784">
        <v>2.14</v>
      </c>
      <c r="L56" s="785">
        <v>5</v>
      </c>
      <c r="M56" s="785">
        <v>41</v>
      </c>
      <c r="N56" s="786">
        <v>13.8</v>
      </c>
      <c r="O56" s="785" t="s">
        <v>4922</v>
      </c>
      <c r="P56" s="802" t="s">
        <v>5025</v>
      </c>
      <c r="Q56" s="787">
        <f t="shared" si="0"/>
        <v>5</v>
      </c>
      <c r="R56" s="787">
        <f t="shared" si="0"/>
        <v>8.91</v>
      </c>
      <c r="S56" s="798">
        <f t="shared" si="1"/>
        <v>96.600000000000009</v>
      </c>
      <c r="T56" s="798">
        <f t="shared" si="2"/>
        <v>37.800000000000004</v>
      </c>
      <c r="U56" s="798">
        <f t="shared" si="3"/>
        <v>-58.800000000000004</v>
      </c>
      <c r="V56" s="803">
        <f t="shared" si="4"/>
        <v>0.39130434782608697</v>
      </c>
      <c r="W56" s="788"/>
    </row>
    <row r="57" spans="1:23" ht="14.4" customHeight="1" x14ac:dyDescent="0.3">
      <c r="A57" s="849" t="s">
        <v>5026</v>
      </c>
      <c r="B57" s="793">
        <v>1</v>
      </c>
      <c r="C57" s="794">
        <v>0.52</v>
      </c>
      <c r="D57" s="795">
        <v>2</v>
      </c>
      <c r="E57" s="801"/>
      <c r="F57" s="779"/>
      <c r="G57" s="780"/>
      <c r="H57" s="785"/>
      <c r="I57" s="779"/>
      <c r="J57" s="780"/>
      <c r="K57" s="784">
        <v>0.78</v>
      </c>
      <c r="L57" s="785">
        <v>3</v>
      </c>
      <c r="M57" s="785">
        <v>23</v>
      </c>
      <c r="N57" s="786">
        <v>7.67</v>
      </c>
      <c r="O57" s="785" t="s">
        <v>4922</v>
      </c>
      <c r="P57" s="802" t="s">
        <v>5027</v>
      </c>
      <c r="Q57" s="787">
        <f t="shared" si="0"/>
        <v>-1</v>
      </c>
      <c r="R57" s="787">
        <f t="shared" si="0"/>
        <v>-0.52</v>
      </c>
      <c r="S57" s="798" t="str">
        <f t="shared" si="1"/>
        <v/>
      </c>
      <c r="T57" s="798" t="str">
        <f t="shared" si="2"/>
        <v/>
      </c>
      <c r="U57" s="798" t="str">
        <f t="shared" si="3"/>
        <v/>
      </c>
      <c r="V57" s="803" t="str">
        <f t="shared" si="4"/>
        <v/>
      </c>
      <c r="W57" s="788"/>
    </row>
    <row r="58" spans="1:23" ht="14.4" customHeight="1" x14ac:dyDescent="0.3">
      <c r="A58" s="849" t="s">
        <v>5028</v>
      </c>
      <c r="B58" s="798">
        <v>1</v>
      </c>
      <c r="C58" s="799">
        <v>0.55000000000000004</v>
      </c>
      <c r="D58" s="800">
        <v>2</v>
      </c>
      <c r="E58" s="781"/>
      <c r="F58" s="782"/>
      <c r="G58" s="783"/>
      <c r="H58" s="785"/>
      <c r="I58" s="779"/>
      <c r="J58" s="780"/>
      <c r="K58" s="784">
        <v>0.55000000000000004</v>
      </c>
      <c r="L58" s="785">
        <v>2</v>
      </c>
      <c r="M58" s="785">
        <v>18</v>
      </c>
      <c r="N58" s="786">
        <v>6.15</v>
      </c>
      <c r="O58" s="785" t="s">
        <v>4922</v>
      </c>
      <c r="P58" s="802" t="s">
        <v>5029</v>
      </c>
      <c r="Q58" s="787">
        <f t="shared" si="0"/>
        <v>-1</v>
      </c>
      <c r="R58" s="787">
        <f t="shared" si="0"/>
        <v>-0.55000000000000004</v>
      </c>
      <c r="S58" s="798" t="str">
        <f t="shared" si="1"/>
        <v/>
      </c>
      <c r="T58" s="798" t="str">
        <f t="shared" si="2"/>
        <v/>
      </c>
      <c r="U58" s="798" t="str">
        <f t="shared" si="3"/>
        <v/>
      </c>
      <c r="V58" s="803" t="str">
        <f t="shared" si="4"/>
        <v/>
      </c>
      <c r="W58" s="788"/>
    </row>
    <row r="59" spans="1:23" ht="14.4" customHeight="1" x14ac:dyDescent="0.3">
      <c r="A59" s="850" t="s">
        <v>5030</v>
      </c>
      <c r="B59" s="834"/>
      <c r="C59" s="835"/>
      <c r="D59" s="804"/>
      <c r="E59" s="838">
        <v>1</v>
      </c>
      <c r="F59" s="839">
        <v>0.81</v>
      </c>
      <c r="G59" s="797">
        <v>2</v>
      </c>
      <c r="H59" s="841"/>
      <c r="I59" s="837"/>
      <c r="J59" s="790"/>
      <c r="K59" s="840">
        <v>1.3</v>
      </c>
      <c r="L59" s="841">
        <v>4</v>
      </c>
      <c r="M59" s="841">
        <v>35</v>
      </c>
      <c r="N59" s="842">
        <v>11.5</v>
      </c>
      <c r="O59" s="841" t="s">
        <v>4922</v>
      </c>
      <c r="P59" s="843" t="s">
        <v>5031</v>
      </c>
      <c r="Q59" s="844">
        <f t="shared" si="0"/>
        <v>0</v>
      </c>
      <c r="R59" s="844">
        <f t="shared" si="0"/>
        <v>0</v>
      </c>
      <c r="S59" s="834" t="str">
        <f t="shared" si="1"/>
        <v/>
      </c>
      <c r="T59" s="834" t="str">
        <f t="shared" si="2"/>
        <v/>
      </c>
      <c r="U59" s="834" t="str">
        <f t="shared" si="3"/>
        <v/>
      </c>
      <c r="V59" s="845" t="str">
        <f t="shared" si="4"/>
        <v/>
      </c>
      <c r="W59" s="792"/>
    </row>
    <row r="60" spans="1:23" ht="14.4" customHeight="1" x14ac:dyDescent="0.3">
      <c r="A60" s="849" t="s">
        <v>5032</v>
      </c>
      <c r="B60" s="798"/>
      <c r="C60" s="799"/>
      <c r="D60" s="800"/>
      <c r="E60" s="801"/>
      <c r="F60" s="779"/>
      <c r="G60" s="780"/>
      <c r="H60" s="781">
        <v>1</v>
      </c>
      <c r="I60" s="782">
        <v>3.62</v>
      </c>
      <c r="J60" s="783">
        <v>5</v>
      </c>
      <c r="K60" s="784">
        <v>3.62</v>
      </c>
      <c r="L60" s="785">
        <v>5</v>
      </c>
      <c r="M60" s="785">
        <v>41</v>
      </c>
      <c r="N60" s="786">
        <v>13.74</v>
      </c>
      <c r="O60" s="785" t="s">
        <v>4922</v>
      </c>
      <c r="P60" s="802" t="s">
        <v>5033</v>
      </c>
      <c r="Q60" s="787">
        <f t="shared" si="0"/>
        <v>1</v>
      </c>
      <c r="R60" s="787">
        <f t="shared" si="0"/>
        <v>3.62</v>
      </c>
      <c r="S60" s="798">
        <f t="shared" si="1"/>
        <v>13.74</v>
      </c>
      <c r="T60" s="798">
        <f t="shared" si="2"/>
        <v>5</v>
      </c>
      <c r="U60" s="798">
        <f t="shared" si="3"/>
        <v>-8.74</v>
      </c>
      <c r="V60" s="803">
        <f t="shared" si="4"/>
        <v>0.36390101892285298</v>
      </c>
      <c r="W60" s="788"/>
    </row>
    <row r="61" spans="1:23" ht="14.4" customHeight="1" x14ac:dyDescent="0.3">
      <c r="A61" s="849" t="s">
        <v>5034</v>
      </c>
      <c r="B61" s="793">
        <v>1</v>
      </c>
      <c r="C61" s="794">
        <v>1.19</v>
      </c>
      <c r="D61" s="795">
        <v>2</v>
      </c>
      <c r="E61" s="801"/>
      <c r="F61" s="779"/>
      <c r="G61" s="780"/>
      <c r="H61" s="785"/>
      <c r="I61" s="779"/>
      <c r="J61" s="780"/>
      <c r="K61" s="784">
        <v>1.19</v>
      </c>
      <c r="L61" s="785">
        <v>2</v>
      </c>
      <c r="M61" s="785">
        <v>20</v>
      </c>
      <c r="N61" s="786">
        <v>6.56</v>
      </c>
      <c r="O61" s="785" t="s">
        <v>4922</v>
      </c>
      <c r="P61" s="802" t="s">
        <v>5035</v>
      </c>
      <c r="Q61" s="787">
        <f t="shared" si="0"/>
        <v>-1</v>
      </c>
      <c r="R61" s="787">
        <f t="shared" si="0"/>
        <v>-1.19</v>
      </c>
      <c r="S61" s="798" t="str">
        <f t="shared" si="1"/>
        <v/>
      </c>
      <c r="T61" s="798" t="str">
        <f t="shared" si="2"/>
        <v/>
      </c>
      <c r="U61" s="798" t="str">
        <f t="shared" si="3"/>
        <v/>
      </c>
      <c r="V61" s="803" t="str">
        <f t="shared" si="4"/>
        <v/>
      </c>
      <c r="W61" s="788"/>
    </row>
    <row r="62" spans="1:23" ht="14.4" customHeight="1" x14ac:dyDescent="0.3">
      <c r="A62" s="849" t="s">
        <v>5036</v>
      </c>
      <c r="B62" s="798"/>
      <c r="C62" s="799"/>
      <c r="D62" s="800"/>
      <c r="E62" s="801">
        <v>1</v>
      </c>
      <c r="F62" s="779">
        <v>0.4</v>
      </c>
      <c r="G62" s="780">
        <v>1</v>
      </c>
      <c r="H62" s="781">
        <v>5</v>
      </c>
      <c r="I62" s="782">
        <v>2.75</v>
      </c>
      <c r="J62" s="783">
        <v>1.8</v>
      </c>
      <c r="K62" s="784">
        <v>1.02</v>
      </c>
      <c r="L62" s="785">
        <v>3</v>
      </c>
      <c r="M62" s="785">
        <v>29</v>
      </c>
      <c r="N62" s="786">
        <v>9.59</v>
      </c>
      <c r="O62" s="785" t="s">
        <v>4922</v>
      </c>
      <c r="P62" s="802" t="s">
        <v>5037</v>
      </c>
      <c r="Q62" s="787">
        <f t="shared" si="0"/>
        <v>5</v>
      </c>
      <c r="R62" s="787">
        <f t="shared" si="0"/>
        <v>2.75</v>
      </c>
      <c r="S62" s="798">
        <f t="shared" si="1"/>
        <v>47.95</v>
      </c>
      <c r="T62" s="798">
        <f t="shared" si="2"/>
        <v>9</v>
      </c>
      <c r="U62" s="798">
        <f t="shared" si="3"/>
        <v>-38.950000000000003</v>
      </c>
      <c r="V62" s="803">
        <f t="shared" si="4"/>
        <v>0.18769551616266944</v>
      </c>
      <c r="W62" s="788"/>
    </row>
    <row r="63" spans="1:23" ht="14.4" customHeight="1" x14ac:dyDescent="0.3">
      <c r="A63" s="849" t="s">
        <v>5038</v>
      </c>
      <c r="B63" s="798"/>
      <c r="C63" s="799"/>
      <c r="D63" s="800"/>
      <c r="E63" s="801"/>
      <c r="F63" s="779"/>
      <c r="G63" s="780"/>
      <c r="H63" s="781">
        <v>1</v>
      </c>
      <c r="I63" s="782">
        <v>5.97</v>
      </c>
      <c r="J63" s="783">
        <v>3</v>
      </c>
      <c r="K63" s="784">
        <v>3.16</v>
      </c>
      <c r="L63" s="785">
        <v>5</v>
      </c>
      <c r="M63" s="785">
        <v>44</v>
      </c>
      <c r="N63" s="786">
        <v>14.66</v>
      </c>
      <c r="O63" s="785" t="s">
        <v>4922</v>
      </c>
      <c r="P63" s="802" t="s">
        <v>5039</v>
      </c>
      <c r="Q63" s="787">
        <f t="shared" si="0"/>
        <v>1</v>
      </c>
      <c r="R63" s="787">
        <f t="shared" si="0"/>
        <v>5.97</v>
      </c>
      <c r="S63" s="798">
        <f t="shared" si="1"/>
        <v>14.66</v>
      </c>
      <c r="T63" s="798">
        <f t="shared" si="2"/>
        <v>3</v>
      </c>
      <c r="U63" s="798">
        <f t="shared" si="3"/>
        <v>-11.66</v>
      </c>
      <c r="V63" s="803">
        <f t="shared" si="4"/>
        <v>0.20463847203274216</v>
      </c>
      <c r="W63" s="788"/>
    </row>
    <row r="64" spans="1:23" ht="14.4" customHeight="1" x14ac:dyDescent="0.3">
      <c r="A64" s="850" t="s">
        <v>5040</v>
      </c>
      <c r="B64" s="834">
        <v>1</v>
      </c>
      <c r="C64" s="835">
        <v>3.22</v>
      </c>
      <c r="D64" s="804">
        <v>4</v>
      </c>
      <c r="E64" s="836"/>
      <c r="F64" s="837"/>
      <c r="G64" s="790"/>
      <c r="H64" s="838"/>
      <c r="I64" s="839"/>
      <c r="J64" s="797"/>
      <c r="K64" s="840">
        <v>5.65</v>
      </c>
      <c r="L64" s="841">
        <v>8</v>
      </c>
      <c r="M64" s="841">
        <v>75</v>
      </c>
      <c r="N64" s="842">
        <v>24.87</v>
      </c>
      <c r="O64" s="841" t="s">
        <v>4922</v>
      </c>
      <c r="P64" s="843" t="s">
        <v>5041</v>
      </c>
      <c r="Q64" s="844">
        <f t="shared" si="0"/>
        <v>-1</v>
      </c>
      <c r="R64" s="844">
        <f t="shared" si="0"/>
        <v>-3.22</v>
      </c>
      <c r="S64" s="834" t="str">
        <f t="shared" si="1"/>
        <v/>
      </c>
      <c r="T64" s="834" t="str">
        <f t="shared" si="2"/>
        <v/>
      </c>
      <c r="U64" s="834" t="str">
        <f t="shared" si="3"/>
        <v/>
      </c>
      <c r="V64" s="845" t="str">
        <f t="shared" si="4"/>
        <v/>
      </c>
      <c r="W64" s="792"/>
    </row>
    <row r="65" spans="1:23" ht="14.4" customHeight="1" x14ac:dyDescent="0.3">
      <c r="A65" s="849" t="s">
        <v>5042</v>
      </c>
      <c r="B65" s="798"/>
      <c r="C65" s="799"/>
      <c r="D65" s="800"/>
      <c r="E65" s="781">
        <v>1</v>
      </c>
      <c r="F65" s="782">
        <v>23</v>
      </c>
      <c r="G65" s="783">
        <v>28</v>
      </c>
      <c r="H65" s="785"/>
      <c r="I65" s="779"/>
      <c r="J65" s="780"/>
      <c r="K65" s="784">
        <v>24.51</v>
      </c>
      <c r="L65" s="785">
        <v>11</v>
      </c>
      <c r="M65" s="785">
        <v>103</v>
      </c>
      <c r="N65" s="786">
        <v>34.270000000000003</v>
      </c>
      <c r="O65" s="785" t="s">
        <v>4922</v>
      </c>
      <c r="P65" s="802" t="s">
        <v>5043</v>
      </c>
      <c r="Q65" s="787">
        <f t="shared" si="0"/>
        <v>0</v>
      </c>
      <c r="R65" s="787">
        <f t="shared" si="0"/>
        <v>0</v>
      </c>
      <c r="S65" s="798" t="str">
        <f t="shared" si="1"/>
        <v/>
      </c>
      <c r="T65" s="798" t="str">
        <f t="shared" si="2"/>
        <v/>
      </c>
      <c r="U65" s="798" t="str">
        <f t="shared" si="3"/>
        <v/>
      </c>
      <c r="V65" s="803" t="str">
        <f t="shared" si="4"/>
        <v/>
      </c>
      <c r="W65" s="788"/>
    </row>
    <row r="66" spans="1:23" ht="14.4" customHeight="1" x14ac:dyDescent="0.3">
      <c r="A66" s="849" t="s">
        <v>5044</v>
      </c>
      <c r="B66" s="793">
        <v>2</v>
      </c>
      <c r="C66" s="794">
        <v>24.39</v>
      </c>
      <c r="D66" s="795">
        <v>7.5</v>
      </c>
      <c r="E66" s="801"/>
      <c r="F66" s="779"/>
      <c r="G66" s="780"/>
      <c r="H66" s="785"/>
      <c r="I66" s="779"/>
      <c r="J66" s="780"/>
      <c r="K66" s="784">
        <v>16.940000000000001</v>
      </c>
      <c r="L66" s="785">
        <v>10</v>
      </c>
      <c r="M66" s="785">
        <v>93</v>
      </c>
      <c r="N66" s="786">
        <v>31.16</v>
      </c>
      <c r="O66" s="785" t="s">
        <v>4922</v>
      </c>
      <c r="P66" s="802" t="s">
        <v>5045</v>
      </c>
      <c r="Q66" s="787">
        <f t="shared" si="0"/>
        <v>-2</v>
      </c>
      <c r="R66" s="787">
        <f t="shared" si="0"/>
        <v>-24.39</v>
      </c>
      <c r="S66" s="798" t="str">
        <f t="shared" si="1"/>
        <v/>
      </c>
      <c r="T66" s="798" t="str">
        <f t="shared" si="2"/>
        <v/>
      </c>
      <c r="U66" s="798" t="str">
        <f t="shared" si="3"/>
        <v/>
      </c>
      <c r="V66" s="803" t="str">
        <f t="shared" si="4"/>
        <v/>
      </c>
      <c r="W66" s="788"/>
    </row>
    <row r="67" spans="1:23" ht="14.4" customHeight="1" x14ac:dyDescent="0.3">
      <c r="A67" s="849" t="s">
        <v>5046</v>
      </c>
      <c r="B67" s="798"/>
      <c r="C67" s="799"/>
      <c r="D67" s="800"/>
      <c r="E67" s="801"/>
      <c r="F67" s="779"/>
      <c r="G67" s="780"/>
      <c r="H67" s="781">
        <v>2</v>
      </c>
      <c r="I67" s="782">
        <v>16.579999999999998</v>
      </c>
      <c r="J67" s="789">
        <v>21</v>
      </c>
      <c r="K67" s="784">
        <v>8.24</v>
      </c>
      <c r="L67" s="785">
        <v>6</v>
      </c>
      <c r="M67" s="785">
        <v>53</v>
      </c>
      <c r="N67" s="786">
        <v>17.59</v>
      </c>
      <c r="O67" s="785" t="s">
        <v>4922</v>
      </c>
      <c r="P67" s="802" t="s">
        <v>5047</v>
      </c>
      <c r="Q67" s="787">
        <f t="shared" si="0"/>
        <v>2</v>
      </c>
      <c r="R67" s="787">
        <f t="shared" si="0"/>
        <v>16.579999999999998</v>
      </c>
      <c r="S67" s="798">
        <f t="shared" si="1"/>
        <v>35.18</v>
      </c>
      <c r="T67" s="798">
        <f t="shared" si="2"/>
        <v>42</v>
      </c>
      <c r="U67" s="798">
        <f t="shared" si="3"/>
        <v>6.82</v>
      </c>
      <c r="V67" s="803">
        <f t="shared" si="4"/>
        <v>1.1938601478112565</v>
      </c>
      <c r="W67" s="788">
        <v>14</v>
      </c>
    </row>
    <row r="68" spans="1:23" ht="14.4" customHeight="1" x14ac:dyDescent="0.3">
      <c r="A68" s="849" t="s">
        <v>5048</v>
      </c>
      <c r="B68" s="793">
        <v>2</v>
      </c>
      <c r="C68" s="794">
        <v>5.74</v>
      </c>
      <c r="D68" s="795">
        <v>2.5</v>
      </c>
      <c r="E68" s="801"/>
      <c r="F68" s="779"/>
      <c r="G68" s="780"/>
      <c r="H68" s="785">
        <v>1</v>
      </c>
      <c r="I68" s="779">
        <v>6.86</v>
      </c>
      <c r="J68" s="780">
        <v>1</v>
      </c>
      <c r="K68" s="784">
        <v>2.66</v>
      </c>
      <c r="L68" s="785">
        <v>1</v>
      </c>
      <c r="M68" s="785">
        <v>6</v>
      </c>
      <c r="N68" s="786">
        <v>2.11</v>
      </c>
      <c r="O68" s="785" t="s">
        <v>4922</v>
      </c>
      <c r="P68" s="802" t="s">
        <v>5049</v>
      </c>
      <c r="Q68" s="787">
        <f t="shared" si="0"/>
        <v>-1</v>
      </c>
      <c r="R68" s="787">
        <f t="shared" si="0"/>
        <v>1.1200000000000001</v>
      </c>
      <c r="S68" s="798">
        <f t="shared" si="1"/>
        <v>2.11</v>
      </c>
      <c r="T68" s="798">
        <f t="shared" si="2"/>
        <v>1</v>
      </c>
      <c r="U68" s="798">
        <f t="shared" si="3"/>
        <v>-1.1099999999999999</v>
      </c>
      <c r="V68" s="803">
        <f t="shared" si="4"/>
        <v>0.47393364928909953</v>
      </c>
      <c r="W68" s="788"/>
    </row>
    <row r="69" spans="1:23" ht="14.4" customHeight="1" x14ac:dyDescent="0.3">
      <c r="A69" s="849" t="s">
        <v>5050</v>
      </c>
      <c r="B69" s="798">
        <v>1</v>
      </c>
      <c r="C69" s="799">
        <v>11.18</v>
      </c>
      <c r="D69" s="800">
        <v>3</v>
      </c>
      <c r="E69" s="781"/>
      <c r="F69" s="782"/>
      <c r="G69" s="783"/>
      <c r="H69" s="785"/>
      <c r="I69" s="779"/>
      <c r="J69" s="780"/>
      <c r="K69" s="784">
        <v>1</v>
      </c>
      <c r="L69" s="785">
        <v>2</v>
      </c>
      <c r="M69" s="785">
        <v>19</v>
      </c>
      <c r="N69" s="786">
        <v>6.33</v>
      </c>
      <c r="O69" s="785" t="s">
        <v>4922</v>
      </c>
      <c r="P69" s="802" t="s">
        <v>5051</v>
      </c>
      <c r="Q69" s="787">
        <f t="shared" si="0"/>
        <v>-1</v>
      </c>
      <c r="R69" s="787">
        <f t="shared" si="0"/>
        <v>-11.18</v>
      </c>
      <c r="S69" s="798" t="str">
        <f t="shared" si="1"/>
        <v/>
      </c>
      <c r="T69" s="798" t="str">
        <f t="shared" si="2"/>
        <v/>
      </c>
      <c r="U69" s="798" t="str">
        <f t="shared" si="3"/>
        <v/>
      </c>
      <c r="V69" s="803" t="str">
        <f t="shared" si="4"/>
        <v/>
      </c>
      <c r="W69" s="788"/>
    </row>
    <row r="70" spans="1:23" ht="14.4" customHeight="1" x14ac:dyDescent="0.3">
      <c r="A70" s="850" t="s">
        <v>5052</v>
      </c>
      <c r="B70" s="834"/>
      <c r="C70" s="835"/>
      <c r="D70" s="804"/>
      <c r="E70" s="838">
        <v>2</v>
      </c>
      <c r="F70" s="839">
        <v>8.52</v>
      </c>
      <c r="G70" s="797">
        <v>6.5</v>
      </c>
      <c r="H70" s="841">
        <v>1</v>
      </c>
      <c r="I70" s="837">
        <v>3.21</v>
      </c>
      <c r="J70" s="790">
        <v>5</v>
      </c>
      <c r="K70" s="840">
        <v>4.25</v>
      </c>
      <c r="L70" s="841">
        <v>7</v>
      </c>
      <c r="M70" s="841">
        <v>60</v>
      </c>
      <c r="N70" s="842">
        <v>20.079999999999998</v>
      </c>
      <c r="O70" s="841" t="s">
        <v>4922</v>
      </c>
      <c r="P70" s="843" t="s">
        <v>5053</v>
      </c>
      <c r="Q70" s="844">
        <f>H70-B70</f>
        <v>1</v>
      </c>
      <c r="R70" s="844">
        <f>I70-C70</f>
        <v>3.21</v>
      </c>
      <c r="S70" s="834">
        <f>IF(H70=0,"",H70*N70)</f>
        <v>20.079999999999998</v>
      </c>
      <c r="T70" s="834">
        <f>IF(H70=0,"",H70*J70)</f>
        <v>5</v>
      </c>
      <c r="U70" s="834">
        <f>IF(H70=0,"",T70-S70)</f>
        <v>-15.079999999999998</v>
      </c>
      <c r="V70" s="845">
        <f>IF(H70=0,"",T70/S70)</f>
        <v>0.24900398406374505</v>
      </c>
      <c r="W70" s="792"/>
    </row>
    <row r="71" spans="1:23" ht="14.4" customHeight="1" thickBot="1" x14ac:dyDescent="0.35">
      <c r="A71" s="851" t="s">
        <v>5054</v>
      </c>
      <c r="B71" s="852">
        <v>1</v>
      </c>
      <c r="C71" s="853">
        <v>0.14000000000000001</v>
      </c>
      <c r="D71" s="854">
        <v>3</v>
      </c>
      <c r="E71" s="855"/>
      <c r="F71" s="856"/>
      <c r="G71" s="857"/>
      <c r="H71" s="858"/>
      <c r="I71" s="856"/>
      <c r="J71" s="857"/>
      <c r="K71" s="859">
        <v>0.11</v>
      </c>
      <c r="L71" s="858">
        <v>2</v>
      </c>
      <c r="M71" s="858">
        <v>15</v>
      </c>
      <c r="N71" s="860">
        <v>5.09</v>
      </c>
      <c r="O71" s="858" t="s">
        <v>4922</v>
      </c>
      <c r="P71" s="861" t="s">
        <v>5055</v>
      </c>
      <c r="Q71" s="862">
        <f>H71-B71</f>
        <v>-1</v>
      </c>
      <c r="R71" s="862">
        <f>I71-C71</f>
        <v>-0.14000000000000001</v>
      </c>
      <c r="S71" s="863" t="str">
        <f>IF(H71=0,"",H71*N71)</f>
        <v/>
      </c>
      <c r="T71" s="863" t="str">
        <f>IF(H71=0,"",H71*J71)</f>
        <v/>
      </c>
      <c r="U71" s="863" t="str">
        <f>IF(H71=0,"",T71-S71)</f>
        <v/>
      </c>
      <c r="V71" s="864" t="str">
        <f>IF(H71=0,"",T71/S71)</f>
        <v/>
      </c>
      <c r="W71" s="865"/>
    </row>
  </sheetData>
  <autoFilter ref="A4:W4"/>
  <mergeCells count="12">
    <mergeCell ref="S3:V3"/>
    <mergeCell ref="A1:W1"/>
    <mergeCell ref="L3:L4"/>
    <mergeCell ref="M3:M4"/>
    <mergeCell ref="N3:N4"/>
    <mergeCell ref="P3:P4"/>
    <mergeCell ref="Q3:R3"/>
    <mergeCell ref="A3:A4"/>
    <mergeCell ref="B3:D3"/>
    <mergeCell ref="E3:G3"/>
    <mergeCell ref="H3:J3"/>
    <mergeCell ref="K3:K4"/>
  </mergeCells>
  <conditionalFormatting sqref="Q72:Q1048576">
    <cfRule type="cellIs" dxfId="12" priority="9" stopIfTrue="1" operator="lessThan">
      <formula>0</formula>
    </cfRule>
  </conditionalFormatting>
  <conditionalFormatting sqref="U72:U1048576">
    <cfRule type="cellIs" dxfId="11" priority="8" stopIfTrue="1" operator="greaterThan">
      <formula>0</formula>
    </cfRule>
  </conditionalFormatting>
  <conditionalFormatting sqref="V72:V1048576">
    <cfRule type="cellIs" dxfId="10" priority="7" stopIfTrue="1" operator="greaterThan">
      <formula>1</formula>
    </cfRule>
  </conditionalFormatting>
  <conditionalFormatting sqref="V72:V1048576">
    <cfRule type="cellIs" dxfId="9" priority="4" stopIfTrue="1" operator="greaterThan">
      <formula>1</formula>
    </cfRule>
  </conditionalFormatting>
  <conditionalFormatting sqref="U72:U1048576">
    <cfRule type="cellIs" dxfId="8" priority="5" stopIfTrue="1" operator="greaterThan">
      <formula>0</formula>
    </cfRule>
  </conditionalFormatting>
  <conditionalFormatting sqref="Q72:Q1048576">
    <cfRule type="cellIs" dxfId="7" priority="6" stopIfTrue="1" operator="lessThan">
      <formula>0</formula>
    </cfRule>
  </conditionalFormatting>
  <conditionalFormatting sqref="V5:V71">
    <cfRule type="cellIs" dxfId="6" priority="1" stopIfTrue="1" operator="greaterThan">
      <formula>1</formula>
    </cfRule>
  </conditionalFormatting>
  <conditionalFormatting sqref="U5:U71">
    <cfRule type="cellIs" dxfId="5" priority="2" stopIfTrue="1" operator="greaterThan">
      <formula>0</formula>
    </cfRule>
  </conditionalFormatting>
  <conditionalFormatting sqref="Q5:Q71">
    <cfRule type="cellIs" dxfId="4" priority="3" stopIfTrue="1" operator="lessThan">
      <formula>0</formula>
    </cfRule>
  </conditionalFormatting>
  <hyperlinks>
    <hyperlink ref="A2" location="Obsah!A1" display="Zpět na Obsah  KL 01  1.-4.měsíc"/>
  </hyperlinks>
  <printOptions gridLines="1"/>
  <pageMargins left="0.25" right="0.25" top="0.75" bottom="0.75" header="0.3" footer="0.3"/>
  <pageSetup paperSize="9" scale="68" fitToHeight="0" orientation="landscape" r:id="rId1"/>
  <headerFooter alignWithMargins="0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4">
    <tabColor theme="0" tint="-0.249977111117893"/>
    <pageSetUpPr fitToPage="1"/>
  </sheetPr>
  <dimension ref="A1:M17"/>
  <sheetViews>
    <sheetView showGridLines="0" showRowColHeaders="0" workbookViewId="0">
      <pane ySplit="5" topLeftCell="A6" activePane="bottomLeft" state="frozen"/>
      <selection sqref="A1:N1"/>
      <selection pane="bottomLeft" sqref="A1:M1"/>
    </sheetView>
  </sheetViews>
  <sheetFormatPr defaultRowHeight="14.4" customHeight="1" x14ac:dyDescent="0.3"/>
  <cols>
    <col min="1" max="1" width="43.21875" style="257" customWidth="1"/>
    <col min="2" max="2" width="7.77734375" style="222" customWidth="1"/>
    <col min="3" max="3" width="7.21875" style="257" hidden="1" customWidth="1"/>
    <col min="4" max="4" width="7.77734375" style="222" customWidth="1"/>
    <col min="5" max="5" width="7.21875" style="257" hidden="1" customWidth="1"/>
    <col min="6" max="6" width="7.77734375" style="222" customWidth="1"/>
    <col min="7" max="7" width="7.77734375" style="343" customWidth="1"/>
    <col min="8" max="8" width="7.77734375" style="222" customWidth="1"/>
    <col min="9" max="9" width="7.21875" style="257" hidden="1" customWidth="1"/>
    <col min="10" max="10" width="7.77734375" style="222" customWidth="1"/>
    <col min="11" max="11" width="7.21875" style="257" hidden="1" customWidth="1"/>
    <col min="12" max="12" width="7.77734375" style="222" customWidth="1"/>
    <col min="13" max="13" width="7.77734375" style="343" customWidth="1"/>
    <col min="14" max="16384" width="8.88671875" style="257"/>
  </cols>
  <sheetData>
    <row r="1" spans="1:13" ht="18.600000000000001" customHeight="1" thickBot="1" x14ac:dyDescent="0.4">
      <c r="A1" s="467" t="s">
        <v>159</v>
      </c>
      <c r="B1" s="458"/>
      <c r="C1" s="458"/>
      <c r="D1" s="458"/>
      <c r="E1" s="458"/>
      <c r="F1" s="458"/>
      <c r="G1" s="458"/>
      <c r="H1" s="458"/>
      <c r="I1" s="458"/>
      <c r="J1" s="458"/>
      <c r="K1" s="458"/>
      <c r="L1" s="458"/>
      <c r="M1" s="458"/>
    </row>
    <row r="2" spans="1:13" ht="14.4" customHeight="1" thickBot="1" x14ac:dyDescent="0.35">
      <c r="A2" s="386" t="s">
        <v>321</v>
      </c>
      <c r="B2" s="359"/>
      <c r="C2" s="227"/>
      <c r="D2" s="359"/>
      <c r="E2" s="227"/>
      <c r="F2" s="359"/>
      <c r="G2" s="360"/>
      <c r="H2" s="359"/>
      <c r="I2" s="227"/>
      <c r="J2" s="359"/>
      <c r="K2" s="227"/>
      <c r="L2" s="359"/>
      <c r="M2" s="360"/>
    </row>
    <row r="3" spans="1:13" ht="14.4" customHeight="1" thickBot="1" x14ac:dyDescent="0.35">
      <c r="A3" s="353" t="s">
        <v>160</v>
      </c>
      <c r="B3" s="354">
        <f>SUBTOTAL(9,B6:B1048576)</f>
        <v>3453497</v>
      </c>
      <c r="C3" s="355">
        <f t="shared" ref="C3:L3" si="0">SUBTOTAL(9,C6:C1048576)</f>
        <v>8</v>
      </c>
      <c r="D3" s="355">
        <f t="shared" si="0"/>
        <v>4211089</v>
      </c>
      <c r="E3" s="355">
        <f t="shared" si="0"/>
        <v>14.888021786052549</v>
      </c>
      <c r="F3" s="355">
        <f t="shared" si="0"/>
        <v>3520744</v>
      </c>
      <c r="G3" s="358">
        <f>IF(B3&lt;&gt;0,F3/B3,"")</f>
        <v>1.0194721466386101</v>
      </c>
      <c r="H3" s="354">
        <f t="shared" si="0"/>
        <v>210705.53</v>
      </c>
      <c r="I3" s="355">
        <f t="shared" si="0"/>
        <v>2</v>
      </c>
      <c r="J3" s="355">
        <f t="shared" si="0"/>
        <v>329535.31</v>
      </c>
      <c r="K3" s="355">
        <f t="shared" si="0"/>
        <v>1.6686729612697693</v>
      </c>
      <c r="L3" s="355">
        <f t="shared" si="0"/>
        <v>395804.57999999996</v>
      </c>
      <c r="M3" s="356">
        <f>IF(H3&lt;&gt;0,L3/H3,"")</f>
        <v>1.8784726722644629</v>
      </c>
    </row>
    <row r="4" spans="1:13" ht="14.4" customHeight="1" x14ac:dyDescent="0.3">
      <c r="A4" s="576" t="s">
        <v>118</v>
      </c>
      <c r="B4" s="527" t="s">
        <v>124</v>
      </c>
      <c r="C4" s="528"/>
      <c r="D4" s="528"/>
      <c r="E4" s="528"/>
      <c r="F4" s="528"/>
      <c r="G4" s="529"/>
      <c r="H4" s="527" t="s">
        <v>125</v>
      </c>
      <c r="I4" s="528"/>
      <c r="J4" s="528"/>
      <c r="K4" s="528"/>
      <c r="L4" s="528"/>
      <c r="M4" s="529"/>
    </row>
    <row r="5" spans="1:13" s="341" customFormat="1" ht="14.4" customHeight="1" thickBot="1" x14ac:dyDescent="0.35">
      <c r="A5" s="866"/>
      <c r="B5" s="867">
        <v>2012</v>
      </c>
      <c r="C5" s="868"/>
      <c r="D5" s="868">
        <v>2013</v>
      </c>
      <c r="E5" s="868"/>
      <c r="F5" s="868">
        <v>2014</v>
      </c>
      <c r="G5" s="754" t="s">
        <v>2</v>
      </c>
      <c r="H5" s="867">
        <v>2012</v>
      </c>
      <c r="I5" s="868"/>
      <c r="J5" s="868">
        <v>2013</v>
      </c>
      <c r="K5" s="868"/>
      <c r="L5" s="868">
        <v>2014</v>
      </c>
      <c r="M5" s="754" t="s">
        <v>2</v>
      </c>
    </row>
    <row r="6" spans="1:13" ht="14.4" customHeight="1" x14ac:dyDescent="0.3">
      <c r="A6" s="656" t="s">
        <v>4200</v>
      </c>
      <c r="B6" s="771"/>
      <c r="C6" s="625"/>
      <c r="D6" s="771"/>
      <c r="E6" s="625"/>
      <c r="F6" s="771">
        <v>258</v>
      </c>
      <c r="G6" s="646"/>
      <c r="H6" s="771"/>
      <c r="I6" s="625"/>
      <c r="J6" s="771"/>
      <c r="K6" s="625"/>
      <c r="L6" s="771"/>
      <c r="M6" s="678"/>
    </row>
    <row r="7" spans="1:13" ht="14.4" customHeight="1" x14ac:dyDescent="0.3">
      <c r="A7" s="718" t="s">
        <v>4214</v>
      </c>
      <c r="B7" s="772">
        <v>4506</v>
      </c>
      <c r="C7" s="696">
        <v>1</v>
      </c>
      <c r="D7" s="772">
        <v>3224</v>
      </c>
      <c r="E7" s="696">
        <v>0.71549045716822013</v>
      </c>
      <c r="F7" s="772">
        <v>2605</v>
      </c>
      <c r="G7" s="701">
        <v>0.57811806480248562</v>
      </c>
      <c r="H7" s="772"/>
      <c r="I7" s="696"/>
      <c r="J7" s="772"/>
      <c r="K7" s="696"/>
      <c r="L7" s="772"/>
      <c r="M7" s="702"/>
    </row>
    <row r="8" spans="1:13" ht="14.4" customHeight="1" x14ac:dyDescent="0.3">
      <c r="A8" s="718" t="s">
        <v>5057</v>
      </c>
      <c r="B8" s="772"/>
      <c r="C8" s="696"/>
      <c r="D8" s="772"/>
      <c r="E8" s="696"/>
      <c r="F8" s="772"/>
      <c r="G8" s="701"/>
      <c r="H8" s="772">
        <v>13222.07</v>
      </c>
      <c r="I8" s="696">
        <v>1</v>
      </c>
      <c r="J8" s="772"/>
      <c r="K8" s="696"/>
      <c r="L8" s="772"/>
      <c r="M8" s="702"/>
    </row>
    <row r="9" spans="1:13" ht="14.4" customHeight="1" x14ac:dyDescent="0.3">
      <c r="A9" s="718" t="s">
        <v>4224</v>
      </c>
      <c r="B9" s="772">
        <v>172442</v>
      </c>
      <c r="C9" s="696">
        <v>1</v>
      </c>
      <c r="D9" s="772">
        <v>211545</v>
      </c>
      <c r="E9" s="696">
        <v>1.2267603020145905</v>
      </c>
      <c r="F9" s="772">
        <v>185638</v>
      </c>
      <c r="G9" s="701">
        <v>1.0765242806276893</v>
      </c>
      <c r="H9" s="772"/>
      <c r="I9" s="696"/>
      <c r="J9" s="772"/>
      <c r="K9" s="696"/>
      <c r="L9" s="772"/>
      <c r="M9" s="702"/>
    </row>
    <row r="10" spans="1:13" ht="14.4" customHeight="1" x14ac:dyDescent="0.3">
      <c r="A10" s="718" t="s">
        <v>5058</v>
      </c>
      <c r="B10" s="772">
        <v>2000487</v>
      </c>
      <c r="C10" s="696">
        <v>1</v>
      </c>
      <c r="D10" s="772">
        <v>2030253</v>
      </c>
      <c r="E10" s="696">
        <v>1.0148793768717317</v>
      </c>
      <c r="F10" s="772">
        <v>1425247</v>
      </c>
      <c r="G10" s="701">
        <v>0.71245001842051459</v>
      </c>
      <c r="H10" s="772"/>
      <c r="I10" s="696"/>
      <c r="J10" s="772"/>
      <c r="K10" s="696"/>
      <c r="L10" s="772"/>
      <c r="M10" s="702"/>
    </row>
    <row r="11" spans="1:13" ht="14.4" customHeight="1" x14ac:dyDescent="0.3">
      <c r="A11" s="718" t="s">
        <v>5059</v>
      </c>
      <c r="B11" s="772">
        <v>314676</v>
      </c>
      <c r="C11" s="696">
        <v>1</v>
      </c>
      <c r="D11" s="772">
        <v>519066</v>
      </c>
      <c r="E11" s="696">
        <v>1.6495252259466879</v>
      </c>
      <c r="F11" s="772">
        <v>683189</v>
      </c>
      <c r="G11" s="701">
        <v>2.1710870863999796</v>
      </c>
      <c r="H11" s="772"/>
      <c r="I11" s="696"/>
      <c r="J11" s="772"/>
      <c r="K11" s="696"/>
      <c r="L11" s="772"/>
      <c r="M11" s="702"/>
    </row>
    <row r="12" spans="1:13" ht="14.4" customHeight="1" x14ac:dyDescent="0.3">
      <c r="A12" s="718" t="s">
        <v>5060</v>
      </c>
      <c r="B12" s="772">
        <v>45795</v>
      </c>
      <c r="C12" s="696">
        <v>1</v>
      </c>
      <c r="D12" s="772">
        <v>288496</v>
      </c>
      <c r="E12" s="696">
        <v>6.2997270444371658</v>
      </c>
      <c r="F12" s="772">
        <v>7441</v>
      </c>
      <c r="G12" s="701">
        <v>0.1624849874440441</v>
      </c>
      <c r="H12" s="772"/>
      <c r="I12" s="696"/>
      <c r="J12" s="772"/>
      <c r="K12" s="696"/>
      <c r="L12" s="772"/>
      <c r="M12" s="702"/>
    </row>
    <row r="13" spans="1:13" ht="14.4" customHeight="1" x14ac:dyDescent="0.3">
      <c r="A13" s="718" t="s">
        <v>5061</v>
      </c>
      <c r="B13" s="772"/>
      <c r="C13" s="696"/>
      <c r="D13" s="772"/>
      <c r="E13" s="696"/>
      <c r="F13" s="772">
        <v>42654</v>
      </c>
      <c r="G13" s="701"/>
      <c r="H13" s="772"/>
      <c r="I13" s="696"/>
      <c r="J13" s="772"/>
      <c r="K13" s="696"/>
      <c r="L13" s="772"/>
      <c r="M13" s="702"/>
    </row>
    <row r="14" spans="1:13" ht="14.4" customHeight="1" x14ac:dyDescent="0.3">
      <c r="A14" s="718" t="s">
        <v>5062</v>
      </c>
      <c r="B14" s="772">
        <v>167379</v>
      </c>
      <c r="C14" s="696">
        <v>1</v>
      </c>
      <c r="D14" s="772">
        <v>231091</v>
      </c>
      <c r="E14" s="696">
        <v>1.3806451227453862</v>
      </c>
      <c r="F14" s="772">
        <v>99210</v>
      </c>
      <c r="G14" s="701">
        <v>0.59272668614342305</v>
      </c>
      <c r="H14" s="772"/>
      <c r="I14" s="696"/>
      <c r="J14" s="772"/>
      <c r="K14" s="696"/>
      <c r="L14" s="772"/>
      <c r="M14" s="702"/>
    </row>
    <row r="15" spans="1:13" ht="14.4" customHeight="1" x14ac:dyDescent="0.3">
      <c r="A15" s="718" t="s">
        <v>5063</v>
      </c>
      <c r="B15" s="772">
        <v>149224</v>
      </c>
      <c r="C15" s="696">
        <v>1</v>
      </c>
      <c r="D15" s="772">
        <v>209452</v>
      </c>
      <c r="E15" s="696">
        <v>1.4036079987133436</v>
      </c>
      <c r="F15" s="772">
        <v>306054</v>
      </c>
      <c r="G15" s="701">
        <v>2.0509703532943764</v>
      </c>
      <c r="H15" s="772"/>
      <c r="I15" s="696"/>
      <c r="J15" s="772"/>
      <c r="K15" s="696"/>
      <c r="L15" s="772"/>
      <c r="M15" s="702"/>
    </row>
    <row r="16" spans="1:13" ht="14.4" customHeight="1" x14ac:dyDescent="0.3">
      <c r="A16" s="718" t="s">
        <v>5064</v>
      </c>
      <c r="B16" s="772">
        <v>598988</v>
      </c>
      <c r="C16" s="696">
        <v>1</v>
      </c>
      <c r="D16" s="772">
        <v>717220</v>
      </c>
      <c r="E16" s="696">
        <v>1.1973862581554222</v>
      </c>
      <c r="F16" s="772">
        <v>768448</v>
      </c>
      <c r="G16" s="701">
        <v>1.2829105090586121</v>
      </c>
      <c r="H16" s="772">
        <v>197483.46</v>
      </c>
      <c r="I16" s="696">
        <v>1</v>
      </c>
      <c r="J16" s="772">
        <v>329535.31</v>
      </c>
      <c r="K16" s="696">
        <v>1.6686729612697693</v>
      </c>
      <c r="L16" s="772">
        <v>395804.57999999996</v>
      </c>
      <c r="M16" s="702">
        <v>2.0042416716822764</v>
      </c>
    </row>
    <row r="17" spans="1:13" ht="14.4" customHeight="1" thickBot="1" x14ac:dyDescent="0.35">
      <c r="A17" s="774" t="s">
        <v>4206</v>
      </c>
      <c r="B17" s="773"/>
      <c r="C17" s="704"/>
      <c r="D17" s="773">
        <v>742</v>
      </c>
      <c r="E17" s="704"/>
      <c r="F17" s="773"/>
      <c r="G17" s="709"/>
      <c r="H17" s="773"/>
      <c r="I17" s="704"/>
      <c r="J17" s="773"/>
      <c r="K17" s="704"/>
      <c r="L17" s="773"/>
      <c r="M17" s="710"/>
    </row>
  </sheetData>
  <mergeCells count="4">
    <mergeCell ref="A4:A5"/>
    <mergeCell ref="B4:G4"/>
    <mergeCell ref="H4:M4"/>
    <mergeCell ref="A1:M1"/>
  </mergeCells>
  <conditionalFormatting sqref="F6:F1048576">
    <cfRule type="dataBar" priority="2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{B0D7810C-1ECB-49F3-AEA4-0F83D5AE3D8E}</x14:id>
        </ext>
      </extLst>
    </cfRule>
  </conditionalFormatting>
  <conditionalFormatting sqref="L6:L1048576">
    <cfRule type="dataBar" priority="1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{62A185C8-0356-41DC-9157-C12418624882}</x14:id>
        </ext>
      </extLs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scale="80" fitToHeight="0" orientation="portrait" r:id="rId1"/>
  <ignoredErrors>
    <ignoredError sqref="B3 D3 F3 H3 J3 L3" formulaRange="1"/>
    <ignoredError sqref="G3" formula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B0D7810C-1ECB-49F3-AEA4-0F83D5AE3D8E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F6:F1048576</xm:sqref>
        </x14:conditionalFormatting>
        <x14:conditionalFormatting xmlns:xm="http://schemas.microsoft.com/office/excel/2006/main">
          <x14:cfRule type="dataBar" id="{62A185C8-0356-41DC-9157-C12418624882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L6:L1048576</xm:sqref>
        </x14:conditionalFormatting>
      </x14:conditionalFormattings>
    </ext>
  </extLst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">
    <tabColor theme="0" tint="-0.249977111117893"/>
    <pageSetUpPr fitToPage="1"/>
  </sheetPr>
  <dimension ref="A1:Q346"/>
  <sheetViews>
    <sheetView showGridLines="0" showRowColHeaders="0" workbookViewId="0">
      <pane ySplit="5" topLeftCell="A6" activePane="bottomLeft" state="frozen"/>
      <selection sqref="A1:N1"/>
      <selection pane="bottomLeft" sqref="A1:Q1"/>
    </sheetView>
  </sheetViews>
  <sheetFormatPr defaultRowHeight="14.4" customHeight="1" x14ac:dyDescent="0.3"/>
  <cols>
    <col min="1" max="1" width="3" style="257" bestFit="1" customWidth="1"/>
    <col min="2" max="2" width="8.6640625" style="257" bestFit="1" customWidth="1"/>
    <col min="3" max="3" width="2.109375" style="257" bestFit="1" customWidth="1"/>
    <col min="4" max="4" width="8" style="257" bestFit="1" customWidth="1"/>
    <col min="5" max="5" width="52.88671875" style="257" bestFit="1" customWidth="1"/>
    <col min="6" max="7" width="11.109375" style="340" customWidth="1"/>
    <col min="8" max="9" width="9.33203125" style="340" hidden="1" customWidth="1"/>
    <col min="10" max="11" width="11.109375" style="340" customWidth="1"/>
    <col min="12" max="13" width="9.33203125" style="340" hidden="1" customWidth="1"/>
    <col min="14" max="15" width="11.109375" style="340" customWidth="1"/>
    <col min="16" max="16" width="11.109375" style="343" customWidth="1"/>
    <col min="17" max="17" width="11.109375" style="340" customWidth="1"/>
    <col min="18" max="16384" width="8.88671875" style="257"/>
  </cols>
  <sheetData>
    <row r="1" spans="1:17" ht="18.600000000000001" customHeight="1" thickBot="1" x14ac:dyDescent="0.4">
      <c r="A1" s="467" t="s">
        <v>5694</v>
      </c>
      <c r="B1" s="458"/>
      <c r="C1" s="458"/>
      <c r="D1" s="458"/>
      <c r="E1" s="458"/>
      <c r="F1" s="458"/>
      <c r="G1" s="458"/>
      <c r="H1" s="458"/>
      <c r="I1" s="458"/>
      <c r="J1" s="458"/>
      <c r="K1" s="458"/>
      <c r="L1" s="458"/>
      <c r="M1" s="458"/>
      <c r="N1" s="458"/>
      <c r="O1" s="458"/>
      <c r="P1" s="458"/>
      <c r="Q1" s="458"/>
    </row>
    <row r="2" spans="1:17" ht="14.4" customHeight="1" thickBot="1" x14ac:dyDescent="0.35">
      <c r="A2" s="386" t="s">
        <v>321</v>
      </c>
      <c r="B2" s="227"/>
      <c r="C2" s="227"/>
      <c r="D2" s="227"/>
      <c r="E2" s="227"/>
      <c r="F2" s="363"/>
      <c r="G2" s="363"/>
      <c r="H2" s="363"/>
      <c r="I2" s="363"/>
      <c r="J2" s="363"/>
      <c r="K2" s="363"/>
      <c r="L2" s="363"/>
      <c r="M2" s="363"/>
      <c r="N2" s="363"/>
      <c r="O2" s="363"/>
      <c r="P2" s="360"/>
      <c r="Q2" s="363"/>
    </row>
    <row r="3" spans="1:17" ht="14.4" customHeight="1" thickBot="1" x14ac:dyDescent="0.35">
      <c r="E3" s="112" t="s">
        <v>160</v>
      </c>
      <c r="F3" s="214">
        <f t="shared" ref="F3:O3" si="0">SUBTOTAL(9,F6:F1048576)</f>
        <v>50710.3</v>
      </c>
      <c r="G3" s="218">
        <f t="shared" si="0"/>
        <v>3664202.53</v>
      </c>
      <c r="H3" s="219"/>
      <c r="I3" s="219"/>
      <c r="J3" s="214">
        <f t="shared" si="0"/>
        <v>51010.129999999983</v>
      </c>
      <c r="K3" s="218">
        <f t="shared" si="0"/>
        <v>4540624.3099999996</v>
      </c>
      <c r="L3" s="219"/>
      <c r="M3" s="219"/>
      <c r="N3" s="214">
        <f t="shared" si="0"/>
        <v>36552.949999999997</v>
      </c>
      <c r="O3" s="218">
        <f t="shared" si="0"/>
        <v>3916548.58</v>
      </c>
      <c r="P3" s="181">
        <f>IF(G3=0,"",O3/G3)</f>
        <v>1.0688679318170768</v>
      </c>
      <c r="Q3" s="216">
        <f>IF(N3=0,"",O3/N3)</f>
        <v>107.14726390072485</v>
      </c>
    </row>
    <row r="4" spans="1:17" ht="14.4" customHeight="1" x14ac:dyDescent="0.3">
      <c r="A4" s="532" t="s">
        <v>74</v>
      </c>
      <c r="B4" s="531" t="s">
        <v>119</v>
      </c>
      <c r="C4" s="532" t="s">
        <v>120</v>
      </c>
      <c r="D4" s="533" t="s">
        <v>90</v>
      </c>
      <c r="E4" s="534" t="s">
        <v>11</v>
      </c>
      <c r="F4" s="538">
        <v>2012</v>
      </c>
      <c r="G4" s="539"/>
      <c r="H4" s="217"/>
      <c r="I4" s="217"/>
      <c r="J4" s="538">
        <v>2013</v>
      </c>
      <c r="K4" s="539"/>
      <c r="L4" s="217"/>
      <c r="M4" s="217"/>
      <c r="N4" s="538">
        <v>2014</v>
      </c>
      <c r="O4" s="539"/>
      <c r="P4" s="540" t="s">
        <v>2</v>
      </c>
      <c r="Q4" s="530" t="s">
        <v>122</v>
      </c>
    </row>
    <row r="5" spans="1:17" ht="14.4" customHeight="1" thickBot="1" x14ac:dyDescent="0.35">
      <c r="A5" s="763"/>
      <c r="B5" s="762"/>
      <c r="C5" s="763"/>
      <c r="D5" s="764"/>
      <c r="E5" s="765"/>
      <c r="F5" s="775" t="s">
        <v>91</v>
      </c>
      <c r="G5" s="776" t="s">
        <v>14</v>
      </c>
      <c r="H5" s="777"/>
      <c r="I5" s="777"/>
      <c r="J5" s="775" t="s">
        <v>91</v>
      </c>
      <c r="K5" s="776" t="s">
        <v>14</v>
      </c>
      <c r="L5" s="777"/>
      <c r="M5" s="777"/>
      <c r="N5" s="775" t="s">
        <v>91</v>
      </c>
      <c r="O5" s="776" t="s">
        <v>14</v>
      </c>
      <c r="P5" s="778"/>
      <c r="Q5" s="770"/>
    </row>
    <row r="6" spans="1:17" ht="14.4" customHeight="1" x14ac:dyDescent="0.3">
      <c r="A6" s="624" t="s">
        <v>4227</v>
      </c>
      <c r="B6" s="625" t="s">
        <v>5065</v>
      </c>
      <c r="C6" s="625" t="s">
        <v>4114</v>
      </c>
      <c r="D6" s="625" t="s">
        <v>5066</v>
      </c>
      <c r="E6" s="625" t="s">
        <v>5067</v>
      </c>
      <c r="F6" s="628"/>
      <c r="G6" s="628"/>
      <c r="H6" s="628"/>
      <c r="I6" s="628"/>
      <c r="J6" s="628"/>
      <c r="K6" s="628"/>
      <c r="L6" s="628"/>
      <c r="M6" s="628"/>
      <c r="N6" s="628">
        <v>1</v>
      </c>
      <c r="O6" s="628">
        <v>258</v>
      </c>
      <c r="P6" s="646"/>
      <c r="Q6" s="629">
        <v>258</v>
      </c>
    </row>
    <row r="7" spans="1:17" ht="14.4" customHeight="1" x14ac:dyDescent="0.3">
      <c r="A7" s="695" t="s">
        <v>545</v>
      </c>
      <c r="B7" s="696" t="s">
        <v>4891</v>
      </c>
      <c r="C7" s="696" t="s">
        <v>4114</v>
      </c>
      <c r="D7" s="696" t="s">
        <v>4155</v>
      </c>
      <c r="E7" s="696" t="s">
        <v>4156</v>
      </c>
      <c r="F7" s="711"/>
      <c r="G7" s="711"/>
      <c r="H7" s="711"/>
      <c r="I7" s="711"/>
      <c r="J7" s="711">
        <v>1</v>
      </c>
      <c r="K7" s="711">
        <v>742</v>
      </c>
      <c r="L7" s="711"/>
      <c r="M7" s="711">
        <v>742</v>
      </c>
      <c r="N7" s="711"/>
      <c r="O7" s="711"/>
      <c r="P7" s="701"/>
      <c r="Q7" s="712"/>
    </row>
    <row r="8" spans="1:17" ht="14.4" customHeight="1" x14ac:dyDescent="0.3">
      <c r="A8" s="695" t="s">
        <v>4901</v>
      </c>
      <c r="B8" s="696" t="s">
        <v>5068</v>
      </c>
      <c r="C8" s="696" t="s">
        <v>4114</v>
      </c>
      <c r="D8" s="696" t="s">
        <v>5069</v>
      </c>
      <c r="E8" s="696" t="s">
        <v>5070</v>
      </c>
      <c r="F8" s="711">
        <v>2</v>
      </c>
      <c r="G8" s="711">
        <v>214</v>
      </c>
      <c r="H8" s="711">
        <v>1</v>
      </c>
      <c r="I8" s="711">
        <v>107</v>
      </c>
      <c r="J8" s="711">
        <v>4</v>
      </c>
      <c r="K8" s="711">
        <v>432</v>
      </c>
      <c r="L8" s="711">
        <v>2.0186915887850465</v>
      </c>
      <c r="M8" s="711">
        <v>108</v>
      </c>
      <c r="N8" s="711"/>
      <c r="O8" s="711"/>
      <c r="P8" s="701"/>
      <c r="Q8" s="712"/>
    </row>
    <row r="9" spans="1:17" ht="14.4" customHeight="1" x14ac:dyDescent="0.3">
      <c r="A9" s="695" t="s">
        <v>4901</v>
      </c>
      <c r="B9" s="696" t="s">
        <v>5068</v>
      </c>
      <c r="C9" s="696" t="s">
        <v>4114</v>
      </c>
      <c r="D9" s="696" t="s">
        <v>5071</v>
      </c>
      <c r="E9" s="696" t="s">
        <v>5072</v>
      </c>
      <c r="F9" s="711"/>
      <c r="G9" s="711"/>
      <c r="H9" s="711"/>
      <c r="I9" s="711"/>
      <c r="J9" s="711">
        <v>1</v>
      </c>
      <c r="K9" s="711">
        <v>664</v>
      </c>
      <c r="L9" s="711"/>
      <c r="M9" s="711">
        <v>664</v>
      </c>
      <c r="N9" s="711">
        <v>2</v>
      </c>
      <c r="O9" s="711">
        <v>1344</v>
      </c>
      <c r="P9" s="701"/>
      <c r="Q9" s="712">
        <v>672</v>
      </c>
    </row>
    <row r="10" spans="1:17" ht="14.4" customHeight="1" x14ac:dyDescent="0.3">
      <c r="A10" s="695" t="s">
        <v>4901</v>
      </c>
      <c r="B10" s="696" t="s">
        <v>5068</v>
      </c>
      <c r="C10" s="696" t="s">
        <v>4114</v>
      </c>
      <c r="D10" s="696" t="s">
        <v>5073</v>
      </c>
      <c r="E10" s="696" t="s">
        <v>5074</v>
      </c>
      <c r="F10" s="711">
        <v>4</v>
      </c>
      <c r="G10" s="711">
        <v>1816</v>
      </c>
      <c r="H10" s="711">
        <v>1</v>
      </c>
      <c r="I10" s="711">
        <v>454</v>
      </c>
      <c r="J10" s="711"/>
      <c r="K10" s="711"/>
      <c r="L10" s="711"/>
      <c r="M10" s="711"/>
      <c r="N10" s="711">
        <v>1</v>
      </c>
      <c r="O10" s="711">
        <v>461</v>
      </c>
      <c r="P10" s="701">
        <v>0.2538546255506608</v>
      </c>
      <c r="Q10" s="712">
        <v>461</v>
      </c>
    </row>
    <row r="11" spans="1:17" ht="14.4" customHeight="1" x14ac:dyDescent="0.3">
      <c r="A11" s="695" t="s">
        <v>4901</v>
      </c>
      <c r="B11" s="696" t="s">
        <v>5068</v>
      </c>
      <c r="C11" s="696" t="s">
        <v>4114</v>
      </c>
      <c r="D11" s="696" t="s">
        <v>5075</v>
      </c>
      <c r="E11" s="696" t="s">
        <v>5076</v>
      </c>
      <c r="F11" s="711"/>
      <c r="G11" s="711"/>
      <c r="H11" s="711"/>
      <c r="I11" s="711"/>
      <c r="J11" s="711">
        <v>1</v>
      </c>
      <c r="K11" s="711">
        <v>237</v>
      </c>
      <c r="L11" s="711"/>
      <c r="M11" s="711">
        <v>237</v>
      </c>
      <c r="N11" s="711">
        <v>2</v>
      </c>
      <c r="O11" s="711">
        <v>480</v>
      </c>
      <c r="P11" s="701"/>
      <c r="Q11" s="712">
        <v>240</v>
      </c>
    </row>
    <row r="12" spans="1:17" ht="14.4" customHeight="1" x14ac:dyDescent="0.3">
      <c r="A12" s="695" t="s">
        <v>4901</v>
      </c>
      <c r="B12" s="696" t="s">
        <v>5068</v>
      </c>
      <c r="C12" s="696" t="s">
        <v>4114</v>
      </c>
      <c r="D12" s="696" t="s">
        <v>5077</v>
      </c>
      <c r="E12" s="696" t="s">
        <v>5078</v>
      </c>
      <c r="F12" s="711">
        <v>17</v>
      </c>
      <c r="G12" s="711">
        <v>1326</v>
      </c>
      <c r="H12" s="711">
        <v>1</v>
      </c>
      <c r="I12" s="711">
        <v>78</v>
      </c>
      <c r="J12" s="711">
        <v>14</v>
      </c>
      <c r="K12" s="711">
        <v>1106</v>
      </c>
      <c r="L12" s="711">
        <v>0.83408748114630471</v>
      </c>
      <c r="M12" s="711">
        <v>79</v>
      </c>
      <c r="N12" s="711">
        <v>4</v>
      </c>
      <c r="O12" s="711">
        <v>320</v>
      </c>
      <c r="P12" s="701">
        <v>0.24132730015082957</v>
      </c>
      <c r="Q12" s="712">
        <v>80</v>
      </c>
    </row>
    <row r="13" spans="1:17" ht="14.4" customHeight="1" x14ac:dyDescent="0.3">
      <c r="A13" s="695" t="s">
        <v>4901</v>
      </c>
      <c r="B13" s="696" t="s">
        <v>5068</v>
      </c>
      <c r="C13" s="696" t="s">
        <v>4114</v>
      </c>
      <c r="D13" s="696" t="s">
        <v>5079</v>
      </c>
      <c r="E13" s="696" t="s">
        <v>5080</v>
      </c>
      <c r="F13" s="711">
        <v>4</v>
      </c>
      <c r="G13" s="711">
        <v>652</v>
      </c>
      <c r="H13" s="711">
        <v>1</v>
      </c>
      <c r="I13" s="711">
        <v>163</v>
      </c>
      <c r="J13" s="711">
        <v>3</v>
      </c>
      <c r="K13" s="711">
        <v>492</v>
      </c>
      <c r="L13" s="711">
        <v>0.754601226993865</v>
      </c>
      <c r="M13" s="711">
        <v>164</v>
      </c>
      <c r="N13" s="711"/>
      <c r="O13" s="711"/>
      <c r="P13" s="701"/>
      <c r="Q13" s="712"/>
    </row>
    <row r="14" spans="1:17" ht="14.4" customHeight="1" x14ac:dyDescent="0.3">
      <c r="A14" s="695" t="s">
        <v>4901</v>
      </c>
      <c r="B14" s="696" t="s">
        <v>5068</v>
      </c>
      <c r="C14" s="696" t="s">
        <v>4114</v>
      </c>
      <c r="D14" s="696" t="s">
        <v>5081</v>
      </c>
      <c r="E14" s="696" t="s">
        <v>5082</v>
      </c>
      <c r="F14" s="711"/>
      <c r="G14" s="711"/>
      <c r="H14" s="711"/>
      <c r="I14" s="711"/>
      <c r="J14" s="711">
        <v>1</v>
      </c>
      <c r="K14" s="711">
        <v>198</v>
      </c>
      <c r="L14" s="711"/>
      <c r="M14" s="711">
        <v>198</v>
      </c>
      <c r="N14" s="711"/>
      <c r="O14" s="711"/>
      <c r="P14" s="701"/>
      <c r="Q14" s="712"/>
    </row>
    <row r="15" spans="1:17" ht="14.4" customHeight="1" x14ac:dyDescent="0.3">
      <c r="A15" s="695" t="s">
        <v>4901</v>
      </c>
      <c r="B15" s="696" t="s">
        <v>5068</v>
      </c>
      <c r="C15" s="696" t="s">
        <v>4114</v>
      </c>
      <c r="D15" s="696" t="s">
        <v>5083</v>
      </c>
      <c r="E15" s="696" t="s">
        <v>5084</v>
      </c>
      <c r="F15" s="711">
        <v>3</v>
      </c>
      <c r="G15" s="711">
        <v>498</v>
      </c>
      <c r="H15" s="711">
        <v>1</v>
      </c>
      <c r="I15" s="711">
        <v>166</v>
      </c>
      <c r="J15" s="711"/>
      <c r="K15" s="711"/>
      <c r="L15" s="711"/>
      <c r="M15" s="711"/>
      <c r="N15" s="711"/>
      <c r="O15" s="711"/>
      <c r="P15" s="701"/>
      <c r="Q15" s="712"/>
    </row>
    <row r="16" spans="1:17" ht="14.4" customHeight="1" x14ac:dyDescent="0.3">
      <c r="A16" s="695" t="s">
        <v>4901</v>
      </c>
      <c r="B16" s="696" t="s">
        <v>5068</v>
      </c>
      <c r="C16" s="696" t="s">
        <v>4114</v>
      </c>
      <c r="D16" s="696" t="s">
        <v>5085</v>
      </c>
      <c r="E16" s="696" t="s">
        <v>5086</v>
      </c>
      <c r="F16" s="711"/>
      <c r="G16" s="711"/>
      <c r="H16" s="711"/>
      <c r="I16" s="711"/>
      <c r="J16" s="711">
        <v>1</v>
      </c>
      <c r="K16" s="711">
        <v>95</v>
      </c>
      <c r="L16" s="711"/>
      <c r="M16" s="711">
        <v>95</v>
      </c>
      <c r="N16" s="711"/>
      <c r="O16" s="711"/>
      <c r="P16" s="701"/>
      <c r="Q16" s="712"/>
    </row>
    <row r="17" spans="1:17" ht="14.4" customHeight="1" x14ac:dyDescent="0.3">
      <c r="A17" s="695" t="s">
        <v>5087</v>
      </c>
      <c r="B17" s="696" t="s">
        <v>5088</v>
      </c>
      <c r="C17" s="696" t="s">
        <v>4083</v>
      </c>
      <c r="D17" s="696" t="s">
        <v>5089</v>
      </c>
      <c r="E17" s="696" t="s">
        <v>5090</v>
      </c>
      <c r="F17" s="711">
        <v>0.3</v>
      </c>
      <c r="G17" s="711">
        <v>649.59</v>
      </c>
      <c r="H17" s="711">
        <v>1</v>
      </c>
      <c r="I17" s="711">
        <v>2165.3000000000002</v>
      </c>
      <c r="J17" s="711"/>
      <c r="K17" s="711"/>
      <c r="L17" s="711"/>
      <c r="M17" s="711"/>
      <c r="N17" s="711"/>
      <c r="O17" s="711"/>
      <c r="P17" s="701"/>
      <c r="Q17" s="712"/>
    </row>
    <row r="18" spans="1:17" ht="14.4" customHeight="1" x14ac:dyDescent="0.3">
      <c r="A18" s="695" t="s">
        <v>5087</v>
      </c>
      <c r="B18" s="696" t="s">
        <v>5088</v>
      </c>
      <c r="C18" s="696" t="s">
        <v>4647</v>
      </c>
      <c r="D18" s="696" t="s">
        <v>5091</v>
      </c>
      <c r="E18" s="696" t="s">
        <v>4078</v>
      </c>
      <c r="F18" s="711">
        <v>404</v>
      </c>
      <c r="G18" s="711">
        <v>12572.48</v>
      </c>
      <c r="H18" s="711">
        <v>1</v>
      </c>
      <c r="I18" s="711">
        <v>31.119999999999997</v>
      </c>
      <c r="J18" s="711"/>
      <c r="K18" s="711"/>
      <c r="L18" s="711"/>
      <c r="M18" s="711"/>
      <c r="N18" s="711"/>
      <c r="O18" s="711"/>
      <c r="P18" s="701"/>
      <c r="Q18" s="712"/>
    </row>
    <row r="19" spans="1:17" ht="14.4" customHeight="1" x14ac:dyDescent="0.3">
      <c r="A19" s="695" t="s">
        <v>4911</v>
      </c>
      <c r="B19" s="696" t="s">
        <v>5092</v>
      </c>
      <c r="C19" s="696" t="s">
        <v>4114</v>
      </c>
      <c r="D19" s="696" t="s">
        <v>5093</v>
      </c>
      <c r="E19" s="696" t="s">
        <v>5094</v>
      </c>
      <c r="F19" s="711"/>
      <c r="G19" s="711"/>
      <c r="H19" s="711"/>
      <c r="I19" s="711"/>
      <c r="J19" s="711"/>
      <c r="K19" s="711"/>
      <c r="L19" s="711"/>
      <c r="M19" s="711"/>
      <c r="N19" s="711">
        <v>0</v>
      </c>
      <c r="O19" s="711">
        <v>0</v>
      </c>
      <c r="P19" s="701"/>
      <c r="Q19" s="712"/>
    </row>
    <row r="20" spans="1:17" ht="14.4" customHeight="1" x14ac:dyDescent="0.3">
      <c r="A20" s="695" t="s">
        <v>4911</v>
      </c>
      <c r="B20" s="696" t="s">
        <v>5092</v>
      </c>
      <c r="C20" s="696" t="s">
        <v>4114</v>
      </c>
      <c r="D20" s="696" t="s">
        <v>5095</v>
      </c>
      <c r="E20" s="696" t="s">
        <v>5096</v>
      </c>
      <c r="F20" s="711"/>
      <c r="G20" s="711"/>
      <c r="H20" s="711"/>
      <c r="I20" s="711"/>
      <c r="J20" s="711">
        <v>1</v>
      </c>
      <c r="K20" s="711">
        <v>297</v>
      </c>
      <c r="L20" s="711"/>
      <c r="M20" s="711">
        <v>297</v>
      </c>
      <c r="N20" s="711"/>
      <c r="O20" s="711"/>
      <c r="P20" s="701"/>
      <c r="Q20" s="712"/>
    </row>
    <row r="21" spans="1:17" ht="14.4" customHeight="1" x14ac:dyDescent="0.3">
      <c r="A21" s="695" t="s">
        <v>4911</v>
      </c>
      <c r="B21" s="696" t="s">
        <v>5092</v>
      </c>
      <c r="C21" s="696" t="s">
        <v>4114</v>
      </c>
      <c r="D21" s="696" t="s">
        <v>5097</v>
      </c>
      <c r="E21" s="696" t="s">
        <v>5098</v>
      </c>
      <c r="F21" s="711"/>
      <c r="G21" s="711"/>
      <c r="H21" s="711"/>
      <c r="I21" s="711"/>
      <c r="J21" s="711">
        <v>2</v>
      </c>
      <c r="K21" s="711">
        <v>2490</v>
      </c>
      <c r="L21" s="711"/>
      <c r="M21" s="711">
        <v>1245</v>
      </c>
      <c r="N21" s="711">
        <v>0</v>
      </c>
      <c r="O21" s="711">
        <v>0</v>
      </c>
      <c r="P21" s="701"/>
      <c r="Q21" s="712"/>
    </row>
    <row r="22" spans="1:17" ht="14.4" customHeight="1" x14ac:dyDescent="0.3">
      <c r="A22" s="695" t="s">
        <v>4911</v>
      </c>
      <c r="B22" s="696" t="s">
        <v>5092</v>
      </c>
      <c r="C22" s="696" t="s">
        <v>4114</v>
      </c>
      <c r="D22" s="696" t="s">
        <v>5099</v>
      </c>
      <c r="E22" s="696" t="s">
        <v>5100</v>
      </c>
      <c r="F22" s="711"/>
      <c r="G22" s="711"/>
      <c r="H22" s="711"/>
      <c r="I22" s="711"/>
      <c r="J22" s="711">
        <v>1</v>
      </c>
      <c r="K22" s="711">
        <v>9747</v>
      </c>
      <c r="L22" s="711"/>
      <c r="M22" s="711">
        <v>9747</v>
      </c>
      <c r="N22" s="711"/>
      <c r="O22" s="711"/>
      <c r="P22" s="701"/>
      <c r="Q22" s="712"/>
    </row>
    <row r="23" spans="1:17" ht="14.4" customHeight="1" x14ac:dyDescent="0.3">
      <c r="A23" s="695" t="s">
        <v>4911</v>
      </c>
      <c r="B23" s="696" t="s">
        <v>5092</v>
      </c>
      <c r="C23" s="696" t="s">
        <v>4114</v>
      </c>
      <c r="D23" s="696" t="s">
        <v>5101</v>
      </c>
      <c r="E23" s="696" t="s">
        <v>5102</v>
      </c>
      <c r="F23" s="711"/>
      <c r="G23" s="711"/>
      <c r="H23" s="711"/>
      <c r="I23" s="711"/>
      <c r="J23" s="711">
        <v>11</v>
      </c>
      <c r="K23" s="711">
        <v>11022</v>
      </c>
      <c r="L23" s="711"/>
      <c r="M23" s="711">
        <v>1002</v>
      </c>
      <c r="N23" s="711">
        <v>0</v>
      </c>
      <c r="O23" s="711">
        <v>0</v>
      </c>
      <c r="P23" s="701"/>
      <c r="Q23" s="712"/>
    </row>
    <row r="24" spans="1:17" ht="14.4" customHeight="1" x14ac:dyDescent="0.3">
      <c r="A24" s="695" t="s">
        <v>4911</v>
      </c>
      <c r="B24" s="696" t="s">
        <v>5092</v>
      </c>
      <c r="C24" s="696" t="s">
        <v>4114</v>
      </c>
      <c r="D24" s="696" t="s">
        <v>5103</v>
      </c>
      <c r="E24" s="696" t="s">
        <v>5104</v>
      </c>
      <c r="F24" s="711"/>
      <c r="G24" s="711"/>
      <c r="H24" s="711"/>
      <c r="I24" s="711"/>
      <c r="J24" s="711">
        <v>8</v>
      </c>
      <c r="K24" s="711">
        <v>17864</v>
      </c>
      <c r="L24" s="711"/>
      <c r="M24" s="711">
        <v>2233</v>
      </c>
      <c r="N24" s="711">
        <v>0</v>
      </c>
      <c r="O24" s="711">
        <v>0</v>
      </c>
      <c r="P24" s="701"/>
      <c r="Q24" s="712"/>
    </row>
    <row r="25" spans="1:17" ht="14.4" customHeight="1" x14ac:dyDescent="0.3">
      <c r="A25" s="695" t="s">
        <v>4911</v>
      </c>
      <c r="B25" s="696" t="s">
        <v>5092</v>
      </c>
      <c r="C25" s="696" t="s">
        <v>4114</v>
      </c>
      <c r="D25" s="696" t="s">
        <v>5105</v>
      </c>
      <c r="E25" s="696" t="s">
        <v>5106</v>
      </c>
      <c r="F25" s="711"/>
      <c r="G25" s="711"/>
      <c r="H25" s="711"/>
      <c r="I25" s="711"/>
      <c r="J25" s="711"/>
      <c r="K25" s="711"/>
      <c r="L25" s="711"/>
      <c r="M25" s="711"/>
      <c r="N25" s="711">
        <v>0</v>
      </c>
      <c r="O25" s="711">
        <v>0</v>
      </c>
      <c r="P25" s="701"/>
      <c r="Q25" s="712"/>
    </row>
    <row r="26" spans="1:17" ht="14.4" customHeight="1" x14ac:dyDescent="0.3">
      <c r="A26" s="695" t="s">
        <v>4911</v>
      </c>
      <c r="B26" s="696" t="s">
        <v>5107</v>
      </c>
      <c r="C26" s="696" t="s">
        <v>4114</v>
      </c>
      <c r="D26" s="696" t="s">
        <v>5108</v>
      </c>
      <c r="E26" s="696" t="s">
        <v>5109</v>
      </c>
      <c r="F26" s="711"/>
      <c r="G26" s="711"/>
      <c r="H26" s="711"/>
      <c r="I26" s="711"/>
      <c r="J26" s="711">
        <v>2</v>
      </c>
      <c r="K26" s="711">
        <v>434</v>
      </c>
      <c r="L26" s="711"/>
      <c r="M26" s="711">
        <v>217</v>
      </c>
      <c r="N26" s="711"/>
      <c r="O26" s="711"/>
      <c r="P26" s="701"/>
      <c r="Q26" s="712"/>
    </row>
    <row r="27" spans="1:17" ht="14.4" customHeight="1" x14ac:dyDescent="0.3">
      <c r="A27" s="695" t="s">
        <v>4911</v>
      </c>
      <c r="B27" s="696" t="s">
        <v>5107</v>
      </c>
      <c r="C27" s="696" t="s">
        <v>4114</v>
      </c>
      <c r="D27" s="696" t="s">
        <v>5110</v>
      </c>
      <c r="E27" s="696" t="s">
        <v>5111</v>
      </c>
      <c r="F27" s="711"/>
      <c r="G27" s="711"/>
      <c r="H27" s="711"/>
      <c r="I27" s="711"/>
      <c r="J27" s="711">
        <v>2</v>
      </c>
      <c r="K27" s="711">
        <v>994</v>
      </c>
      <c r="L27" s="711"/>
      <c r="M27" s="711">
        <v>497</v>
      </c>
      <c r="N27" s="711"/>
      <c r="O27" s="711"/>
      <c r="P27" s="701"/>
      <c r="Q27" s="712"/>
    </row>
    <row r="28" spans="1:17" ht="14.4" customHeight="1" x14ac:dyDescent="0.3">
      <c r="A28" s="695" t="s">
        <v>4911</v>
      </c>
      <c r="B28" s="696" t="s">
        <v>5107</v>
      </c>
      <c r="C28" s="696" t="s">
        <v>4114</v>
      </c>
      <c r="D28" s="696" t="s">
        <v>5112</v>
      </c>
      <c r="E28" s="696" t="s">
        <v>5113</v>
      </c>
      <c r="F28" s="711">
        <v>26</v>
      </c>
      <c r="G28" s="711">
        <v>9100</v>
      </c>
      <c r="H28" s="711">
        <v>1</v>
      </c>
      <c r="I28" s="711">
        <v>350</v>
      </c>
      <c r="J28" s="711">
        <v>27</v>
      </c>
      <c r="K28" s="711">
        <v>9450</v>
      </c>
      <c r="L28" s="711">
        <v>1.0384615384615385</v>
      </c>
      <c r="M28" s="711">
        <v>350</v>
      </c>
      <c r="N28" s="711">
        <v>52</v>
      </c>
      <c r="O28" s="711">
        <v>18221</v>
      </c>
      <c r="P28" s="701">
        <v>2.0023076923076921</v>
      </c>
      <c r="Q28" s="712">
        <v>350.40384615384613</v>
      </c>
    </row>
    <row r="29" spans="1:17" ht="14.4" customHeight="1" x14ac:dyDescent="0.3">
      <c r="A29" s="695" t="s">
        <v>4911</v>
      </c>
      <c r="B29" s="696" t="s">
        <v>5107</v>
      </c>
      <c r="C29" s="696" t="s">
        <v>4114</v>
      </c>
      <c r="D29" s="696" t="s">
        <v>5114</v>
      </c>
      <c r="E29" s="696" t="s">
        <v>5115</v>
      </c>
      <c r="F29" s="711">
        <v>80</v>
      </c>
      <c r="G29" s="711">
        <v>5120</v>
      </c>
      <c r="H29" s="711">
        <v>1</v>
      </c>
      <c r="I29" s="711">
        <v>64</v>
      </c>
      <c r="J29" s="711">
        <v>88</v>
      </c>
      <c r="K29" s="711">
        <v>5720</v>
      </c>
      <c r="L29" s="711">
        <v>1.1171875</v>
      </c>
      <c r="M29" s="711">
        <v>65</v>
      </c>
      <c r="N29" s="711">
        <v>69</v>
      </c>
      <c r="O29" s="711">
        <v>4485</v>
      </c>
      <c r="P29" s="701">
        <v>0.8759765625</v>
      </c>
      <c r="Q29" s="712">
        <v>65</v>
      </c>
    </row>
    <row r="30" spans="1:17" ht="14.4" customHeight="1" x14ac:dyDescent="0.3">
      <c r="A30" s="695" t="s">
        <v>4911</v>
      </c>
      <c r="B30" s="696" t="s">
        <v>5107</v>
      </c>
      <c r="C30" s="696" t="s">
        <v>4114</v>
      </c>
      <c r="D30" s="696" t="s">
        <v>5116</v>
      </c>
      <c r="E30" s="696" t="s">
        <v>5117</v>
      </c>
      <c r="F30" s="711">
        <v>1</v>
      </c>
      <c r="G30" s="711">
        <v>542</v>
      </c>
      <c r="H30" s="711">
        <v>1</v>
      </c>
      <c r="I30" s="711">
        <v>542</v>
      </c>
      <c r="J30" s="711"/>
      <c r="K30" s="711"/>
      <c r="L30" s="711"/>
      <c r="M30" s="711"/>
      <c r="N30" s="711"/>
      <c r="O30" s="711"/>
      <c r="P30" s="701"/>
      <c r="Q30" s="712"/>
    </row>
    <row r="31" spans="1:17" ht="14.4" customHeight="1" x14ac:dyDescent="0.3">
      <c r="A31" s="695" t="s">
        <v>4911</v>
      </c>
      <c r="B31" s="696" t="s">
        <v>5107</v>
      </c>
      <c r="C31" s="696" t="s">
        <v>4114</v>
      </c>
      <c r="D31" s="696" t="s">
        <v>5118</v>
      </c>
      <c r="E31" s="696" t="s">
        <v>5119</v>
      </c>
      <c r="F31" s="711">
        <v>2</v>
      </c>
      <c r="G31" s="711">
        <v>1178</v>
      </c>
      <c r="H31" s="711">
        <v>1</v>
      </c>
      <c r="I31" s="711">
        <v>589</v>
      </c>
      <c r="J31" s="711"/>
      <c r="K31" s="711"/>
      <c r="L31" s="711"/>
      <c r="M31" s="711"/>
      <c r="N31" s="711"/>
      <c r="O31" s="711"/>
      <c r="P31" s="701"/>
      <c r="Q31" s="712"/>
    </row>
    <row r="32" spans="1:17" ht="14.4" customHeight="1" x14ac:dyDescent="0.3">
      <c r="A32" s="695" t="s">
        <v>4911</v>
      </c>
      <c r="B32" s="696" t="s">
        <v>5107</v>
      </c>
      <c r="C32" s="696" t="s">
        <v>4114</v>
      </c>
      <c r="D32" s="696" t="s">
        <v>5120</v>
      </c>
      <c r="E32" s="696" t="s">
        <v>5121</v>
      </c>
      <c r="F32" s="711">
        <v>2</v>
      </c>
      <c r="G32" s="711">
        <v>1228</v>
      </c>
      <c r="H32" s="711">
        <v>1</v>
      </c>
      <c r="I32" s="711">
        <v>614</v>
      </c>
      <c r="J32" s="711"/>
      <c r="K32" s="711"/>
      <c r="L32" s="711"/>
      <c r="M32" s="711"/>
      <c r="N32" s="711"/>
      <c r="O32" s="711"/>
      <c r="P32" s="701"/>
      <c r="Q32" s="712"/>
    </row>
    <row r="33" spans="1:17" ht="14.4" customHeight="1" x14ac:dyDescent="0.3">
      <c r="A33" s="695" t="s">
        <v>4911</v>
      </c>
      <c r="B33" s="696" t="s">
        <v>5107</v>
      </c>
      <c r="C33" s="696" t="s">
        <v>4114</v>
      </c>
      <c r="D33" s="696" t="s">
        <v>5122</v>
      </c>
      <c r="E33" s="696" t="s">
        <v>5123</v>
      </c>
      <c r="F33" s="711">
        <v>50</v>
      </c>
      <c r="G33" s="711">
        <v>1150</v>
      </c>
      <c r="H33" s="711">
        <v>1</v>
      </c>
      <c r="I33" s="711">
        <v>23</v>
      </c>
      <c r="J33" s="711">
        <v>35</v>
      </c>
      <c r="K33" s="711">
        <v>805</v>
      </c>
      <c r="L33" s="711">
        <v>0.7</v>
      </c>
      <c r="M33" s="711">
        <v>23</v>
      </c>
      <c r="N33" s="711">
        <v>30</v>
      </c>
      <c r="O33" s="711">
        <v>703</v>
      </c>
      <c r="P33" s="701">
        <v>0.611304347826087</v>
      </c>
      <c r="Q33" s="712">
        <v>23.433333333333334</v>
      </c>
    </row>
    <row r="34" spans="1:17" ht="14.4" customHeight="1" x14ac:dyDescent="0.3">
      <c r="A34" s="695" t="s">
        <v>4911</v>
      </c>
      <c r="B34" s="696" t="s">
        <v>5107</v>
      </c>
      <c r="C34" s="696" t="s">
        <v>4114</v>
      </c>
      <c r="D34" s="696" t="s">
        <v>5124</v>
      </c>
      <c r="E34" s="696" t="s">
        <v>5125</v>
      </c>
      <c r="F34" s="711">
        <v>42</v>
      </c>
      <c r="G34" s="711">
        <v>2268</v>
      </c>
      <c r="H34" s="711">
        <v>1</v>
      </c>
      <c r="I34" s="711">
        <v>54</v>
      </c>
      <c r="J34" s="711">
        <v>51</v>
      </c>
      <c r="K34" s="711">
        <v>2754</v>
      </c>
      <c r="L34" s="711">
        <v>1.2142857142857142</v>
      </c>
      <c r="M34" s="711">
        <v>54</v>
      </c>
      <c r="N34" s="711">
        <v>57</v>
      </c>
      <c r="O34" s="711">
        <v>3078</v>
      </c>
      <c r="P34" s="701">
        <v>1.3571428571428572</v>
      </c>
      <c r="Q34" s="712">
        <v>54</v>
      </c>
    </row>
    <row r="35" spans="1:17" ht="14.4" customHeight="1" x14ac:dyDescent="0.3">
      <c r="A35" s="695" t="s">
        <v>4911</v>
      </c>
      <c r="B35" s="696" t="s">
        <v>5107</v>
      </c>
      <c r="C35" s="696" t="s">
        <v>4114</v>
      </c>
      <c r="D35" s="696" t="s">
        <v>5126</v>
      </c>
      <c r="E35" s="696" t="s">
        <v>5127</v>
      </c>
      <c r="F35" s="711">
        <v>1007</v>
      </c>
      <c r="G35" s="711">
        <v>77539</v>
      </c>
      <c r="H35" s="711">
        <v>1</v>
      </c>
      <c r="I35" s="711">
        <v>77</v>
      </c>
      <c r="J35" s="711">
        <v>975</v>
      </c>
      <c r="K35" s="711">
        <v>75075</v>
      </c>
      <c r="L35" s="711">
        <v>0.96822244289970205</v>
      </c>
      <c r="M35" s="711">
        <v>77</v>
      </c>
      <c r="N35" s="711">
        <v>958</v>
      </c>
      <c r="O35" s="711">
        <v>73766</v>
      </c>
      <c r="P35" s="701">
        <v>0.95134061569016881</v>
      </c>
      <c r="Q35" s="712">
        <v>77</v>
      </c>
    </row>
    <row r="36" spans="1:17" ht="14.4" customHeight="1" x14ac:dyDescent="0.3">
      <c r="A36" s="695" t="s">
        <v>4911</v>
      </c>
      <c r="B36" s="696" t="s">
        <v>5107</v>
      </c>
      <c r="C36" s="696" t="s">
        <v>4114</v>
      </c>
      <c r="D36" s="696" t="s">
        <v>5128</v>
      </c>
      <c r="E36" s="696" t="s">
        <v>5129</v>
      </c>
      <c r="F36" s="711">
        <v>80</v>
      </c>
      <c r="G36" s="711">
        <v>1760</v>
      </c>
      <c r="H36" s="711">
        <v>1</v>
      </c>
      <c r="I36" s="711">
        <v>22</v>
      </c>
      <c r="J36" s="711">
        <v>67</v>
      </c>
      <c r="K36" s="711">
        <v>1474</v>
      </c>
      <c r="L36" s="711">
        <v>0.83750000000000002</v>
      </c>
      <c r="M36" s="711">
        <v>22</v>
      </c>
      <c r="N36" s="711">
        <v>58</v>
      </c>
      <c r="O36" s="711">
        <v>1303</v>
      </c>
      <c r="P36" s="701">
        <v>0.74034090909090911</v>
      </c>
      <c r="Q36" s="712">
        <v>22.46551724137931</v>
      </c>
    </row>
    <row r="37" spans="1:17" ht="14.4" customHeight="1" x14ac:dyDescent="0.3">
      <c r="A37" s="695" t="s">
        <v>4911</v>
      </c>
      <c r="B37" s="696" t="s">
        <v>5107</v>
      </c>
      <c r="C37" s="696" t="s">
        <v>4114</v>
      </c>
      <c r="D37" s="696" t="s">
        <v>5130</v>
      </c>
      <c r="E37" s="696" t="s">
        <v>5131</v>
      </c>
      <c r="F37" s="711">
        <v>96</v>
      </c>
      <c r="G37" s="711">
        <v>20064</v>
      </c>
      <c r="H37" s="711">
        <v>1</v>
      </c>
      <c r="I37" s="711">
        <v>209</v>
      </c>
      <c r="J37" s="711">
        <v>106</v>
      </c>
      <c r="K37" s="711">
        <v>22154</v>
      </c>
      <c r="L37" s="711">
        <v>1.1041666666666667</v>
      </c>
      <c r="M37" s="711">
        <v>209</v>
      </c>
      <c r="N37" s="711"/>
      <c r="O37" s="711"/>
      <c r="P37" s="701"/>
      <c r="Q37" s="712"/>
    </row>
    <row r="38" spans="1:17" ht="14.4" customHeight="1" x14ac:dyDescent="0.3">
      <c r="A38" s="695" t="s">
        <v>4911</v>
      </c>
      <c r="B38" s="696" t="s">
        <v>5107</v>
      </c>
      <c r="C38" s="696" t="s">
        <v>4114</v>
      </c>
      <c r="D38" s="696" t="s">
        <v>5132</v>
      </c>
      <c r="E38" s="696" t="s">
        <v>5133</v>
      </c>
      <c r="F38" s="711">
        <v>3</v>
      </c>
      <c r="G38" s="711">
        <v>198</v>
      </c>
      <c r="H38" s="711">
        <v>1</v>
      </c>
      <c r="I38" s="711">
        <v>66</v>
      </c>
      <c r="J38" s="711">
        <v>8</v>
      </c>
      <c r="K38" s="711">
        <v>528</v>
      </c>
      <c r="L38" s="711">
        <v>2.6666666666666665</v>
      </c>
      <c r="M38" s="711">
        <v>66</v>
      </c>
      <c r="N38" s="711">
        <v>4</v>
      </c>
      <c r="O38" s="711">
        <v>264</v>
      </c>
      <c r="P38" s="701">
        <v>1.3333333333333333</v>
      </c>
      <c r="Q38" s="712">
        <v>66</v>
      </c>
    </row>
    <row r="39" spans="1:17" ht="14.4" customHeight="1" x14ac:dyDescent="0.3">
      <c r="A39" s="695" t="s">
        <v>4911</v>
      </c>
      <c r="B39" s="696" t="s">
        <v>5107</v>
      </c>
      <c r="C39" s="696" t="s">
        <v>4114</v>
      </c>
      <c r="D39" s="696" t="s">
        <v>5134</v>
      </c>
      <c r="E39" s="696" t="s">
        <v>5135</v>
      </c>
      <c r="F39" s="711"/>
      <c r="G39" s="711"/>
      <c r="H39" s="711"/>
      <c r="I39" s="711"/>
      <c r="J39" s="711"/>
      <c r="K39" s="711"/>
      <c r="L39" s="711"/>
      <c r="M39" s="711"/>
      <c r="N39" s="711">
        <v>1</v>
      </c>
      <c r="O39" s="711">
        <v>294</v>
      </c>
      <c r="P39" s="701"/>
      <c r="Q39" s="712">
        <v>294</v>
      </c>
    </row>
    <row r="40" spans="1:17" ht="14.4" customHeight="1" x14ac:dyDescent="0.3">
      <c r="A40" s="695" t="s">
        <v>4911</v>
      </c>
      <c r="B40" s="696" t="s">
        <v>5107</v>
      </c>
      <c r="C40" s="696" t="s">
        <v>4114</v>
      </c>
      <c r="D40" s="696" t="s">
        <v>5136</v>
      </c>
      <c r="E40" s="696" t="s">
        <v>5137</v>
      </c>
      <c r="F40" s="711"/>
      <c r="G40" s="711"/>
      <c r="H40" s="711"/>
      <c r="I40" s="711"/>
      <c r="J40" s="711">
        <v>37</v>
      </c>
      <c r="K40" s="711">
        <v>12876</v>
      </c>
      <c r="L40" s="711"/>
      <c r="M40" s="711">
        <v>348</v>
      </c>
      <c r="N40" s="711">
        <v>14</v>
      </c>
      <c r="O40" s="711">
        <v>4872</v>
      </c>
      <c r="P40" s="701"/>
      <c r="Q40" s="712">
        <v>348</v>
      </c>
    </row>
    <row r="41" spans="1:17" ht="14.4" customHeight="1" x14ac:dyDescent="0.3">
      <c r="A41" s="695" t="s">
        <v>4911</v>
      </c>
      <c r="B41" s="696" t="s">
        <v>5107</v>
      </c>
      <c r="C41" s="696" t="s">
        <v>4114</v>
      </c>
      <c r="D41" s="696" t="s">
        <v>5138</v>
      </c>
      <c r="E41" s="696" t="s">
        <v>5139</v>
      </c>
      <c r="F41" s="711">
        <v>24</v>
      </c>
      <c r="G41" s="711">
        <v>552</v>
      </c>
      <c r="H41" s="711">
        <v>1</v>
      </c>
      <c r="I41" s="711">
        <v>23</v>
      </c>
      <c r="J41" s="711">
        <v>27</v>
      </c>
      <c r="K41" s="711">
        <v>648</v>
      </c>
      <c r="L41" s="711">
        <v>1.173913043478261</v>
      </c>
      <c r="M41" s="711">
        <v>24</v>
      </c>
      <c r="N41" s="711">
        <v>26</v>
      </c>
      <c r="O41" s="711">
        <v>624</v>
      </c>
      <c r="P41" s="701">
        <v>1.1304347826086956</v>
      </c>
      <c r="Q41" s="712">
        <v>24</v>
      </c>
    </row>
    <row r="42" spans="1:17" ht="14.4" customHeight="1" x14ac:dyDescent="0.3">
      <c r="A42" s="695" t="s">
        <v>4911</v>
      </c>
      <c r="B42" s="696" t="s">
        <v>5107</v>
      </c>
      <c r="C42" s="696" t="s">
        <v>4114</v>
      </c>
      <c r="D42" s="696" t="s">
        <v>5140</v>
      </c>
      <c r="E42" s="696" t="s">
        <v>5141</v>
      </c>
      <c r="F42" s="711">
        <v>94</v>
      </c>
      <c r="G42" s="711">
        <v>16920</v>
      </c>
      <c r="H42" s="711">
        <v>1</v>
      </c>
      <c r="I42" s="711">
        <v>180</v>
      </c>
      <c r="J42" s="711">
        <v>68</v>
      </c>
      <c r="K42" s="711">
        <v>12240</v>
      </c>
      <c r="L42" s="711">
        <v>0.72340425531914898</v>
      </c>
      <c r="M42" s="711">
        <v>180</v>
      </c>
      <c r="N42" s="711">
        <v>89</v>
      </c>
      <c r="O42" s="711">
        <v>16020</v>
      </c>
      <c r="P42" s="701">
        <v>0.94680851063829785</v>
      </c>
      <c r="Q42" s="712">
        <v>180</v>
      </c>
    </row>
    <row r="43" spans="1:17" ht="14.4" customHeight="1" x14ac:dyDescent="0.3">
      <c r="A43" s="695" t="s">
        <v>4911</v>
      </c>
      <c r="B43" s="696" t="s">
        <v>5107</v>
      </c>
      <c r="C43" s="696" t="s">
        <v>4114</v>
      </c>
      <c r="D43" s="696" t="s">
        <v>5142</v>
      </c>
      <c r="E43" s="696" t="s">
        <v>5143</v>
      </c>
      <c r="F43" s="711">
        <v>34</v>
      </c>
      <c r="G43" s="711">
        <v>8602</v>
      </c>
      <c r="H43" s="711">
        <v>1</v>
      </c>
      <c r="I43" s="711">
        <v>253</v>
      </c>
      <c r="J43" s="711">
        <v>23</v>
      </c>
      <c r="K43" s="711">
        <v>5819</v>
      </c>
      <c r="L43" s="711">
        <v>0.67647058823529416</v>
      </c>
      <c r="M43" s="711">
        <v>253</v>
      </c>
      <c r="N43" s="711">
        <v>134</v>
      </c>
      <c r="O43" s="711">
        <v>33902</v>
      </c>
      <c r="P43" s="701">
        <v>3.9411764705882355</v>
      </c>
      <c r="Q43" s="712">
        <v>253</v>
      </c>
    </row>
    <row r="44" spans="1:17" ht="14.4" customHeight="1" x14ac:dyDescent="0.3">
      <c r="A44" s="695" t="s">
        <v>4911</v>
      </c>
      <c r="B44" s="696" t="s">
        <v>5107</v>
      </c>
      <c r="C44" s="696" t="s">
        <v>4114</v>
      </c>
      <c r="D44" s="696" t="s">
        <v>5144</v>
      </c>
      <c r="E44" s="696" t="s">
        <v>5145</v>
      </c>
      <c r="F44" s="711">
        <v>2</v>
      </c>
      <c r="G44" s="711">
        <v>378</v>
      </c>
      <c r="H44" s="711">
        <v>1</v>
      </c>
      <c r="I44" s="711">
        <v>189</v>
      </c>
      <c r="J44" s="711"/>
      <c r="K44" s="711"/>
      <c r="L44" s="711"/>
      <c r="M44" s="711"/>
      <c r="N44" s="711"/>
      <c r="O44" s="711"/>
      <c r="P44" s="701"/>
      <c r="Q44" s="712"/>
    </row>
    <row r="45" spans="1:17" ht="14.4" customHeight="1" x14ac:dyDescent="0.3">
      <c r="A45" s="695" t="s">
        <v>4911</v>
      </c>
      <c r="B45" s="696" t="s">
        <v>5107</v>
      </c>
      <c r="C45" s="696" t="s">
        <v>4114</v>
      </c>
      <c r="D45" s="696" t="s">
        <v>5146</v>
      </c>
      <c r="E45" s="696" t="s">
        <v>5147</v>
      </c>
      <c r="F45" s="711">
        <v>89</v>
      </c>
      <c r="G45" s="711">
        <v>19224</v>
      </c>
      <c r="H45" s="711">
        <v>1</v>
      </c>
      <c r="I45" s="711">
        <v>216</v>
      </c>
      <c r="J45" s="711">
        <v>79</v>
      </c>
      <c r="K45" s="711">
        <v>17064</v>
      </c>
      <c r="L45" s="711">
        <v>0.88764044943820219</v>
      </c>
      <c r="M45" s="711">
        <v>216</v>
      </c>
      <c r="N45" s="711">
        <v>95</v>
      </c>
      <c r="O45" s="711">
        <v>20520</v>
      </c>
      <c r="P45" s="701">
        <v>1.0674157303370786</v>
      </c>
      <c r="Q45" s="712">
        <v>216</v>
      </c>
    </row>
    <row r="46" spans="1:17" ht="14.4" customHeight="1" x14ac:dyDescent="0.3">
      <c r="A46" s="695" t="s">
        <v>4911</v>
      </c>
      <c r="B46" s="696" t="s">
        <v>5107</v>
      </c>
      <c r="C46" s="696" t="s">
        <v>4114</v>
      </c>
      <c r="D46" s="696" t="s">
        <v>5148</v>
      </c>
      <c r="E46" s="696" t="s">
        <v>5149</v>
      </c>
      <c r="F46" s="711">
        <v>1</v>
      </c>
      <c r="G46" s="711">
        <v>35</v>
      </c>
      <c r="H46" s="711">
        <v>1</v>
      </c>
      <c r="I46" s="711">
        <v>35</v>
      </c>
      <c r="J46" s="711">
        <v>4</v>
      </c>
      <c r="K46" s="711">
        <v>140</v>
      </c>
      <c r="L46" s="711">
        <v>4</v>
      </c>
      <c r="M46" s="711">
        <v>35</v>
      </c>
      <c r="N46" s="711">
        <v>1</v>
      </c>
      <c r="O46" s="711">
        <v>36</v>
      </c>
      <c r="P46" s="701">
        <v>1.0285714285714285</v>
      </c>
      <c r="Q46" s="712">
        <v>36</v>
      </c>
    </row>
    <row r="47" spans="1:17" ht="14.4" customHeight="1" x14ac:dyDescent="0.3">
      <c r="A47" s="695" t="s">
        <v>4911</v>
      </c>
      <c r="B47" s="696" t="s">
        <v>5107</v>
      </c>
      <c r="C47" s="696" t="s">
        <v>4114</v>
      </c>
      <c r="D47" s="696" t="s">
        <v>5150</v>
      </c>
      <c r="E47" s="696" t="s">
        <v>5151</v>
      </c>
      <c r="F47" s="711">
        <v>2</v>
      </c>
      <c r="G47" s="711">
        <v>1178</v>
      </c>
      <c r="H47" s="711">
        <v>1</v>
      </c>
      <c r="I47" s="711">
        <v>589</v>
      </c>
      <c r="J47" s="711"/>
      <c r="K47" s="711"/>
      <c r="L47" s="711"/>
      <c r="M47" s="711"/>
      <c r="N47" s="711"/>
      <c r="O47" s="711"/>
      <c r="P47" s="701"/>
      <c r="Q47" s="712"/>
    </row>
    <row r="48" spans="1:17" ht="14.4" customHeight="1" x14ac:dyDescent="0.3">
      <c r="A48" s="695" t="s">
        <v>4911</v>
      </c>
      <c r="B48" s="696" t="s">
        <v>5107</v>
      </c>
      <c r="C48" s="696" t="s">
        <v>4114</v>
      </c>
      <c r="D48" s="696" t="s">
        <v>5152</v>
      </c>
      <c r="E48" s="696" t="s">
        <v>5153</v>
      </c>
      <c r="F48" s="711">
        <v>43</v>
      </c>
      <c r="G48" s="711">
        <v>2150</v>
      </c>
      <c r="H48" s="711">
        <v>1</v>
      </c>
      <c r="I48" s="711">
        <v>50</v>
      </c>
      <c r="J48" s="711">
        <v>39</v>
      </c>
      <c r="K48" s="711">
        <v>1950</v>
      </c>
      <c r="L48" s="711">
        <v>0.90697674418604646</v>
      </c>
      <c r="M48" s="711">
        <v>50</v>
      </c>
      <c r="N48" s="711">
        <v>151</v>
      </c>
      <c r="O48" s="711">
        <v>7550</v>
      </c>
      <c r="P48" s="701">
        <v>3.5116279069767442</v>
      </c>
      <c r="Q48" s="712">
        <v>50</v>
      </c>
    </row>
    <row r="49" spans="1:17" ht="14.4" customHeight="1" x14ac:dyDescent="0.3">
      <c r="A49" s="695" t="s">
        <v>4911</v>
      </c>
      <c r="B49" s="696" t="s">
        <v>5107</v>
      </c>
      <c r="C49" s="696" t="s">
        <v>4114</v>
      </c>
      <c r="D49" s="696" t="s">
        <v>5154</v>
      </c>
      <c r="E49" s="696" t="s">
        <v>5155</v>
      </c>
      <c r="F49" s="711">
        <v>1</v>
      </c>
      <c r="G49" s="711">
        <v>544</v>
      </c>
      <c r="H49" s="711">
        <v>1</v>
      </c>
      <c r="I49" s="711">
        <v>544</v>
      </c>
      <c r="J49" s="711"/>
      <c r="K49" s="711"/>
      <c r="L49" s="711"/>
      <c r="M49" s="711"/>
      <c r="N49" s="711"/>
      <c r="O49" s="711"/>
      <c r="P49" s="701"/>
      <c r="Q49" s="712"/>
    </row>
    <row r="50" spans="1:17" ht="14.4" customHeight="1" x14ac:dyDescent="0.3">
      <c r="A50" s="695" t="s">
        <v>4911</v>
      </c>
      <c r="B50" s="696" t="s">
        <v>5107</v>
      </c>
      <c r="C50" s="696" t="s">
        <v>4114</v>
      </c>
      <c r="D50" s="696" t="s">
        <v>5156</v>
      </c>
      <c r="E50" s="696" t="s">
        <v>5157</v>
      </c>
      <c r="F50" s="711">
        <v>2</v>
      </c>
      <c r="G50" s="711">
        <v>1500</v>
      </c>
      <c r="H50" s="711">
        <v>1</v>
      </c>
      <c r="I50" s="711">
        <v>750</v>
      </c>
      <c r="J50" s="711"/>
      <c r="K50" s="711"/>
      <c r="L50" s="711"/>
      <c r="M50" s="711"/>
      <c r="N50" s="711"/>
      <c r="O50" s="711"/>
      <c r="P50" s="701"/>
      <c r="Q50" s="712"/>
    </row>
    <row r="51" spans="1:17" ht="14.4" customHeight="1" x14ac:dyDescent="0.3">
      <c r="A51" s="695" t="s">
        <v>4911</v>
      </c>
      <c r="B51" s="696" t="s">
        <v>5107</v>
      </c>
      <c r="C51" s="696" t="s">
        <v>4114</v>
      </c>
      <c r="D51" s="696" t="s">
        <v>5158</v>
      </c>
      <c r="E51" s="696" t="s">
        <v>5159</v>
      </c>
      <c r="F51" s="711">
        <v>1</v>
      </c>
      <c r="G51" s="711">
        <v>649</v>
      </c>
      <c r="H51" s="711">
        <v>1</v>
      </c>
      <c r="I51" s="711">
        <v>649</v>
      </c>
      <c r="J51" s="711"/>
      <c r="K51" s="711"/>
      <c r="L51" s="711"/>
      <c r="M51" s="711"/>
      <c r="N51" s="711"/>
      <c r="O51" s="711"/>
      <c r="P51" s="701"/>
      <c r="Q51" s="712"/>
    </row>
    <row r="52" spans="1:17" ht="14.4" customHeight="1" x14ac:dyDescent="0.3">
      <c r="A52" s="695" t="s">
        <v>4911</v>
      </c>
      <c r="B52" s="696" t="s">
        <v>5107</v>
      </c>
      <c r="C52" s="696" t="s">
        <v>4114</v>
      </c>
      <c r="D52" s="696" t="s">
        <v>5160</v>
      </c>
      <c r="E52" s="696" t="s">
        <v>5161</v>
      </c>
      <c r="F52" s="711">
        <v>1</v>
      </c>
      <c r="G52" s="711">
        <v>563</v>
      </c>
      <c r="H52" s="711">
        <v>1</v>
      </c>
      <c r="I52" s="711">
        <v>563</v>
      </c>
      <c r="J52" s="711"/>
      <c r="K52" s="711"/>
      <c r="L52" s="711"/>
      <c r="M52" s="711"/>
      <c r="N52" s="711"/>
      <c r="O52" s="711"/>
      <c r="P52" s="701"/>
      <c r="Q52" s="712"/>
    </row>
    <row r="53" spans="1:17" ht="14.4" customHeight="1" x14ac:dyDescent="0.3">
      <c r="A53" s="695" t="s">
        <v>5162</v>
      </c>
      <c r="B53" s="696" t="s">
        <v>5163</v>
      </c>
      <c r="C53" s="696" t="s">
        <v>4114</v>
      </c>
      <c r="D53" s="696" t="s">
        <v>5164</v>
      </c>
      <c r="E53" s="696" t="s">
        <v>5165</v>
      </c>
      <c r="F53" s="711">
        <v>157</v>
      </c>
      <c r="G53" s="711">
        <v>4239</v>
      </c>
      <c r="H53" s="711">
        <v>1</v>
      </c>
      <c r="I53" s="711">
        <v>27</v>
      </c>
      <c r="J53" s="711">
        <v>156</v>
      </c>
      <c r="K53" s="711">
        <v>4212</v>
      </c>
      <c r="L53" s="711">
        <v>0.99363057324840764</v>
      </c>
      <c r="M53" s="711">
        <v>27</v>
      </c>
      <c r="N53" s="711">
        <v>189</v>
      </c>
      <c r="O53" s="711">
        <v>5103</v>
      </c>
      <c r="P53" s="701">
        <v>1.2038216560509554</v>
      </c>
      <c r="Q53" s="712">
        <v>27</v>
      </c>
    </row>
    <row r="54" spans="1:17" ht="14.4" customHeight="1" x14ac:dyDescent="0.3">
      <c r="A54" s="695" t="s">
        <v>5162</v>
      </c>
      <c r="B54" s="696" t="s">
        <v>5163</v>
      </c>
      <c r="C54" s="696" t="s">
        <v>4114</v>
      </c>
      <c r="D54" s="696" t="s">
        <v>5166</v>
      </c>
      <c r="E54" s="696" t="s">
        <v>5167</v>
      </c>
      <c r="F54" s="711">
        <v>74</v>
      </c>
      <c r="G54" s="711">
        <v>3996</v>
      </c>
      <c r="H54" s="711">
        <v>1</v>
      </c>
      <c r="I54" s="711">
        <v>54</v>
      </c>
      <c r="J54" s="711">
        <v>67</v>
      </c>
      <c r="K54" s="711">
        <v>3618</v>
      </c>
      <c r="L54" s="711">
        <v>0.90540540540540537</v>
      </c>
      <c r="M54" s="711">
        <v>54</v>
      </c>
      <c r="N54" s="711">
        <v>79</v>
      </c>
      <c r="O54" s="711">
        <v>4266</v>
      </c>
      <c r="P54" s="701">
        <v>1.0675675675675675</v>
      </c>
      <c r="Q54" s="712">
        <v>54</v>
      </c>
    </row>
    <row r="55" spans="1:17" ht="14.4" customHeight="1" x14ac:dyDescent="0.3">
      <c r="A55" s="695" t="s">
        <v>5162</v>
      </c>
      <c r="B55" s="696" t="s">
        <v>5163</v>
      </c>
      <c r="C55" s="696" t="s">
        <v>4114</v>
      </c>
      <c r="D55" s="696" t="s">
        <v>5168</v>
      </c>
      <c r="E55" s="696" t="s">
        <v>5169</v>
      </c>
      <c r="F55" s="711">
        <v>249</v>
      </c>
      <c r="G55" s="711">
        <v>5976</v>
      </c>
      <c r="H55" s="711">
        <v>1</v>
      </c>
      <c r="I55" s="711">
        <v>24</v>
      </c>
      <c r="J55" s="711">
        <v>232</v>
      </c>
      <c r="K55" s="711">
        <v>5568</v>
      </c>
      <c r="L55" s="711">
        <v>0.93172690763052213</v>
      </c>
      <c r="M55" s="711">
        <v>24</v>
      </c>
      <c r="N55" s="711">
        <v>228</v>
      </c>
      <c r="O55" s="711">
        <v>5472</v>
      </c>
      <c r="P55" s="701">
        <v>0.91566265060240959</v>
      </c>
      <c r="Q55" s="712">
        <v>24</v>
      </c>
    </row>
    <row r="56" spans="1:17" ht="14.4" customHeight="1" x14ac:dyDescent="0.3">
      <c r="A56" s="695" t="s">
        <v>5162</v>
      </c>
      <c r="B56" s="696" t="s">
        <v>5163</v>
      </c>
      <c r="C56" s="696" t="s">
        <v>4114</v>
      </c>
      <c r="D56" s="696" t="s">
        <v>5170</v>
      </c>
      <c r="E56" s="696" t="s">
        <v>5171</v>
      </c>
      <c r="F56" s="711">
        <v>4367</v>
      </c>
      <c r="G56" s="711">
        <v>117909</v>
      </c>
      <c r="H56" s="711">
        <v>1</v>
      </c>
      <c r="I56" s="711">
        <v>27</v>
      </c>
      <c r="J56" s="711">
        <v>4496</v>
      </c>
      <c r="K56" s="711">
        <v>121392</v>
      </c>
      <c r="L56" s="711">
        <v>1.0295397297916189</v>
      </c>
      <c r="M56" s="711">
        <v>27</v>
      </c>
      <c r="N56" s="711">
        <v>426</v>
      </c>
      <c r="O56" s="711">
        <v>11502</v>
      </c>
      <c r="P56" s="701">
        <v>9.7549805358369587E-2</v>
      </c>
      <c r="Q56" s="712">
        <v>27</v>
      </c>
    </row>
    <row r="57" spans="1:17" ht="14.4" customHeight="1" x14ac:dyDescent="0.3">
      <c r="A57" s="695" t="s">
        <v>5162</v>
      </c>
      <c r="B57" s="696" t="s">
        <v>5163</v>
      </c>
      <c r="C57" s="696" t="s">
        <v>4114</v>
      </c>
      <c r="D57" s="696" t="s">
        <v>5172</v>
      </c>
      <c r="E57" s="696" t="s">
        <v>5173</v>
      </c>
      <c r="F57" s="711">
        <v>5457</v>
      </c>
      <c r="G57" s="711">
        <v>305592</v>
      </c>
      <c r="H57" s="711">
        <v>1</v>
      </c>
      <c r="I57" s="711">
        <v>56</v>
      </c>
      <c r="J57" s="711">
        <v>4286</v>
      </c>
      <c r="K57" s="711">
        <v>240016</v>
      </c>
      <c r="L57" s="711">
        <v>0.78541323071284586</v>
      </c>
      <c r="M57" s="711">
        <v>56</v>
      </c>
      <c r="N57" s="711">
        <v>1718</v>
      </c>
      <c r="O57" s="711">
        <v>96209</v>
      </c>
      <c r="P57" s="701">
        <v>0.31482826775570039</v>
      </c>
      <c r="Q57" s="712">
        <v>56.000582072176947</v>
      </c>
    </row>
    <row r="58" spans="1:17" ht="14.4" customHeight="1" x14ac:dyDescent="0.3">
      <c r="A58" s="695" t="s">
        <v>5162</v>
      </c>
      <c r="B58" s="696" t="s">
        <v>5163</v>
      </c>
      <c r="C58" s="696" t="s">
        <v>4114</v>
      </c>
      <c r="D58" s="696" t="s">
        <v>5174</v>
      </c>
      <c r="E58" s="696" t="s">
        <v>5175</v>
      </c>
      <c r="F58" s="711">
        <v>100</v>
      </c>
      <c r="G58" s="711">
        <v>2700</v>
      </c>
      <c r="H58" s="711">
        <v>1</v>
      </c>
      <c r="I58" s="711">
        <v>27</v>
      </c>
      <c r="J58" s="711">
        <v>98</v>
      </c>
      <c r="K58" s="711">
        <v>2646</v>
      </c>
      <c r="L58" s="711">
        <v>0.98</v>
      </c>
      <c r="M58" s="711">
        <v>27</v>
      </c>
      <c r="N58" s="711">
        <v>127</v>
      </c>
      <c r="O58" s="711">
        <v>3429</v>
      </c>
      <c r="P58" s="701">
        <v>1.27</v>
      </c>
      <c r="Q58" s="712">
        <v>27</v>
      </c>
    </row>
    <row r="59" spans="1:17" ht="14.4" customHeight="1" x14ac:dyDescent="0.3">
      <c r="A59" s="695" t="s">
        <v>5162</v>
      </c>
      <c r="B59" s="696" t="s">
        <v>5163</v>
      </c>
      <c r="C59" s="696" t="s">
        <v>4114</v>
      </c>
      <c r="D59" s="696" t="s">
        <v>5176</v>
      </c>
      <c r="E59" s="696" t="s">
        <v>5177</v>
      </c>
      <c r="F59" s="711">
        <v>4282</v>
      </c>
      <c r="G59" s="711">
        <v>94204</v>
      </c>
      <c r="H59" s="711">
        <v>1</v>
      </c>
      <c r="I59" s="711">
        <v>22</v>
      </c>
      <c r="J59" s="711">
        <v>4350</v>
      </c>
      <c r="K59" s="711">
        <v>95700</v>
      </c>
      <c r="L59" s="711">
        <v>1.0158804297057449</v>
      </c>
      <c r="M59" s="711">
        <v>22</v>
      </c>
      <c r="N59" s="711">
        <v>4172</v>
      </c>
      <c r="O59" s="711">
        <v>91784</v>
      </c>
      <c r="P59" s="701">
        <v>0.97431106959364788</v>
      </c>
      <c r="Q59" s="712">
        <v>22</v>
      </c>
    </row>
    <row r="60" spans="1:17" ht="14.4" customHeight="1" x14ac:dyDescent="0.3">
      <c r="A60" s="695" t="s">
        <v>5162</v>
      </c>
      <c r="B60" s="696" t="s">
        <v>5163</v>
      </c>
      <c r="C60" s="696" t="s">
        <v>4114</v>
      </c>
      <c r="D60" s="696" t="s">
        <v>5178</v>
      </c>
      <c r="E60" s="696" t="s">
        <v>5179</v>
      </c>
      <c r="F60" s="711">
        <v>16</v>
      </c>
      <c r="G60" s="711">
        <v>1088</v>
      </c>
      <c r="H60" s="711">
        <v>1</v>
      </c>
      <c r="I60" s="711">
        <v>68</v>
      </c>
      <c r="J60" s="711">
        <v>16</v>
      </c>
      <c r="K60" s="711">
        <v>1088</v>
      </c>
      <c r="L60" s="711">
        <v>1</v>
      </c>
      <c r="M60" s="711">
        <v>68</v>
      </c>
      <c r="N60" s="711">
        <v>24</v>
      </c>
      <c r="O60" s="711">
        <v>1632</v>
      </c>
      <c r="P60" s="701">
        <v>1.5</v>
      </c>
      <c r="Q60" s="712">
        <v>68</v>
      </c>
    </row>
    <row r="61" spans="1:17" ht="14.4" customHeight="1" x14ac:dyDescent="0.3">
      <c r="A61" s="695" t="s">
        <v>5162</v>
      </c>
      <c r="B61" s="696" t="s">
        <v>5163</v>
      </c>
      <c r="C61" s="696" t="s">
        <v>4114</v>
      </c>
      <c r="D61" s="696" t="s">
        <v>5180</v>
      </c>
      <c r="E61" s="696" t="s">
        <v>5181</v>
      </c>
      <c r="F61" s="711">
        <v>8</v>
      </c>
      <c r="G61" s="711">
        <v>496</v>
      </c>
      <c r="H61" s="711">
        <v>1</v>
      </c>
      <c r="I61" s="711">
        <v>62</v>
      </c>
      <c r="J61" s="711">
        <v>5</v>
      </c>
      <c r="K61" s="711">
        <v>310</v>
      </c>
      <c r="L61" s="711">
        <v>0.625</v>
      </c>
      <c r="M61" s="711">
        <v>62</v>
      </c>
      <c r="N61" s="711">
        <v>4</v>
      </c>
      <c r="O61" s="711">
        <v>248</v>
      </c>
      <c r="P61" s="701">
        <v>0.5</v>
      </c>
      <c r="Q61" s="712">
        <v>62</v>
      </c>
    </row>
    <row r="62" spans="1:17" ht="14.4" customHeight="1" x14ac:dyDescent="0.3">
      <c r="A62" s="695" t="s">
        <v>5162</v>
      </c>
      <c r="B62" s="696" t="s">
        <v>5163</v>
      </c>
      <c r="C62" s="696" t="s">
        <v>4114</v>
      </c>
      <c r="D62" s="696" t="s">
        <v>5182</v>
      </c>
      <c r="E62" s="696" t="s">
        <v>5183</v>
      </c>
      <c r="F62" s="711">
        <v>4312</v>
      </c>
      <c r="G62" s="711">
        <v>263032</v>
      </c>
      <c r="H62" s="711">
        <v>1</v>
      </c>
      <c r="I62" s="711">
        <v>61</v>
      </c>
      <c r="J62" s="711">
        <v>4299</v>
      </c>
      <c r="K62" s="711">
        <v>262239</v>
      </c>
      <c r="L62" s="711">
        <v>0.9969851576994434</v>
      </c>
      <c r="M62" s="711">
        <v>61</v>
      </c>
      <c r="N62" s="711">
        <v>4175</v>
      </c>
      <c r="O62" s="711">
        <v>256623</v>
      </c>
      <c r="P62" s="701">
        <v>0.97563414337419019</v>
      </c>
      <c r="Q62" s="712">
        <v>61.466586826347303</v>
      </c>
    </row>
    <row r="63" spans="1:17" ht="14.4" customHeight="1" x14ac:dyDescent="0.3">
      <c r="A63" s="695" t="s">
        <v>5162</v>
      </c>
      <c r="B63" s="696" t="s">
        <v>5163</v>
      </c>
      <c r="C63" s="696" t="s">
        <v>4114</v>
      </c>
      <c r="D63" s="696" t="s">
        <v>5184</v>
      </c>
      <c r="E63" s="696" t="s">
        <v>5185</v>
      </c>
      <c r="F63" s="711">
        <v>1</v>
      </c>
      <c r="G63" s="711">
        <v>394</v>
      </c>
      <c r="H63" s="711">
        <v>1</v>
      </c>
      <c r="I63" s="711">
        <v>394</v>
      </c>
      <c r="J63" s="711"/>
      <c r="K63" s="711"/>
      <c r="L63" s="711"/>
      <c r="M63" s="711"/>
      <c r="N63" s="711"/>
      <c r="O63" s="711"/>
      <c r="P63" s="701"/>
      <c r="Q63" s="712"/>
    </row>
    <row r="64" spans="1:17" ht="14.4" customHeight="1" x14ac:dyDescent="0.3">
      <c r="A64" s="695" t="s">
        <v>5162</v>
      </c>
      <c r="B64" s="696" t="s">
        <v>5163</v>
      </c>
      <c r="C64" s="696" t="s">
        <v>4114</v>
      </c>
      <c r="D64" s="696" t="s">
        <v>5186</v>
      </c>
      <c r="E64" s="696" t="s">
        <v>5187</v>
      </c>
      <c r="F64" s="711"/>
      <c r="G64" s="711"/>
      <c r="H64" s="711"/>
      <c r="I64" s="711"/>
      <c r="J64" s="711"/>
      <c r="K64" s="711"/>
      <c r="L64" s="711"/>
      <c r="M64" s="711"/>
      <c r="N64" s="711">
        <v>39</v>
      </c>
      <c r="O64" s="711">
        <v>3168</v>
      </c>
      <c r="P64" s="701"/>
      <c r="Q64" s="712">
        <v>81.230769230769226</v>
      </c>
    </row>
    <row r="65" spans="1:17" ht="14.4" customHeight="1" x14ac:dyDescent="0.3">
      <c r="A65" s="695" t="s">
        <v>5162</v>
      </c>
      <c r="B65" s="696" t="s">
        <v>5163</v>
      </c>
      <c r="C65" s="696" t="s">
        <v>4114</v>
      </c>
      <c r="D65" s="696" t="s">
        <v>5188</v>
      </c>
      <c r="E65" s="696" t="s">
        <v>5189</v>
      </c>
      <c r="F65" s="711">
        <v>122</v>
      </c>
      <c r="G65" s="711">
        <v>120414</v>
      </c>
      <c r="H65" s="711">
        <v>1</v>
      </c>
      <c r="I65" s="711">
        <v>987</v>
      </c>
      <c r="J65" s="711">
        <v>173</v>
      </c>
      <c r="K65" s="711">
        <v>170751</v>
      </c>
      <c r="L65" s="711">
        <v>1.4180327868852458</v>
      </c>
      <c r="M65" s="711">
        <v>987</v>
      </c>
      <c r="N65" s="711">
        <v>139</v>
      </c>
      <c r="O65" s="711">
        <v>137193</v>
      </c>
      <c r="P65" s="701">
        <v>1.139344262295082</v>
      </c>
      <c r="Q65" s="712">
        <v>987</v>
      </c>
    </row>
    <row r="66" spans="1:17" ht="14.4" customHeight="1" x14ac:dyDescent="0.3">
      <c r="A66" s="695" t="s">
        <v>5162</v>
      </c>
      <c r="B66" s="696" t="s">
        <v>5163</v>
      </c>
      <c r="C66" s="696" t="s">
        <v>4114</v>
      </c>
      <c r="D66" s="696" t="s">
        <v>5190</v>
      </c>
      <c r="E66" s="696" t="s">
        <v>5191</v>
      </c>
      <c r="F66" s="711">
        <v>2</v>
      </c>
      <c r="G66" s="711">
        <v>382</v>
      </c>
      <c r="H66" s="711">
        <v>1</v>
      </c>
      <c r="I66" s="711">
        <v>191</v>
      </c>
      <c r="J66" s="711"/>
      <c r="K66" s="711"/>
      <c r="L66" s="711"/>
      <c r="M66" s="711"/>
      <c r="N66" s="711"/>
      <c r="O66" s="711"/>
      <c r="P66" s="701"/>
      <c r="Q66" s="712"/>
    </row>
    <row r="67" spans="1:17" ht="14.4" customHeight="1" x14ac:dyDescent="0.3">
      <c r="A67" s="695" t="s">
        <v>5162</v>
      </c>
      <c r="B67" s="696" t="s">
        <v>5163</v>
      </c>
      <c r="C67" s="696" t="s">
        <v>4114</v>
      </c>
      <c r="D67" s="696" t="s">
        <v>5192</v>
      </c>
      <c r="E67" s="696" t="s">
        <v>5193</v>
      </c>
      <c r="F67" s="711">
        <v>10</v>
      </c>
      <c r="G67" s="711">
        <v>820</v>
      </c>
      <c r="H67" s="711">
        <v>1</v>
      </c>
      <c r="I67" s="711">
        <v>82</v>
      </c>
      <c r="J67" s="711">
        <v>9</v>
      </c>
      <c r="K67" s="711">
        <v>738</v>
      </c>
      <c r="L67" s="711">
        <v>0.9</v>
      </c>
      <c r="M67" s="711">
        <v>82</v>
      </c>
      <c r="N67" s="711">
        <v>35</v>
      </c>
      <c r="O67" s="711">
        <v>2870</v>
      </c>
      <c r="P67" s="701">
        <v>3.5</v>
      </c>
      <c r="Q67" s="712">
        <v>82</v>
      </c>
    </row>
    <row r="68" spans="1:17" ht="14.4" customHeight="1" x14ac:dyDescent="0.3">
      <c r="A68" s="695" t="s">
        <v>5162</v>
      </c>
      <c r="B68" s="696" t="s">
        <v>5163</v>
      </c>
      <c r="C68" s="696" t="s">
        <v>4114</v>
      </c>
      <c r="D68" s="696" t="s">
        <v>5194</v>
      </c>
      <c r="E68" s="696" t="s">
        <v>5195</v>
      </c>
      <c r="F68" s="711">
        <v>4</v>
      </c>
      <c r="G68" s="711">
        <v>252</v>
      </c>
      <c r="H68" s="711">
        <v>1</v>
      </c>
      <c r="I68" s="711">
        <v>63</v>
      </c>
      <c r="J68" s="711"/>
      <c r="K68" s="711"/>
      <c r="L68" s="711"/>
      <c r="M68" s="711"/>
      <c r="N68" s="711">
        <v>1</v>
      </c>
      <c r="O68" s="711">
        <v>63</v>
      </c>
      <c r="P68" s="701">
        <v>0.25</v>
      </c>
      <c r="Q68" s="712">
        <v>63</v>
      </c>
    </row>
    <row r="69" spans="1:17" ht="14.4" customHeight="1" x14ac:dyDescent="0.3">
      <c r="A69" s="695" t="s">
        <v>5162</v>
      </c>
      <c r="B69" s="696" t="s">
        <v>5163</v>
      </c>
      <c r="C69" s="696" t="s">
        <v>4114</v>
      </c>
      <c r="D69" s="696" t="s">
        <v>5196</v>
      </c>
      <c r="E69" s="696" t="s">
        <v>5197</v>
      </c>
      <c r="F69" s="711">
        <v>89</v>
      </c>
      <c r="G69" s="711">
        <v>1513</v>
      </c>
      <c r="H69" s="711">
        <v>1</v>
      </c>
      <c r="I69" s="711">
        <v>17</v>
      </c>
      <c r="J69" s="711">
        <v>137</v>
      </c>
      <c r="K69" s="711">
        <v>2329</v>
      </c>
      <c r="L69" s="711">
        <v>1.5393258426966292</v>
      </c>
      <c r="M69" s="711">
        <v>17</v>
      </c>
      <c r="N69" s="711">
        <v>212</v>
      </c>
      <c r="O69" s="711">
        <v>3604</v>
      </c>
      <c r="P69" s="701">
        <v>2.3820224719101124</v>
      </c>
      <c r="Q69" s="712">
        <v>17</v>
      </c>
    </row>
    <row r="70" spans="1:17" ht="14.4" customHeight="1" x14ac:dyDescent="0.3">
      <c r="A70" s="695" t="s">
        <v>5162</v>
      </c>
      <c r="B70" s="696" t="s">
        <v>5163</v>
      </c>
      <c r="C70" s="696" t="s">
        <v>4114</v>
      </c>
      <c r="D70" s="696" t="s">
        <v>5198</v>
      </c>
      <c r="E70" s="696" t="s">
        <v>5199</v>
      </c>
      <c r="F70" s="711">
        <v>2</v>
      </c>
      <c r="G70" s="711">
        <v>124</v>
      </c>
      <c r="H70" s="711">
        <v>1</v>
      </c>
      <c r="I70" s="711">
        <v>62</v>
      </c>
      <c r="J70" s="711">
        <v>1</v>
      </c>
      <c r="K70" s="711">
        <v>63</v>
      </c>
      <c r="L70" s="711">
        <v>0.50806451612903225</v>
      </c>
      <c r="M70" s="711">
        <v>63</v>
      </c>
      <c r="N70" s="711"/>
      <c r="O70" s="711"/>
      <c r="P70" s="701"/>
      <c r="Q70" s="712"/>
    </row>
    <row r="71" spans="1:17" ht="14.4" customHeight="1" x14ac:dyDescent="0.3">
      <c r="A71" s="695" t="s">
        <v>5162</v>
      </c>
      <c r="B71" s="696" t="s">
        <v>5163</v>
      </c>
      <c r="C71" s="696" t="s">
        <v>4114</v>
      </c>
      <c r="D71" s="696" t="s">
        <v>5200</v>
      </c>
      <c r="E71" s="696" t="s">
        <v>5201</v>
      </c>
      <c r="F71" s="711">
        <v>48</v>
      </c>
      <c r="G71" s="711">
        <v>2256</v>
      </c>
      <c r="H71" s="711">
        <v>1</v>
      </c>
      <c r="I71" s="711">
        <v>47</v>
      </c>
      <c r="J71" s="711">
        <v>32</v>
      </c>
      <c r="K71" s="711">
        <v>1504</v>
      </c>
      <c r="L71" s="711">
        <v>0.66666666666666663</v>
      </c>
      <c r="M71" s="711">
        <v>47</v>
      </c>
      <c r="N71" s="711">
        <v>53</v>
      </c>
      <c r="O71" s="711">
        <v>2491</v>
      </c>
      <c r="P71" s="701">
        <v>1.1041666666666667</v>
      </c>
      <c r="Q71" s="712">
        <v>47</v>
      </c>
    </row>
    <row r="72" spans="1:17" ht="14.4" customHeight="1" x14ac:dyDescent="0.3">
      <c r="A72" s="695" t="s">
        <v>5162</v>
      </c>
      <c r="B72" s="696" t="s">
        <v>5163</v>
      </c>
      <c r="C72" s="696" t="s">
        <v>4114</v>
      </c>
      <c r="D72" s="696" t="s">
        <v>5202</v>
      </c>
      <c r="E72" s="696" t="s">
        <v>5203</v>
      </c>
      <c r="F72" s="711"/>
      <c r="G72" s="711"/>
      <c r="H72" s="711"/>
      <c r="I72" s="711"/>
      <c r="J72" s="711"/>
      <c r="K72" s="711"/>
      <c r="L72" s="711"/>
      <c r="M72" s="711"/>
      <c r="N72" s="711">
        <v>1</v>
      </c>
      <c r="O72" s="711">
        <v>53</v>
      </c>
      <c r="P72" s="701"/>
      <c r="Q72" s="712">
        <v>53</v>
      </c>
    </row>
    <row r="73" spans="1:17" ht="14.4" customHeight="1" x14ac:dyDescent="0.3">
      <c r="A73" s="695" t="s">
        <v>5162</v>
      </c>
      <c r="B73" s="696" t="s">
        <v>5163</v>
      </c>
      <c r="C73" s="696" t="s">
        <v>4114</v>
      </c>
      <c r="D73" s="696" t="s">
        <v>5204</v>
      </c>
      <c r="E73" s="696" t="s">
        <v>5205</v>
      </c>
      <c r="F73" s="711">
        <v>3</v>
      </c>
      <c r="G73" s="711">
        <v>180</v>
      </c>
      <c r="H73" s="711">
        <v>1</v>
      </c>
      <c r="I73" s="711">
        <v>60</v>
      </c>
      <c r="J73" s="711">
        <v>1</v>
      </c>
      <c r="K73" s="711">
        <v>60</v>
      </c>
      <c r="L73" s="711">
        <v>0.33333333333333331</v>
      </c>
      <c r="M73" s="711">
        <v>60</v>
      </c>
      <c r="N73" s="711">
        <v>3</v>
      </c>
      <c r="O73" s="711">
        <v>180</v>
      </c>
      <c r="P73" s="701">
        <v>1</v>
      </c>
      <c r="Q73" s="712">
        <v>60</v>
      </c>
    </row>
    <row r="74" spans="1:17" ht="14.4" customHeight="1" x14ac:dyDescent="0.3">
      <c r="A74" s="695" t="s">
        <v>5162</v>
      </c>
      <c r="B74" s="696" t="s">
        <v>5163</v>
      </c>
      <c r="C74" s="696" t="s">
        <v>4114</v>
      </c>
      <c r="D74" s="696" t="s">
        <v>5206</v>
      </c>
      <c r="E74" s="696" t="s">
        <v>5207</v>
      </c>
      <c r="F74" s="711">
        <v>1</v>
      </c>
      <c r="G74" s="711">
        <v>19</v>
      </c>
      <c r="H74" s="711">
        <v>1</v>
      </c>
      <c r="I74" s="711">
        <v>19</v>
      </c>
      <c r="J74" s="711"/>
      <c r="K74" s="711"/>
      <c r="L74" s="711"/>
      <c r="M74" s="711"/>
      <c r="N74" s="711"/>
      <c r="O74" s="711"/>
      <c r="P74" s="701"/>
      <c r="Q74" s="712"/>
    </row>
    <row r="75" spans="1:17" ht="14.4" customHeight="1" x14ac:dyDescent="0.3">
      <c r="A75" s="695" t="s">
        <v>5162</v>
      </c>
      <c r="B75" s="696" t="s">
        <v>5163</v>
      </c>
      <c r="C75" s="696" t="s">
        <v>4114</v>
      </c>
      <c r="D75" s="696" t="s">
        <v>5208</v>
      </c>
      <c r="E75" s="696" t="s">
        <v>5209</v>
      </c>
      <c r="F75" s="711">
        <v>9</v>
      </c>
      <c r="G75" s="711">
        <v>4149</v>
      </c>
      <c r="H75" s="711">
        <v>1</v>
      </c>
      <c r="I75" s="711">
        <v>461</v>
      </c>
      <c r="J75" s="711">
        <v>6</v>
      </c>
      <c r="K75" s="711">
        <v>2766</v>
      </c>
      <c r="L75" s="711">
        <v>0.66666666666666663</v>
      </c>
      <c r="M75" s="711">
        <v>461</v>
      </c>
      <c r="N75" s="711">
        <v>2</v>
      </c>
      <c r="O75" s="711">
        <v>923</v>
      </c>
      <c r="P75" s="701">
        <v>0.22246324415521812</v>
      </c>
      <c r="Q75" s="712">
        <v>461.5</v>
      </c>
    </row>
    <row r="76" spans="1:17" ht="14.4" customHeight="1" x14ac:dyDescent="0.3">
      <c r="A76" s="695" t="s">
        <v>5162</v>
      </c>
      <c r="B76" s="696" t="s">
        <v>5163</v>
      </c>
      <c r="C76" s="696" t="s">
        <v>4114</v>
      </c>
      <c r="D76" s="696" t="s">
        <v>5210</v>
      </c>
      <c r="E76" s="696" t="s">
        <v>5211</v>
      </c>
      <c r="F76" s="711">
        <v>25</v>
      </c>
      <c r="G76" s="711">
        <v>21250</v>
      </c>
      <c r="H76" s="711">
        <v>1</v>
      </c>
      <c r="I76" s="711">
        <v>850</v>
      </c>
      <c r="J76" s="711">
        <v>41</v>
      </c>
      <c r="K76" s="711">
        <v>34891</v>
      </c>
      <c r="L76" s="711">
        <v>1.6419294117647059</v>
      </c>
      <c r="M76" s="711">
        <v>851</v>
      </c>
      <c r="N76" s="711">
        <v>29</v>
      </c>
      <c r="O76" s="711">
        <v>24693</v>
      </c>
      <c r="P76" s="701">
        <v>1.1620235294117647</v>
      </c>
      <c r="Q76" s="712">
        <v>851.48275862068965</v>
      </c>
    </row>
    <row r="77" spans="1:17" ht="14.4" customHeight="1" x14ac:dyDescent="0.3">
      <c r="A77" s="695" t="s">
        <v>5162</v>
      </c>
      <c r="B77" s="696" t="s">
        <v>5163</v>
      </c>
      <c r="C77" s="696" t="s">
        <v>4114</v>
      </c>
      <c r="D77" s="696" t="s">
        <v>5212</v>
      </c>
      <c r="E77" s="696" t="s">
        <v>5086</v>
      </c>
      <c r="F77" s="711">
        <v>2</v>
      </c>
      <c r="G77" s="711">
        <v>252</v>
      </c>
      <c r="H77" s="711">
        <v>1</v>
      </c>
      <c r="I77" s="711">
        <v>126</v>
      </c>
      <c r="J77" s="711"/>
      <c r="K77" s="711"/>
      <c r="L77" s="711"/>
      <c r="M77" s="711"/>
      <c r="N77" s="711"/>
      <c r="O77" s="711"/>
      <c r="P77" s="701"/>
      <c r="Q77" s="712"/>
    </row>
    <row r="78" spans="1:17" ht="14.4" customHeight="1" x14ac:dyDescent="0.3">
      <c r="A78" s="695" t="s">
        <v>5162</v>
      </c>
      <c r="B78" s="696" t="s">
        <v>5163</v>
      </c>
      <c r="C78" s="696" t="s">
        <v>4114</v>
      </c>
      <c r="D78" s="696" t="s">
        <v>5213</v>
      </c>
      <c r="E78" s="696" t="s">
        <v>5214</v>
      </c>
      <c r="F78" s="711">
        <v>2</v>
      </c>
      <c r="G78" s="711">
        <v>72</v>
      </c>
      <c r="H78" s="711">
        <v>1</v>
      </c>
      <c r="I78" s="711">
        <v>36</v>
      </c>
      <c r="J78" s="711"/>
      <c r="K78" s="711"/>
      <c r="L78" s="711"/>
      <c r="M78" s="711"/>
      <c r="N78" s="711"/>
      <c r="O78" s="711"/>
      <c r="P78" s="701"/>
      <c r="Q78" s="712"/>
    </row>
    <row r="79" spans="1:17" ht="14.4" customHeight="1" x14ac:dyDescent="0.3">
      <c r="A79" s="695" t="s">
        <v>5162</v>
      </c>
      <c r="B79" s="696" t="s">
        <v>5163</v>
      </c>
      <c r="C79" s="696" t="s">
        <v>4114</v>
      </c>
      <c r="D79" s="696" t="s">
        <v>5215</v>
      </c>
      <c r="E79" s="696" t="s">
        <v>5216</v>
      </c>
      <c r="F79" s="711">
        <v>1</v>
      </c>
      <c r="G79" s="711">
        <v>236</v>
      </c>
      <c r="H79" s="711">
        <v>1</v>
      </c>
      <c r="I79" s="711">
        <v>236</v>
      </c>
      <c r="J79" s="711"/>
      <c r="K79" s="711"/>
      <c r="L79" s="711"/>
      <c r="M79" s="711"/>
      <c r="N79" s="711"/>
      <c r="O79" s="711"/>
      <c r="P79" s="701"/>
      <c r="Q79" s="712"/>
    </row>
    <row r="80" spans="1:17" ht="14.4" customHeight="1" x14ac:dyDescent="0.3">
      <c r="A80" s="695" t="s">
        <v>5162</v>
      </c>
      <c r="B80" s="696" t="s">
        <v>5163</v>
      </c>
      <c r="C80" s="696" t="s">
        <v>4114</v>
      </c>
      <c r="D80" s="696" t="s">
        <v>5217</v>
      </c>
      <c r="E80" s="696" t="s">
        <v>5218</v>
      </c>
      <c r="F80" s="711">
        <v>2</v>
      </c>
      <c r="G80" s="711">
        <v>698</v>
      </c>
      <c r="H80" s="711">
        <v>1</v>
      </c>
      <c r="I80" s="711">
        <v>349</v>
      </c>
      <c r="J80" s="711"/>
      <c r="K80" s="711"/>
      <c r="L80" s="711"/>
      <c r="M80" s="711"/>
      <c r="N80" s="711"/>
      <c r="O80" s="711"/>
      <c r="P80" s="701"/>
      <c r="Q80" s="712"/>
    </row>
    <row r="81" spans="1:17" ht="14.4" customHeight="1" x14ac:dyDescent="0.3">
      <c r="A81" s="695" t="s">
        <v>5162</v>
      </c>
      <c r="B81" s="696" t="s">
        <v>5163</v>
      </c>
      <c r="C81" s="696" t="s">
        <v>4114</v>
      </c>
      <c r="D81" s="696" t="s">
        <v>5219</v>
      </c>
      <c r="E81" s="696" t="s">
        <v>5220</v>
      </c>
      <c r="F81" s="711">
        <v>2</v>
      </c>
      <c r="G81" s="711">
        <v>698</v>
      </c>
      <c r="H81" s="711">
        <v>1</v>
      </c>
      <c r="I81" s="711">
        <v>349</v>
      </c>
      <c r="J81" s="711"/>
      <c r="K81" s="711"/>
      <c r="L81" s="711"/>
      <c r="M81" s="711"/>
      <c r="N81" s="711"/>
      <c r="O81" s="711"/>
      <c r="P81" s="701"/>
      <c r="Q81" s="712"/>
    </row>
    <row r="82" spans="1:17" ht="14.4" customHeight="1" x14ac:dyDescent="0.3">
      <c r="A82" s="695" t="s">
        <v>5162</v>
      </c>
      <c r="B82" s="696" t="s">
        <v>5163</v>
      </c>
      <c r="C82" s="696" t="s">
        <v>4114</v>
      </c>
      <c r="D82" s="696" t="s">
        <v>5221</v>
      </c>
      <c r="E82" s="696" t="s">
        <v>5222</v>
      </c>
      <c r="F82" s="711">
        <v>123</v>
      </c>
      <c r="G82" s="711">
        <v>96186</v>
      </c>
      <c r="H82" s="711">
        <v>1</v>
      </c>
      <c r="I82" s="711">
        <v>782</v>
      </c>
      <c r="J82" s="711">
        <v>90</v>
      </c>
      <c r="K82" s="711">
        <v>70470</v>
      </c>
      <c r="L82" s="711">
        <v>0.73264300417940242</v>
      </c>
      <c r="M82" s="711">
        <v>783</v>
      </c>
      <c r="N82" s="711">
        <v>105</v>
      </c>
      <c r="O82" s="711">
        <v>82327</v>
      </c>
      <c r="P82" s="701">
        <v>0.8559145821637244</v>
      </c>
      <c r="Q82" s="712">
        <v>784.06666666666672</v>
      </c>
    </row>
    <row r="83" spans="1:17" ht="14.4" customHeight="1" x14ac:dyDescent="0.3">
      <c r="A83" s="695" t="s">
        <v>5162</v>
      </c>
      <c r="B83" s="696" t="s">
        <v>5163</v>
      </c>
      <c r="C83" s="696" t="s">
        <v>4114</v>
      </c>
      <c r="D83" s="696" t="s">
        <v>5223</v>
      </c>
      <c r="E83" s="696" t="s">
        <v>5224</v>
      </c>
      <c r="F83" s="711">
        <v>1</v>
      </c>
      <c r="G83" s="711">
        <v>186</v>
      </c>
      <c r="H83" s="711">
        <v>1</v>
      </c>
      <c r="I83" s="711">
        <v>186</v>
      </c>
      <c r="J83" s="711"/>
      <c r="K83" s="711"/>
      <c r="L83" s="711"/>
      <c r="M83" s="711"/>
      <c r="N83" s="711"/>
      <c r="O83" s="711"/>
      <c r="P83" s="701"/>
      <c r="Q83" s="712"/>
    </row>
    <row r="84" spans="1:17" ht="14.4" customHeight="1" x14ac:dyDescent="0.3">
      <c r="A84" s="695" t="s">
        <v>5162</v>
      </c>
      <c r="B84" s="696" t="s">
        <v>5163</v>
      </c>
      <c r="C84" s="696" t="s">
        <v>4114</v>
      </c>
      <c r="D84" s="696" t="s">
        <v>5225</v>
      </c>
      <c r="E84" s="696" t="s">
        <v>5226</v>
      </c>
      <c r="F84" s="711">
        <v>1</v>
      </c>
      <c r="G84" s="711">
        <v>226</v>
      </c>
      <c r="H84" s="711">
        <v>1</v>
      </c>
      <c r="I84" s="711">
        <v>226</v>
      </c>
      <c r="J84" s="711"/>
      <c r="K84" s="711"/>
      <c r="L84" s="711"/>
      <c r="M84" s="711"/>
      <c r="N84" s="711"/>
      <c r="O84" s="711"/>
      <c r="P84" s="701"/>
      <c r="Q84" s="712"/>
    </row>
    <row r="85" spans="1:17" ht="14.4" customHeight="1" x14ac:dyDescent="0.3">
      <c r="A85" s="695" t="s">
        <v>5162</v>
      </c>
      <c r="B85" s="696" t="s">
        <v>5163</v>
      </c>
      <c r="C85" s="696" t="s">
        <v>4114</v>
      </c>
      <c r="D85" s="696" t="s">
        <v>5227</v>
      </c>
      <c r="E85" s="696" t="s">
        <v>5228</v>
      </c>
      <c r="F85" s="711">
        <v>7</v>
      </c>
      <c r="G85" s="711">
        <v>3213</v>
      </c>
      <c r="H85" s="711">
        <v>1</v>
      </c>
      <c r="I85" s="711">
        <v>459</v>
      </c>
      <c r="J85" s="711">
        <v>1</v>
      </c>
      <c r="K85" s="711">
        <v>460</v>
      </c>
      <c r="L85" s="711">
        <v>0.14316837846249611</v>
      </c>
      <c r="M85" s="711">
        <v>460</v>
      </c>
      <c r="N85" s="711">
        <v>1</v>
      </c>
      <c r="O85" s="711">
        <v>460</v>
      </c>
      <c r="P85" s="701">
        <v>0.14316837846249611</v>
      </c>
      <c r="Q85" s="712">
        <v>460</v>
      </c>
    </row>
    <row r="86" spans="1:17" ht="14.4" customHeight="1" x14ac:dyDescent="0.3">
      <c r="A86" s="695" t="s">
        <v>5162</v>
      </c>
      <c r="B86" s="696" t="s">
        <v>5163</v>
      </c>
      <c r="C86" s="696" t="s">
        <v>4114</v>
      </c>
      <c r="D86" s="696" t="s">
        <v>5229</v>
      </c>
      <c r="E86" s="696" t="s">
        <v>5230</v>
      </c>
      <c r="F86" s="711">
        <v>4</v>
      </c>
      <c r="G86" s="711">
        <v>520</v>
      </c>
      <c r="H86" s="711">
        <v>1</v>
      </c>
      <c r="I86" s="711">
        <v>130</v>
      </c>
      <c r="J86" s="711">
        <v>2</v>
      </c>
      <c r="K86" s="711">
        <v>262</v>
      </c>
      <c r="L86" s="711">
        <v>0.50384615384615383</v>
      </c>
      <c r="M86" s="711">
        <v>131</v>
      </c>
      <c r="N86" s="711"/>
      <c r="O86" s="711"/>
      <c r="P86" s="701"/>
      <c r="Q86" s="712"/>
    </row>
    <row r="87" spans="1:17" ht="14.4" customHeight="1" x14ac:dyDescent="0.3">
      <c r="A87" s="695" t="s">
        <v>5162</v>
      </c>
      <c r="B87" s="696" t="s">
        <v>5163</v>
      </c>
      <c r="C87" s="696" t="s">
        <v>4114</v>
      </c>
      <c r="D87" s="696" t="s">
        <v>5128</v>
      </c>
      <c r="E87" s="696" t="s">
        <v>5129</v>
      </c>
      <c r="F87" s="711">
        <v>2</v>
      </c>
      <c r="G87" s="711">
        <v>44</v>
      </c>
      <c r="H87" s="711">
        <v>1</v>
      </c>
      <c r="I87" s="711">
        <v>22</v>
      </c>
      <c r="J87" s="711"/>
      <c r="K87" s="711"/>
      <c r="L87" s="711"/>
      <c r="M87" s="711"/>
      <c r="N87" s="711"/>
      <c r="O87" s="711"/>
      <c r="P87" s="701"/>
      <c r="Q87" s="712"/>
    </row>
    <row r="88" spans="1:17" ht="14.4" customHeight="1" x14ac:dyDescent="0.3">
      <c r="A88" s="695" t="s">
        <v>5162</v>
      </c>
      <c r="B88" s="696" t="s">
        <v>5163</v>
      </c>
      <c r="C88" s="696" t="s">
        <v>4114</v>
      </c>
      <c r="D88" s="696" t="s">
        <v>5231</v>
      </c>
      <c r="E88" s="696" t="s">
        <v>5232</v>
      </c>
      <c r="F88" s="711">
        <v>8</v>
      </c>
      <c r="G88" s="711">
        <v>704</v>
      </c>
      <c r="H88" s="711">
        <v>1</v>
      </c>
      <c r="I88" s="711">
        <v>88</v>
      </c>
      <c r="J88" s="711">
        <v>6</v>
      </c>
      <c r="K88" s="711">
        <v>528</v>
      </c>
      <c r="L88" s="711">
        <v>0.75</v>
      </c>
      <c r="M88" s="711">
        <v>88</v>
      </c>
      <c r="N88" s="711">
        <v>11</v>
      </c>
      <c r="O88" s="711">
        <v>974</v>
      </c>
      <c r="P88" s="701">
        <v>1.3835227272727273</v>
      </c>
      <c r="Q88" s="712">
        <v>88.545454545454547</v>
      </c>
    </row>
    <row r="89" spans="1:17" ht="14.4" customHeight="1" x14ac:dyDescent="0.3">
      <c r="A89" s="695" t="s">
        <v>5162</v>
      </c>
      <c r="B89" s="696" t="s">
        <v>5163</v>
      </c>
      <c r="C89" s="696" t="s">
        <v>4114</v>
      </c>
      <c r="D89" s="696" t="s">
        <v>5233</v>
      </c>
      <c r="E89" s="696" t="s">
        <v>5234</v>
      </c>
      <c r="F89" s="711">
        <v>4363</v>
      </c>
      <c r="G89" s="711">
        <v>126527</v>
      </c>
      <c r="H89" s="711">
        <v>1</v>
      </c>
      <c r="I89" s="711">
        <v>29</v>
      </c>
      <c r="J89" s="711">
        <v>4387</v>
      </c>
      <c r="K89" s="711">
        <v>127223</v>
      </c>
      <c r="L89" s="711">
        <v>1.0055008022003209</v>
      </c>
      <c r="M89" s="711">
        <v>29</v>
      </c>
      <c r="N89" s="711">
        <v>4353</v>
      </c>
      <c r="O89" s="711">
        <v>128223</v>
      </c>
      <c r="P89" s="701">
        <v>1.0134042536375636</v>
      </c>
      <c r="Q89" s="712">
        <v>29.456237077877326</v>
      </c>
    </row>
    <row r="90" spans="1:17" ht="14.4" customHeight="1" x14ac:dyDescent="0.3">
      <c r="A90" s="695" t="s">
        <v>5162</v>
      </c>
      <c r="B90" s="696" t="s">
        <v>5163</v>
      </c>
      <c r="C90" s="696" t="s">
        <v>4114</v>
      </c>
      <c r="D90" s="696" t="s">
        <v>5235</v>
      </c>
      <c r="E90" s="696" t="s">
        <v>5236</v>
      </c>
      <c r="F90" s="711">
        <v>3</v>
      </c>
      <c r="G90" s="711">
        <v>150</v>
      </c>
      <c r="H90" s="711">
        <v>1</v>
      </c>
      <c r="I90" s="711">
        <v>50</v>
      </c>
      <c r="J90" s="711">
        <v>1</v>
      </c>
      <c r="K90" s="711">
        <v>50</v>
      </c>
      <c r="L90" s="711">
        <v>0.33333333333333331</v>
      </c>
      <c r="M90" s="711">
        <v>50</v>
      </c>
      <c r="N90" s="711">
        <v>3</v>
      </c>
      <c r="O90" s="711">
        <v>150</v>
      </c>
      <c r="P90" s="701">
        <v>1</v>
      </c>
      <c r="Q90" s="712">
        <v>50</v>
      </c>
    </row>
    <row r="91" spans="1:17" ht="14.4" customHeight="1" x14ac:dyDescent="0.3">
      <c r="A91" s="695" t="s">
        <v>5162</v>
      </c>
      <c r="B91" s="696" t="s">
        <v>5163</v>
      </c>
      <c r="C91" s="696" t="s">
        <v>4114</v>
      </c>
      <c r="D91" s="696" t="s">
        <v>5237</v>
      </c>
      <c r="E91" s="696" t="s">
        <v>5238</v>
      </c>
      <c r="F91" s="711">
        <v>209</v>
      </c>
      <c r="G91" s="711">
        <v>2508</v>
      </c>
      <c r="H91" s="711">
        <v>1</v>
      </c>
      <c r="I91" s="711">
        <v>12</v>
      </c>
      <c r="J91" s="711">
        <v>291</v>
      </c>
      <c r="K91" s="711">
        <v>3492</v>
      </c>
      <c r="L91" s="711">
        <v>1.3923444976076556</v>
      </c>
      <c r="M91" s="711">
        <v>12</v>
      </c>
      <c r="N91" s="711">
        <v>967</v>
      </c>
      <c r="O91" s="711">
        <v>11604</v>
      </c>
      <c r="P91" s="701">
        <v>4.6267942583732058</v>
      </c>
      <c r="Q91" s="712">
        <v>12</v>
      </c>
    </row>
    <row r="92" spans="1:17" ht="14.4" customHeight="1" x14ac:dyDescent="0.3">
      <c r="A92" s="695" t="s">
        <v>5162</v>
      </c>
      <c r="B92" s="696" t="s">
        <v>5163</v>
      </c>
      <c r="C92" s="696" t="s">
        <v>4114</v>
      </c>
      <c r="D92" s="696" t="s">
        <v>5239</v>
      </c>
      <c r="E92" s="696" t="s">
        <v>5240</v>
      </c>
      <c r="F92" s="711">
        <v>8</v>
      </c>
      <c r="G92" s="711">
        <v>1440</v>
      </c>
      <c r="H92" s="711">
        <v>1</v>
      </c>
      <c r="I92" s="711">
        <v>180</v>
      </c>
      <c r="J92" s="711">
        <v>7</v>
      </c>
      <c r="K92" s="711">
        <v>1267</v>
      </c>
      <c r="L92" s="711">
        <v>0.87986111111111109</v>
      </c>
      <c r="M92" s="711">
        <v>181</v>
      </c>
      <c r="N92" s="711">
        <v>6</v>
      </c>
      <c r="O92" s="711">
        <v>1090</v>
      </c>
      <c r="P92" s="701">
        <v>0.75694444444444442</v>
      </c>
      <c r="Q92" s="712">
        <v>181.66666666666666</v>
      </c>
    </row>
    <row r="93" spans="1:17" ht="14.4" customHeight="1" x14ac:dyDescent="0.3">
      <c r="A93" s="695" t="s">
        <v>5162</v>
      </c>
      <c r="B93" s="696" t="s">
        <v>5163</v>
      </c>
      <c r="C93" s="696" t="s">
        <v>4114</v>
      </c>
      <c r="D93" s="696" t="s">
        <v>5241</v>
      </c>
      <c r="E93" s="696" t="s">
        <v>5242</v>
      </c>
      <c r="F93" s="711">
        <v>4313</v>
      </c>
      <c r="G93" s="711">
        <v>306223</v>
      </c>
      <c r="H93" s="711">
        <v>1</v>
      </c>
      <c r="I93" s="711">
        <v>71</v>
      </c>
      <c r="J93" s="711">
        <v>4291</v>
      </c>
      <c r="K93" s="711">
        <v>304661</v>
      </c>
      <c r="L93" s="711">
        <v>0.99489914212844888</v>
      </c>
      <c r="M93" s="711">
        <v>71</v>
      </c>
      <c r="N93" s="711">
        <v>1745</v>
      </c>
      <c r="O93" s="711">
        <v>123906</v>
      </c>
      <c r="P93" s="701">
        <v>0.40462669361870274</v>
      </c>
      <c r="Q93" s="712">
        <v>71.006303724928372</v>
      </c>
    </row>
    <row r="94" spans="1:17" ht="14.4" customHeight="1" x14ac:dyDescent="0.3">
      <c r="A94" s="695" t="s">
        <v>5162</v>
      </c>
      <c r="B94" s="696" t="s">
        <v>5163</v>
      </c>
      <c r="C94" s="696" t="s">
        <v>4114</v>
      </c>
      <c r="D94" s="696" t="s">
        <v>5243</v>
      </c>
      <c r="E94" s="696" t="s">
        <v>5244</v>
      </c>
      <c r="F94" s="711">
        <v>8</v>
      </c>
      <c r="G94" s="711">
        <v>1448</v>
      </c>
      <c r="H94" s="711">
        <v>1</v>
      </c>
      <c r="I94" s="711">
        <v>181</v>
      </c>
      <c r="J94" s="711">
        <v>6</v>
      </c>
      <c r="K94" s="711">
        <v>1092</v>
      </c>
      <c r="L94" s="711">
        <v>0.7541436464088398</v>
      </c>
      <c r="M94" s="711">
        <v>182</v>
      </c>
      <c r="N94" s="711">
        <v>6</v>
      </c>
      <c r="O94" s="711">
        <v>1096</v>
      </c>
      <c r="P94" s="701">
        <v>0.75690607734806625</v>
      </c>
      <c r="Q94" s="712">
        <v>182.66666666666666</v>
      </c>
    </row>
    <row r="95" spans="1:17" ht="14.4" customHeight="1" x14ac:dyDescent="0.3">
      <c r="A95" s="695" t="s">
        <v>5162</v>
      </c>
      <c r="B95" s="696" t="s">
        <v>5163</v>
      </c>
      <c r="C95" s="696" t="s">
        <v>4114</v>
      </c>
      <c r="D95" s="696" t="s">
        <v>5097</v>
      </c>
      <c r="E95" s="696" t="s">
        <v>5098</v>
      </c>
      <c r="F95" s="711"/>
      <c r="G95" s="711"/>
      <c r="H95" s="711"/>
      <c r="I95" s="711"/>
      <c r="J95" s="711"/>
      <c r="K95" s="711"/>
      <c r="L95" s="711"/>
      <c r="M95" s="711"/>
      <c r="N95" s="711">
        <v>3</v>
      </c>
      <c r="O95" s="711">
        <v>3767</v>
      </c>
      <c r="P95" s="701"/>
      <c r="Q95" s="712">
        <v>1255.6666666666667</v>
      </c>
    </row>
    <row r="96" spans="1:17" ht="14.4" customHeight="1" x14ac:dyDescent="0.3">
      <c r="A96" s="695" t="s">
        <v>5162</v>
      </c>
      <c r="B96" s="696" t="s">
        <v>5163</v>
      </c>
      <c r="C96" s="696" t="s">
        <v>4114</v>
      </c>
      <c r="D96" s="696" t="s">
        <v>5245</v>
      </c>
      <c r="E96" s="696" t="s">
        <v>5246</v>
      </c>
      <c r="F96" s="711">
        <v>735</v>
      </c>
      <c r="G96" s="711">
        <v>108045</v>
      </c>
      <c r="H96" s="711">
        <v>1</v>
      </c>
      <c r="I96" s="711">
        <v>147</v>
      </c>
      <c r="J96" s="711">
        <v>880</v>
      </c>
      <c r="K96" s="711">
        <v>129360</v>
      </c>
      <c r="L96" s="711">
        <v>1.1972789115646258</v>
      </c>
      <c r="M96" s="711">
        <v>147</v>
      </c>
      <c r="N96" s="711">
        <v>791</v>
      </c>
      <c r="O96" s="711">
        <v>116625</v>
      </c>
      <c r="P96" s="701">
        <v>1.0794113563792864</v>
      </c>
      <c r="Q96" s="712">
        <v>147.43994943109988</v>
      </c>
    </row>
    <row r="97" spans="1:17" ht="14.4" customHeight="1" x14ac:dyDescent="0.3">
      <c r="A97" s="695" t="s">
        <v>5162</v>
      </c>
      <c r="B97" s="696" t="s">
        <v>5163</v>
      </c>
      <c r="C97" s="696" t="s">
        <v>4114</v>
      </c>
      <c r="D97" s="696" t="s">
        <v>5247</v>
      </c>
      <c r="E97" s="696" t="s">
        <v>5248</v>
      </c>
      <c r="F97" s="711">
        <v>4411</v>
      </c>
      <c r="G97" s="711">
        <v>127919</v>
      </c>
      <c r="H97" s="711">
        <v>1</v>
      </c>
      <c r="I97" s="711">
        <v>29</v>
      </c>
      <c r="J97" s="711">
        <v>4420</v>
      </c>
      <c r="K97" s="711">
        <v>128180</v>
      </c>
      <c r="L97" s="711">
        <v>1.0020403536613014</v>
      </c>
      <c r="M97" s="711">
        <v>29</v>
      </c>
      <c r="N97" s="711">
        <v>4409</v>
      </c>
      <c r="O97" s="711">
        <v>129890</v>
      </c>
      <c r="P97" s="701">
        <v>1.0154081879939649</v>
      </c>
      <c r="Q97" s="712">
        <v>29.460195055568157</v>
      </c>
    </row>
    <row r="98" spans="1:17" ht="14.4" customHeight="1" x14ac:dyDescent="0.3">
      <c r="A98" s="695" t="s">
        <v>5162</v>
      </c>
      <c r="B98" s="696" t="s">
        <v>5163</v>
      </c>
      <c r="C98" s="696" t="s">
        <v>4114</v>
      </c>
      <c r="D98" s="696" t="s">
        <v>5249</v>
      </c>
      <c r="E98" s="696" t="s">
        <v>5250</v>
      </c>
      <c r="F98" s="711">
        <v>115</v>
      </c>
      <c r="G98" s="711">
        <v>3565</v>
      </c>
      <c r="H98" s="711">
        <v>1</v>
      </c>
      <c r="I98" s="711">
        <v>31</v>
      </c>
      <c r="J98" s="711">
        <v>117</v>
      </c>
      <c r="K98" s="711">
        <v>3627</v>
      </c>
      <c r="L98" s="711">
        <v>1.017391304347826</v>
      </c>
      <c r="M98" s="711">
        <v>31</v>
      </c>
      <c r="N98" s="711">
        <v>151</v>
      </c>
      <c r="O98" s="711">
        <v>4681</v>
      </c>
      <c r="P98" s="701">
        <v>1.3130434782608695</v>
      </c>
      <c r="Q98" s="712">
        <v>31</v>
      </c>
    </row>
    <row r="99" spans="1:17" ht="14.4" customHeight="1" x14ac:dyDescent="0.3">
      <c r="A99" s="695" t="s">
        <v>5162</v>
      </c>
      <c r="B99" s="696" t="s">
        <v>5163</v>
      </c>
      <c r="C99" s="696" t="s">
        <v>4114</v>
      </c>
      <c r="D99" s="696" t="s">
        <v>5251</v>
      </c>
      <c r="E99" s="696" t="s">
        <v>5252</v>
      </c>
      <c r="F99" s="711">
        <v>158</v>
      </c>
      <c r="G99" s="711">
        <v>4266</v>
      </c>
      <c r="H99" s="711">
        <v>1</v>
      </c>
      <c r="I99" s="711">
        <v>27</v>
      </c>
      <c r="J99" s="711">
        <v>156</v>
      </c>
      <c r="K99" s="711">
        <v>4212</v>
      </c>
      <c r="L99" s="711">
        <v>0.98734177215189878</v>
      </c>
      <c r="M99" s="711">
        <v>27</v>
      </c>
      <c r="N99" s="711">
        <v>190</v>
      </c>
      <c r="O99" s="711">
        <v>5130</v>
      </c>
      <c r="P99" s="701">
        <v>1.2025316455696202</v>
      </c>
      <c r="Q99" s="712">
        <v>27</v>
      </c>
    </row>
    <row r="100" spans="1:17" ht="14.4" customHeight="1" x14ac:dyDescent="0.3">
      <c r="A100" s="695" t="s">
        <v>5162</v>
      </c>
      <c r="B100" s="696" t="s">
        <v>5163</v>
      </c>
      <c r="C100" s="696" t="s">
        <v>4114</v>
      </c>
      <c r="D100" s="696" t="s">
        <v>5253</v>
      </c>
      <c r="E100" s="696" t="s">
        <v>5254</v>
      </c>
      <c r="F100" s="711">
        <v>1</v>
      </c>
      <c r="G100" s="711">
        <v>253</v>
      </c>
      <c r="H100" s="711">
        <v>1</v>
      </c>
      <c r="I100" s="711">
        <v>253</v>
      </c>
      <c r="J100" s="711"/>
      <c r="K100" s="711"/>
      <c r="L100" s="711"/>
      <c r="M100" s="711"/>
      <c r="N100" s="711"/>
      <c r="O100" s="711"/>
      <c r="P100" s="701"/>
      <c r="Q100" s="712"/>
    </row>
    <row r="101" spans="1:17" ht="14.4" customHeight="1" x14ac:dyDescent="0.3">
      <c r="A101" s="695" t="s">
        <v>5162</v>
      </c>
      <c r="B101" s="696" t="s">
        <v>5163</v>
      </c>
      <c r="C101" s="696" t="s">
        <v>4114</v>
      </c>
      <c r="D101" s="696" t="s">
        <v>5255</v>
      </c>
      <c r="E101" s="696" t="s">
        <v>5256</v>
      </c>
      <c r="F101" s="711">
        <v>19</v>
      </c>
      <c r="G101" s="711">
        <v>418</v>
      </c>
      <c r="H101" s="711">
        <v>1</v>
      </c>
      <c r="I101" s="711">
        <v>22</v>
      </c>
      <c r="J101" s="711">
        <v>23</v>
      </c>
      <c r="K101" s="711">
        <v>506</v>
      </c>
      <c r="L101" s="711">
        <v>1.2105263157894737</v>
      </c>
      <c r="M101" s="711">
        <v>22</v>
      </c>
      <c r="N101" s="711">
        <v>5</v>
      </c>
      <c r="O101" s="711">
        <v>110</v>
      </c>
      <c r="P101" s="701">
        <v>0.26315789473684209</v>
      </c>
      <c r="Q101" s="712">
        <v>22</v>
      </c>
    </row>
    <row r="102" spans="1:17" ht="14.4" customHeight="1" x14ac:dyDescent="0.3">
      <c r="A102" s="695" t="s">
        <v>5162</v>
      </c>
      <c r="B102" s="696" t="s">
        <v>5163</v>
      </c>
      <c r="C102" s="696" t="s">
        <v>4114</v>
      </c>
      <c r="D102" s="696" t="s">
        <v>5257</v>
      </c>
      <c r="E102" s="696" t="s">
        <v>5258</v>
      </c>
      <c r="F102" s="711">
        <v>4379</v>
      </c>
      <c r="G102" s="711">
        <v>109475</v>
      </c>
      <c r="H102" s="711">
        <v>1</v>
      </c>
      <c r="I102" s="711">
        <v>25</v>
      </c>
      <c r="J102" s="711">
        <v>4503</v>
      </c>
      <c r="K102" s="711">
        <v>112575</v>
      </c>
      <c r="L102" s="711">
        <v>1.0283169673441426</v>
      </c>
      <c r="M102" s="711">
        <v>25</v>
      </c>
      <c r="N102" s="711">
        <v>433</v>
      </c>
      <c r="O102" s="711">
        <v>10825</v>
      </c>
      <c r="P102" s="701">
        <v>9.8881023064626622E-2</v>
      </c>
      <c r="Q102" s="712">
        <v>25</v>
      </c>
    </row>
    <row r="103" spans="1:17" ht="14.4" customHeight="1" x14ac:dyDescent="0.3">
      <c r="A103" s="695" t="s">
        <v>5162</v>
      </c>
      <c r="B103" s="696" t="s">
        <v>5163</v>
      </c>
      <c r="C103" s="696" t="s">
        <v>4114</v>
      </c>
      <c r="D103" s="696" t="s">
        <v>5259</v>
      </c>
      <c r="E103" s="696" t="s">
        <v>5260</v>
      </c>
      <c r="F103" s="711">
        <v>12</v>
      </c>
      <c r="G103" s="711">
        <v>396</v>
      </c>
      <c r="H103" s="711">
        <v>1</v>
      </c>
      <c r="I103" s="711">
        <v>33</v>
      </c>
      <c r="J103" s="711">
        <v>17</v>
      </c>
      <c r="K103" s="711">
        <v>561</v>
      </c>
      <c r="L103" s="711">
        <v>1.4166666666666667</v>
      </c>
      <c r="M103" s="711">
        <v>33</v>
      </c>
      <c r="N103" s="711">
        <v>3</v>
      </c>
      <c r="O103" s="711">
        <v>99</v>
      </c>
      <c r="P103" s="701">
        <v>0.25</v>
      </c>
      <c r="Q103" s="712">
        <v>33</v>
      </c>
    </row>
    <row r="104" spans="1:17" ht="14.4" customHeight="1" x14ac:dyDescent="0.3">
      <c r="A104" s="695" t="s">
        <v>5162</v>
      </c>
      <c r="B104" s="696" t="s">
        <v>5163</v>
      </c>
      <c r="C104" s="696" t="s">
        <v>4114</v>
      </c>
      <c r="D104" s="696" t="s">
        <v>5261</v>
      </c>
      <c r="E104" s="696" t="s">
        <v>5262</v>
      </c>
      <c r="F104" s="711">
        <v>4</v>
      </c>
      <c r="G104" s="711">
        <v>120</v>
      </c>
      <c r="H104" s="711">
        <v>1</v>
      </c>
      <c r="I104" s="711">
        <v>30</v>
      </c>
      <c r="J104" s="711">
        <v>6</v>
      </c>
      <c r="K104" s="711">
        <v>180</v>
      </c>
      <c r="L104" s="711">
        <v>1.5</v>
      </c>
      <c r="M104" s="711">
        <v>30</v>
      </c>
      <c r="N104" s="711"/>
      <c r="O104" s="711"/>
      <c r="P104" s="701"/>
      <c r="Q104" s="712"/>
    </row>
    <row r="105" spans="1:17" ht="14.4" customHeight="1" x14ac:dyDescent="0.3">
      <c r="A105" s="695" t="s">
        <v>5162</v>
      </c>
      <c r="B105" s="696" t="s">
        <v>5163</v>
      </c>
      <c r="C105" s="696" t="s">
        <v>4114</v>
      </c>
      <c r="D105" s="696" t="s">
        <v>5263</v>
      </c>
      <c r="E105" s="696" t="s">
        <v>5264</v>
      </c>
      <c r="F105" s="711">
        <v>55</v>
      </c>
      <c r="G105" s="711">
        <v>1430</v>
      </c>
      <c r="H105" s="711">
        <v>1</v>
      </c>
      <c r="I105" s="711">
        <v>26</v>
      </c>
      <c r="J105" s="711">
        <v>70</v>
      </c>
      <c r="K105" s="711">
        <v>1820</v>
      </c>
      <c r="L105" s="711">
        <v>1.2727272727272727</v>
      </c>
      <c r="M105" s="711">
        <v>26</v>
      </c>
      <c r="N105" s="711">
        <v>117</v>
      </c>
      <c r="O105" s="711">
        <v>3042</v>
      </c>
      <c r="P105" s="701">
        <v>2.1272727272727274</v>
      </c>
      <c r="Q105" s="712">
        <v>26</v>
      </c>
    </row>
    <row r="106" spans="1:17" ht="14.4" customHeight="1" x14ac:dyDescent="0.3">
      <c r="A106" s="695" t="s">
        <v>5162</v>
      </c>
      <c r="B106" s="696" t="s">
        <v>5163</v>
      </c>
      <c r="C106" s="696" t="s">
        <v>4114</v>
      </c>
      <c r="D106" s="696" t="s">
        <v>5265</v>
      </c>
      <c r="E106" s="696" t="s">
        <v>5266</v>
      </c>
      <c r="F106" s="711">
        <v>39</v>
      </c>
      <c r="G106" s="711">
        <v>3276</v>
      </c>
      <c r="H106" s="711">
        <v>1</v>
      </c>
      <c r="I106" s="711">
        <v>84</v>
      </c>
      <c r="J106" s="711">
        <v>28</v>
      </c>
      <c r="K106" s="711">
        <v>2352</v>
      </c>
      <c r="L106" s="711">
        <v>0.71794871794871795</v>
      </c>
      <c r="M106" s="711">
        <v>84</v>
      </c>
      <c r="N106" s="711">
        <v>46</v>
      </c>
      <c r="O106" s="711">
        <v>3864</v>
      </c>
      <c r="P106" s="701">
        <v>1.1794871794871795</v>
      </c>
      <c r="Q106" s="712">
        <v>84</v>
      </c>
    </row>
    <row r="107" spans="1:17" ht="14.4" customHeight="1" x14ac:dyDescent="0.3">
      <c r="A107" s="695" t="s">
        <v>5162</v>
      </c>
      <c r="B107" s="696" t="s">
        <v>5163</v>
      </c>
      <c r="C107" s="696" t="s">
        <v>4114</v>
      </c>
      <c r="D107" s="696" t="s">
        <v>5267</v>
      </c>
      <c r="E107" s="696" t="s">
        <v>5268</v>
      </c>
      <c r="F107" s="711">
        <v>7</v>
      </c>
      <c r="G107" s="711">
        <v>1211</v>
      </c>
      <c r="H107" s="711">
        <v>1</v>
      </c>
      <c r="I107" s="711">
        <v>173</v>
      </c>
      <c r="J107" s="711">
        <v>7</v>
      </c>
      <c r="K107" s="711">
        <v>1218</v>
      </c>
      <c r="L107" s="711">
        <v>1.0057803468208093</v>
      </c>
      <c r="M107" s="711">
        <v>174</v>
      </c>
      <c r="N107" s="711">
        <v>6</v>
      </c>
      <c r="O107" s="711">
        <v>1048</v>
      </c>
      <c r="P107" s="701">
        <v>0.86540049545829889</v>
      </c>
      <c r="Q107" s="712">
        <v>174.66666666666666</v>
      </c>
    </row>
    <row r="108" spans="1:17" ht="14.4" customHeight="1" x14ac:dyDescent="0.3">
      <c r="A108" s="695" t="s">
        <v>5162</v>
      </c>
      <c r="B108" s="696" t="s">
        <v>5163</v>
      </c>
      <c r="C108" s="696" t="s">
        <v>4114</v>
      </c>
      <c r="D108" s="696" t="s">
        <v>5269</v>
      </c>
      <c r="E108" s="696" t="s">
        <v>5270</v>
      </c>
      <c r="F108" s="711">
        <v>218</v>
      </c>
      <c r="G108" s="711">
        <v>3270</v>
      </c>
      <c r="H108" s="711">
        <v>1</v>
      </c>
      <c r="I108" s="711">
        <v>15</v>
      </c>
      <c r="J108" s="711">
        <v>230</v>
      </c>
      <c r="K108" s="711">
        <v>3450</v>
      </c>
      <c r="L108" s="711">
        <v>1.0550458715596329</v>
      </c>
      <c r="M108" s="711">
        <v>15</v>
      </c>
      <c r="N108" s="711">
        <v>169</v>
      </c>
      <c r="O108" s="711">
        <v>2535</v>
      </c>
      <c r="P108" s="701">
        <v>0.77522935779816515</v>
      </c>
      <c r="Q108" s="712">
        <v>15</v>
      </c>
    </row>
    <row r="109" spans="1:17" ht="14.4" customHeight="1" x14ac:dyDescent="0.3">
      <c r="A109" s="695" t="s">
        <v>5162</v>
      </c>
      <c r="B109" s="696" t="s">
        <v>5163</v>
      </c>
      <c r="C109" s="696" t="s">
        <v>4114</v>
      </c>
      <c r="D109" s="696" t="s">
        <v>5271</v>
      </c>
      <c r="E109" s="696" t="s">
        <v>5272</v>
      </c>
      <c r="F109" s="711">
        <v>110</v>
      </c>
      <c r="G109" s="711">
        <v>2530</v>
      </c>
      <c r="H109" s="711">
        <v>1</v>
      </c>
      <c r="I109" s="711">
        <v>23</v>
      </c>
      <c r="J109" s="711">
        <v>79</v>
      </c>
      <c r="K109" s="711">
        <v>1817</v>
      </c>
      <c r="L109" s="711">
        <v>0.71818181818181814</v>
      </c>
      <c r="M109" s="711">
        <v>23</v>
      </c>
      <c r="N109" s="711">
        <v>87</v>
      </c>
      <c r="O109" s="711">
        <v>2001</v>
      </c>
      <c r="P109" s="701">
        <v>0.79090909090909089</v>
      </c>
      <c r="Q109" s="712">
        <v>23</v>
      </c>
    </row>
    <row r="110" spans="1:17" ht="14.4" customHeight="1" x14ac:dyDescent="0.3">
      <c r="A110" s="695" t="s">
        <v>5162</v>
      </c>
      <c r="B110" s="696" t="s">
        <v>5163</v>
      </c>
      <c r="C110" s="696" t="s">
        <v>4114</v>
      </c>
      <c r="D110" s="696" t="s">
        <v>5273</v>
      </c>
      <c r="E110" s="696" t="s">
        <v>5274</v>
      </c>
      <c r="F110" s="711">
        <v>123</v>
      </c>
      <c r="G110" s="711">
        <v>4551</v>
      </c>
      <c r="H110" s="711">
        <v>1</v>
      </c>
      <c r="I110" s="711">
        <v>37</v>
      </c>
      <c r="J110" s="711">
        <v>109</v>
      </c>
      <c r="K110" s="711">
        <v>4033</v>
      </c>
      <c r="L110" s="711">
        <v>0.88617886178861793</v>
      </c>
      <c r="M110" s="711">
        <v>37</v>
      </c>
      <c r="N110" s="711">
        <v>105</v>
      </c>
      <c r="O110" s="711">
        <v>3885</v>
      </c>
      <c r="P110" s="701">
        <v>0.85365853658536583</v>
      </c>
      <c r="Q110" s="712">
        <v>37</v>
      </c>
    </row>
    <row r="111" spans="1:17" ht="14.4" customHeight="1" x14ac:dyDescent="0.3">
      <c r="A111" s="695" t="s">
        <v>5162</v>
      </c>
      <c r="B111" s="696" t="s">
        <v>5163</v>
      </c>
      <c r="C111" s="696" t="s">
        <v>4114</v>
      </c>
      <c r="D111" s="696" t="s">
        <v>5275</v>
      </c>
      <c r="E111" s="696" t="s">
        <v>5276</v>
      </c>
      <c r="F111" s="711">
        <v>67</v>
      </c>
      <c r="G111" s="711">
        <v>1541</v>
      </c>
      <c r="H111" s="711">
        <v>1</v>
      </c>
      <c r="I111" s="711">
        <v>23</v>
      </c>
      <c r="J111" s="711">
        <v>55</v>
      </c>
      <c r="K111" s="711">
        <v>1265</v>
      </c>
      <c r="L111" s="711">
        <v>0.82089552238805974</v>
      </c>
      <c r="M111" s="711">
        <v>23</v>
      </c>
      <c r="N111" s="711">
        <v>2536</v>
      </c>
      <c r="O111" s="711">
        <v>58328</v>
      </c>
      <c r="P111" s="701">
        <v>37.850746268656714</v>
      </c>
      <c r="Q111" s="712">
        <v>23</v>
      </c>
    </row>
    <row r="112" spans="1:17" ht="14.4" customHeight="1" x14ac:dyDescent="0.3">
      <c r="A112" s="695" t="s">
        <v>5162</v>
      </c>
      <c r="B112" s="696" t="s">
        <v>5163</v>
      </c>
      <c r="C112" s="696" t="s">
        <v>4114</v>
      </c>
      <c r="D112" s="696" t="s">
        <v>5277</v>
      </c>
      <c r="E112" s="696" t="s">
        <v>5278</v>
      </c>
      <c r="F112" s="711">
        <v>2</v>
      </c>
      <c r="G112" s="711">
        <v>648</v>
      </c>
      <c r="H112" s="711">
        <v>1</v>
      </c>
      <c r="I112" s="711">
        <v>324</v>
      </c>
      <c r="J112" s="711"/>
      <c r="K112" s="711"/>
      <c r="L112" s="711"/>
      <c r="M112" s="711"/>
      <c r="N112" s="711"/>
      <c r="O112" s="711"/>
      <c r="P112" s="701"/>
      <c r="Q112" s="712"/>
    </row>
    <row r="113" spans="1:17" ht="14.4" customHeight="1" x14ac:dyDescent="0.3">
      <c r="A113" s="695" t="s">
        <v>5162</v>
      </c>
      <c r="B113" s="696" t="s">
        <v>5163</v>
      </c>
      <c r="C113" s="696" t="s">
        <v>4114</v>
      </c>
      <c r="D113" s="696" t="s">
        <v>5279</v>
      </c>
      <c r="E113" s="696" t="s">
        <v>5280</v>
      </c>
      <c r="F113" s="711">
        <v>1</v>
      </c>
      <c r="G113" s="711">
        <v>331</v>
      </c>
      <c r="H113" s="711">
        <v>1</v>
      </c>
      <c r="I113" s="711">
        <v>331</v>
      </c>
      <c r="J113" s="711">
        <v>1</v>
      </c>
      <c r="K113" s="711">
        <v>331</v>
      </c>
      <c r="L113" s="711">
        <v>1</v>
      </c>
      <c r="M113" s="711">
        <v>331</v>
      </c>
      <c r="N113" s="711">
        <v>1</v>
      </c>
      <c r="O113" s="711">
        <v>331</v>
      </c>
      <c r="P113" s="701">
        <v>1</v>
      </c>
      <c r="Q113" s="712">
        <v>331</v>
      </c>
    </row>
    <row r="114" spans="1:17" ht="14.4" customHeight="1" x14ac:dyDescent="0.3">
      <c r="A114" s="695" t="s">
        <v>5162</v>
      </c>
      <c r="B114" s="696" t="s">
        <v>5163</v>
      </c>
      <c r="C114" s="696" t="s">
        <v>4114</v>
      </c>
      <c r="D114" s="696" t="s">
        <v>5281</v>
      </c>
      <c r="E114" s="696" t="s">
        <v>5282</v>
      </c>
      <c r="F114" s="711">
        <v>1</v>
      </c>
      <c r="G114" s="711">
        <v>277</v>
      </c>
      <c r="H114" s="711">
        <v>1</v>
      </c>
      <c r="I114" s="711">
        <v>277</v>
      </c>
      <c r="J114" s="711"/>
      <c r="K114" s="711"/>
      <c r="L114" s="711"/>
      <c r="M114" s="711"/>
      <c r="N114" s="711"/>
      <c r="O114" s="711"/>
      <c r="P114" s="701"/>
      <c r="Q114" s="712"/>
    </row>
    <row r="115" spans="1:17" ht="14.4" customHeight="1" x14ac:dyDescent="0.3">
      <c r="A115" s="695" t="s">
        <v>5162</v>
      </c>
      <c r="B115" s="696" t="s">
        <v>5163</v>
      </c>
      <c r="C115" s="696" t="s">
        <v>4114</v>
      </c>
      <c r="D115" s="696" t="s">
        <v>5283</v>
      </c>
      <c r="E115" s="696" t="s">
        <v>5284</v>
      </c>
      <c r="F115" s="711">
        <v>29</v>
      </c>
      <c r="G115" s="711">
        <v>841</v>
      </c>
      <c r="H115" s="711">
        <v>1</v>
      </c>
      <c r="I115" s="711">
        <v>29</v>
      </c>
      <c r="J115" s="711">
        <v>26</v>
      </c>
      <c r="K115" s="711">
        <v>754</v>
      </c>
      <c r="L115" s="711">
        <v>0.89655172413793105</v>
      </c>
      <c r="M115" s="711">
        <v>29</v>
      </c>
      <c r="N115" s="711">
        <v>81</v>
      </c>
      <c r="O115" s="711">
        <v>2349</v>
      </c>
      <c r="P115" s="701">
        <v>2.7931034482758621</v>
      </c>
      <c r="Q115" s="712">
        <v>29</v>
      </c>
    </row>
    <row r="116" spans="1:17" ht="14.4" customHeight="1" x14ac:dyDescent="0.3">
      <c r="A116" s="695" t="s">
        <v>5162</v>
      </c>
      <c r="B116" s="696" t="s">
        <v>5163</v>
      </c>
      <c r="C116" s="696" t="s">
        <v>4114</v>
      </c>
      <c r="D116" s="696" t="s">
        <v>5285</v>
      </c>
      <c r="E116" s="696" t="s">
        <v>5286</v>
      </c>
      <c r="F116" s="711">
        <v>9</v>
      </c>
      <c r="G116" s="711">
        <v>1584</v>
      </c>
      <c r="H116" s="711">
        <v>1</v>
      </c>
      <c r="I116" s="711">
        <v>176</v>
      </c>
      <c r="J116" s="711">
        <v>8</v>
      </c>
      <c r="K116" s="711">
        <v>1408</v>
      </c>
      <c r="L116" s="711">
        <v>0.88888888888888884</v>
      </c>
      <c r="M116" s="711">
        <v>176</v>
      </c>
      <c r="N116" s="711">
        <v>16</v>
      </c>
      <c r="O116" s="711">
        <v>2821</v>
      </c>
      <c r="P116" s="701">
        <v>1.7809343434343434</v>
      </c>
      <c r="Q116" s="712">
        <v>176.3125</v>
      </c>
    </row>
    <row r="117" spans="1:17" ht="14.4" customHeight="1" x14ac:dyDescent="0.3">
      <c r="A117" s="695" t="s">
        <v>5162</v>
      </c>
      <c r="B117" s="696" t="s">
        <v>5163</v>
      </c>
      <c r="C117" s="696" t="s">
        <v>4114</v>
      </c>
      <c r="D117" s="696" t="s">
        <v>5287</v>
      </c>
      <c r="E117" s="696" t="s">
        <v>5288</v>
      </c>
      <c r="F117" s="711">
        <v>11</v>
      </c>
      <c r="G117" s="711">
        <v>165</v>
      </c>
      <c r="H117" s="711">
        <v>1</v>
      </c>
      <c r="I117" s="711">
        <v>15</v>
      </c>
      <c r="J117" s="711">
        <v>6</v>
      </c>
      <c r="K117" s="711">
        <v>90</v>
      </c>
      <c r="L117" s="711">
        <v>0.54545454545454541</v>
      </c>
      <c r="M117" s="711">
        <v>15</v>
      </c>
      <c r="N117" s="711">
        <v>21</v>
      </c>
      <c r="O117" s="711">
        <v>315</v>
      </c>
      <c r="P117" s="701">
        <v>1.9090909090909092</v>
      </c>
      <c r="Q117" s="712">
        <v>15</v>
      </c>
    </row>
    <row r="118" spans="1:17" ht="14.4" customHeight="1" x14ac:dyDescent="0.3">
      <c r="A118" s="695" t="s">
        <v>5162</v>
      </c>
      <c r="B118" s="696" t="s">
        <v>5163</v>
      </c>
      <c r="C118" s="696" t="s">
        <v>4114</v>
      </c>
      <c r="D118" s="696" t="s">
        <v>5289</v>
      </c>
      <c r="E118" s="696" t="s">
        <v>5290</v>
      </c>
      <c r="F118" s="711">
        <v>43</v>
      </c>
      <c r="G118" s="711">
        <v>817</v>
      </c>
      <c r="H118" s="711">
        <v>1</v>
      </c>
      <c r="I118" s="711">
        <v>19</v>
      </c>
      <c r="J118" s="711">
        <v>63</v>
      </c>
      <c r="K118" s="711">
        <v>1197</v>
      </c>
      <c r="L118" s="711">
        <v>1.4651162790697674</v>
      </c>
      <c r="M118" s="711">
        <v>19</v>
      </c>
      <c r="N118" s="711">
        <v>127</v>
      </c>
      <c r="O118" s="711">
        <v>2413</v>
      </c>
      <c r="P118" s="701">
        <v>2.9534883720930232</v>
      </c>
      <c r="Q118" s="712">
        <v>19</v>
      </c>
    </row>
    <row r="119" spans="1:17" ht="14.4" customHeight="1" x14ac:dyDescent="0.3">
      <c r="A119" s="695" t="s">
        <v>5162</v>
      </c>
      <c r="B119" s="696" t="s">
        <v>5163</v>
      </c>
      <c r="C119" s="696" t="s">
        <v>4114</v>
      </c>
      <c r="D119" s="696" t="s">
        <v>5291</v>
      </c>
      <c r="E119" s="696" t="s">
        <v>5292</v>
      </c>
      <c r="F119" s="711">
        <v>4294</v>
      </c>
      <c r="G119" s="711">
        <v>85880</v>
      </c>
      <c r="H119" s="711">
        <v>1</v>
      </c>
      <c r="I119" s="711">
        <v>20</v>
      </c>
      <c r="J119" s="711">
        <v>4340</v>
      </c>
      <c r="K119" s="711">
        <v>86800</v>
      </c>
      <c r="L119" s="711">
        <v>1.0107126222636236</v>
      </c>
      <c r="M119" s="711">
        <v>20</v>
      </c>
      <c r="N119" s="711">
        <v>450</v>
      </c>
      <c r="O119" s="711">
        <v>9000</v>
      </c>
      <c r="P119" s="701">
        <v>0.10479739170936191</v>
      </c>
      <c r="Q119" s="712">
        <v>20</v>
      </c>
    </row>
    <row r="120" spans="1:17" ht="14.4" customHeight="1" x14ac:dyDescent="0.3">
      <c r="A120" s="695" t="s">
        <v>5162</v>
      </c>
      <c r="B120" s="696" t="s">
        <v>5163</v>
      </c>
      <c r="C120" s="696" t="s">
        <v>4114</v>
      </c>
      <c r="D120" s="696" t="s">
        <v>5293</v>
      </c>
      <c r="E120" s="696" t="s">
        <v>5294</v>
      </c>
      <c r="F120" s="711"/>
      <c r="G120" s="711"/>
      <c r="H120" s="711"/>
      <c r="I120" s="711"/>
      <c r="J120" s="711"/>
      <c r="K120" s="711"/>
      <c r="L120" s="711"/>
      <c r="M120" s="711"/>
      <c r="N120" s="711">
        <v>1</v>
      </c>
      <c r="O120" s="711">
        <v>184</v>
      </c>
      <c r="P120" s="701"/>
      <c r="Q120" s="712">
        <v>184</v>
      </c>
    </row>
    <row r="121" spans="1:17" ht="14.4" customHeight="1" x14ac:dyDescent="0.3">
      <c r="A121" s="695" t="s">
        <v>5162</v>
      </c>
      <c r="B121" s="696" t="s">
        <v>5163</v>
      </c>
      <c r="C121" s="696" t="s">
        <v>4114</v>
      </c>
      <c r="D121" s="696" t="s">
        <v>5295</v>
      </c>
      <c r="E121" s="696" t="s">
        <v>5296</v>
      </c>
      <c r="F121" s="711"/>
      <c r="G121" s="711"/>
      <c r="H121" s="711"/>
      <c r="I121" s="711"/>
      <c r="J121" s="711">
        <v>1</v>
      </c>
      <c r="K121" s="711">
        <v>185</v>
      </c>
      <c r="L121" s="711"/>
      <c r="M121" s="711">
        <v>185</v>
      </c>
      <c r="N121" s="711"/>
      <c r="O121" s="711"/>
      <c r="P121" s="701"/>
      <c r="Q121" s="712"/>
    </row>
    <row r="122" spans="1:17" ht="14.4" customHeight="1" x14ac:dyDescent="0.3">
      <c r="A122" s="695" t="s">
        <v>5162</v>
      </c>
      <c r="B122" s="696" t="s">
        <v>5163</v>
      </c>
      <c r="C122" s="696" t="s">
        <v>4114</v>
      </c>
      <c r="D122" s="696" t="s">
        <v>5297</v>
      </c>
      <c r="E122" s="696" t="s">
        <v>5298</v>
      </c>
      <c r="F122" s="711">
        <v>1</v>
      </c>
      <c r="G122" s="711">
        <v>172</v>
      </c>
      <c r="H122" s="711">
        <v>1</v>
      </c>
      <c r="I122" s="711">
        <v>172</v>
      </c>
      <c r="J122" s="711"/>
      <c r="K122" s="711"/>
      <c r="L122" s="711"/>
      <c r="M122" s="711"/>
      <c r="N122" s="711"/>
      <c r="O122" s="711"/>
      <c r="P122" s="701"/>
      <c r="Q122" s="712"/>
    </row>
    <row r="123" spans="1:17" ht="14.4" customHeight="1" x14ac:dyDescent="0.3">
      <c r="A123" s="695" t="s">
        <v>5162</v>
      </c>
      <c r="B123" s="696" t="s">
        <v>5163</v>
      </c>
      <c r="C123" s="696" t="s">
        <v>4114</v>
      </c>
      <c r="D123" s="696" t="s">
        <v>5299</v>
      </c>
      <c r="E123" s="696" t="s">
        <v>5300</v>
      </c>
      <c r="F123" s="711">
        <v>74</v>
      </c>
      <c r="G123" s="711">
        <v>6216</v>
      </c>
      <c r="H123" s="711">
        <v>1</v>
      </c>
      <c r="I123" s="711">
        <v>84</v>
      </c>
      <c r="J123" s="711">
        <v>46</v>
      </c>
      <c r="K123" s="711">
        <v>3864</v>
      </c>
      <c r="L123" s="711">
        <v>0.6216216216216216</v>
      </c>
      <c r="M123" s="711">
        <v>84</v>
      </c>
      <c r="N123" s="711">
        <v>75</v>
      </c>
      <c r="O123" s="711">
        <v>6300</v>
      </c>
      <c r="P123" s="701">
        <v>1.0135135135135136</v>
      </c>
      <c r="Q123" s="712">
        <v>84</v>
      </c>
    </row>
    <row r="124" spans="1:17" ht="14.4" customHeight="1" x14ac:dyDescent="0.3">
      <c r="A124" s="695" t="s">
        <v>5162</v>
      </c>
      <c r="B124" s="696" t="s">
        <v>5163</v>
      </c>
      <c r="C124" s="696" t="s">
        <v>4114</v>
      </c>
      <c r="D124" s="696" t="s">
        <v>5301</v>
      </c>
      <c r="E124" s="696" t="s">
        <v>5302</v>
      </c>
      <c r="F124" s="711"/>
      <c r="G124" s="711"/>
      <c r="H124" s="711"/>
      <c r="I124" s="711"/>
      <c r="J124" s="711"/>
      <c r="K124" s="711"/>
      <c r="L124" s="711"/>
      <c r="M124" s="711"/>
      <c r="N124" s="711">
        <v>1</v>
      </c>
      <c r="O124" s="711">
        <v>264</v>
      </c>
      <c r="P124" s="701"/>
      <c r="Q124" s="712">
        <v>264</v>
      </c>
    </row>
    <row r="125" spans="1:17" ht="14.4" customHeight="1" x14ac:dyDescent="0.3">
      <c r="A125" s="695" t="s">
        <v>5162</v>
      </c>
      <c r="B125" s="696" t="s">
        <v>5163</v>
      </c>
      <c r="C125" s="696" t="s">
        <v>4114</v>
      </c>
      <c r="D125" s="696" t="s">
        <v>5303</v>
      </c>
      <c r="E125" s="696" t="s">
        <v>5304</v>
      </c>
      <c r="F125" s="711">
        <v>1</v>
      </c>
      <c r="G125" s="711">
        <v>78</v>
      </c>
      <c r="H125" s="711">
        <v>1</v>
      </c>
      <c r="I125" s="711">
        <v>78</v>
      </c>
      <c r="J125" s="711"/>
      <c r="K125" s="711"/>
      <c r="L125" s="711"/>
      <c r="M125" s="711"/>
      <c r="N125" s="711"/>
      <c r="O125" s="711"/>
      <c r="P125" s="701"/>
      <c r="Q125" s="712"/>
    </row>
    <row r="126" spans="1:17" ht="14.4" customHeight="1" x14ac:dyDescent="0.3">
      <c r="A126" s="695" t="s">
        <v>5162</v>
      </c>
      <c r="B126" s="696" t="s">
        <v>5163</v>
      </c>
      <c r="C126" s="696" t="s">
        <v>4114</v>
      </c>
      <c r="D126" s="696" t="s">
        <v>5305</v>
      </c>
      <c r="E126" s="696" t="s">
        <v>5306</v>
      </c>
      <c r="F126" s="711">
        <v>2</v>
      </c>
      <c r="G126" s="711">
        <v>42</v>
      </c>
      <c r="H126" s="711">
        <v>1</v>
      </c>
      <c r="I126" s="711">
        <v>21</v>
      </c>
      <c r="J126" s="711"/>
      <c r="K126" s="711"/>
      <c r="L126" s="711"/>
      <c r="M126" s="711"/>
      <c r="N126" s="711"/>
      <c r="O126" s="711"/>
      <c r="P126" s="701"/>
      <c r="Q126" s="712"/>
    </row>
    <row r="127" spans="1:17" ht="14.4" customHeight="1" x14ac:dyDescent="0.3">
      <c r="A127" s="695" t="s">
        <v>5162</v>
      </c>
      <c r="B127" s="696" t="s">
        <v>5163</v>
      </c>
      <c r="C127" s="696" t="s">
        <v>4114</v>
      </c>
      <c r="D127" s="696" t="s">
        <v>5307</v>
      </c>
      <c r="E127" s="696" t="s">
        <v>5308</v>
      </c>
      <c r="F127" s="711">
        <v>81</v>
      </c>
      <c r="G127" s="711">
        <v>1782</v>
      </c>
      <c r="H127" s="711">
        <v>1</v>
      </c>
      <c r="I127" s="711">
        <v>22</v>
      </c>
      <c r="J127" s="711">
        <v>58</v>
      </c>
      <c r="K127" s="711">
        <v>1276</v>
      </c>
      <c r="L127" s="711">
        <v>0.71604938271604934</v>
      </c>
      <c r="M127" s="711">
        <v>22</v>
      </c>
      <c r="N127" s="711">
        <v>65</v>
      </c>
      <c r="O127" s="711">
        <v>1430</v>
      </c>
      <c r="P127" s="701">
        <v>0.80246913580246915</v>
      </c>
      <c r="Q127" s="712">
        <v>22</v>
      </c>
    </row>
    <row r="128" spans="1:17" ht="14.4" customHeight="1" x14ac:dyDescent="0.3">
      <c r="A128" s="695" t="s">
        <v>5162</v>
      </c>
      <c r="B128" s="696" t="s">
        <v>5163</v>
      </c>
      <c r="C128" s="696" t="s">
        <v>4114</v>
      </c>
      <c r="D128" s="696" t="s">
        <v>5309</v>
      </c>
      <c r="E128" s="696" t="s">
        <v>5310</v>
      </c>
      <c r="F128" s="711">
        <v>3</v>
      </c>
      <c r="G128" s="711">
        <v>1485</v>
      </c>
      <c r="H128" s="711">
        <v>1</v>
      </c>
      <c r="I128" s="711">
        <v>495</v>
      </c>
      <c r="J128" s="711">
        <v>4</v>
      </c>
      <c r="K128" s="711">
        <v>1980</v>
      </c>
      <c r="L128" s="711">
        <v>1.3333333333333333</v>
      </c>
      <c r="M128" s="711">
        <v>495</v>
      </c>
      <c r="N128" s="711">
        <v>1</v>
      </c>
      <c r="O128" s="711">
        <v>495</v>
      </c>
      <c r="P128" s="701">
        <v>0.33333333333333331</v>
      </c>
      <c r="Q128" s="712">
        <v>495</v>
      </c>
    </row>
    <row r="129" spans="1:17" ht="14.4" customHeight="1" x14ac:dyDescent="0.3">
      <c r="A129" s="695" t="s">
        <v>5162</v>
      </c>
      <c r="B129" s="696" t="s">
        <v>5163</v>
      </c>
      <c r="C129" s="696" t="s">
        <v>4114</v>
      </c>
      <c r="D129" s="696" t="s">
        <v>5311</v>
      </c>
      <c r="E129" s="696" t="s">
        <v>5312</v>
      </c>
      <c r="F129" s="711">
        <v>1</v>
      </c>
      <c r="G129" s="711">
        <v>562</v>
      </c>
      <c r="H129" s="711">
        <v>1</v>
      </c>
      <c r="I129" s="711">
        <v>562</v>
      </c>
      <c r="J129" s="711">
        <v>16</v>
      </c>
      <c r="K129" s="711">
        <v>9024</v>
      </c>
      <c r="L129" s="711">
        <v>16.056939501779361</v>
      </c>
      <c r="M129" s="711">
        <v>564</v>
      </c>
      <c r="N129" s="711">
        <v>4</v>
      </c>
      <c r="O129" s="711">
        <v>2274</v>
      </c>
      <c r="P129" s="701">
        <v>4.0462633451957295</v>
      </c>
      <c r="Q129" s="712">
        <v>568.5</v>
      </c>
    </row>
    <row r="130" spans="1:17" ht="14.4" customHeight="1" x14ac:dyDescent="0.3">
      <c r="A130" s="695" t="s">
        <v>5162</v>
      </c>
      <c r="B130" s="696" t="s">
        <v>5163</v>
      </c>
      <c r="C130" s="696" t="s">
        <v>4114</v>
      </c>
      <c r="D130" s="696" t="s">
        <v>5101</v>
      </c>
      <c r="E130" s="696" t="s">
        <v>5102</v>
      </c>
      <c r="F130" s="711">
        <v>1</v>
      </c>
      <c r="G130" s="711">
        <v>1000</v>
      </c>
      <c r="H130" s="711">
        <v>1</v>
      </c>
      <c r="I130" s="711">
        <v>1000</v>
      </c>
      <c r="J130" s="711">
        <v>16</v>
      </c>
      <c r="K130" s="711">
        <v>16032</v>
      </c>
      <c r="L130" s="711">
        <v>16.032</v>
      </c>
      <c r="M130" s="711">
        <v>1002</v>
      </c>
      <c r="N130" s="711">
        <v>4</v>
      </c>
      <c r="O130" s="711">
        <v>4020</v>
      </c>
      <c r="P130" s="701">
        <v>4.0199999999999996</v>
      </c>
      <c r="Q130" s="712">
        <v>1005</v>
      </c>
    </row>
    <row r="131" spans="1:17" ht="14.4" customHeight="1" x14ac:dyDescent="0.3">
      <c r="A131" s="695" t="s">
        <v>5162</v>
      </c>
      <c r="B131" s="696" t="s">
        <v>5163</v>
      </c>
      <c r="C131" s="696" t="s">
        <v>4114</v>
      </c>
      <c r="D131" s="696" t="s">
        <v>5313</v>
      </c>
      <c r="E131" s="696" t="s">
        <v>5314</v>
      </c>
      <c r="F131" s="711">
        <v>2</v>
      </c>
      <c r="G131" s="711">
        <v>332</v>
      </c>
      <c r="H131" s="711">
        <v>1</v>
      </c>
      <c r="I131" s="711">
        <v>166</v>
      </c>
      <c r="J131" s="711">
        <v>1</v>
      </c>
      <c r="K131" s="711">
        <v>166</v>
      </c>
      <c r="L131" s="711">
        <v>0.5</v>
      </c>
      <c r="M131" s="711">
        <v>166</v>
      </c>
      <c r="N131" s="711"/>
      <c r="O131" s="711"/>
      <c r="P131" s="701"/>
      <c r="Q131" s="712"/>
    </row>
    <row r="132" spans="1:17" ht="14.4" customHeight="1" x14ac:dyDescent="0.3">
      <c r="A132" s="695" t="s">
        <v>5162</v>
      </c>
      <c r="B132" s="696" t="s">
        <v>5163</v>
      </c>
      <c r="C132" s="696" t="s">
        <v>4114</v>
      </c>
      <c r="D132" s="696" t="s">
        <v>5315</v>
      </c>
      <c r="E132" s="696" t="s">
        <v>5316</v>
      </c>
      <c r="F132" s="711">
        <v>3</v>
      </c>
      <c r="G132" s="711">
        <v>381</v>
      </c>
      <c r="H132" s="711">
        <v>1</v>
      </c>
      <c r="I132" s="711">
        <v>127</v>
      </c>
      <c r="J132" s="711">
        <v>1</v>
      </c>
      <c r="K132" s="711">
        <v>127</v>
      </c>
      <c r="L132" s="711">
        <v>0.33333333333333331</v>
      </c>
      <c r="M132" s="711">
        <v>127</v>
      </c>
      <c r="N132" s="711"/>
      <c r="O132" s="711"/>
      <c r="P132" s="701"/>
      <c r="Q132" s="712"/>
    </row>
    <row r="133" spans="1:17" ht="14.4" customHeight="1" x14ac:dyDescent="0.3">
      <c r="A133" s="695" t="s">
        <v>5162</v>
      </c>
      <c r="B133" s="696" t="s">
        <v>5163</v>
      </c>
      <c r="C133" s="696" t="s">
        <v>4114</v>
      </c>
      <c r="D133" s="696" t="s">
        <v>5317</v>
      </c>
      <c r="E133" s="696" t="s">
        <v>5318</v>
      </c>
      <c r="F133" s="711">
        <v>10</v>
      </c>
      <c r="G133" s="711">
        <v>230</v>
      </c>
      <c r="H133" s="711">
        <v>1</v>
      </c>
      <c r="I133" s="711">
        <v>23</v>
      </c>
      <c r="J133" s="711">
        <v>2</v>
      </c>
      <c r="K133" s="711">
        <v>46</v>
      </c>
      <c r="L133" s="711">
        <v>0.2</v>
      </c>
      <c r="M133" s="711">
        <v>23</v>
      </c>
      <c r="N133" s="711">
        <v>16</v>
      </c>
      <c r="O133" s="711">
        <v>368</v>
      </c>
      <c r="P133" s="701">
        <v>1.6</v>
      </c>
      <c r="Q133" s="712">
        <v>23</v>
      </c>
    </row>
    <row r="134" spans="1:17" ht="14.4" customHeight="1" x14ac:dyDescent="0.3">
      <c r="A134" s="695" t="s">
        <v>5162</v>
      </c>
      <c r="B134" s="696" t="s">
        <v>5163</v>
      </c>
      <c r="C134" s="696" t="s">
        <v>4114</v>
      </c>
      <c r="D134" s="696" t="s">
        <v>5319</v>
      </c>
      <c r="E134" s="696" t="s">
        <v>5320</v>
      </c>
      <c r="F134" s="711">
        <v>30</v>
      </c>
      <c r="G134" s="711">
        <v>510</v>
      </c>
      <c r="H134" s="711">
        <v>1</v>
      </c>
      <c r="I134" s="711">
        <v>17</v>
      </c>
      <c r="J134" s="711">
        <v>9</v>
      </c>
      <c r="K134" s="711">
        <v>153</v>
      </c>
      <c r="L134" s="711">
        <v>0.3</v>
      </c>
      <c r="M134" s="711">
        <v>17</v>
      </c>
      <c r="N134" s="711">
        <v>14</v>
      </c>
      <c r="O134" s="711">
        <v>238</v>
      </c>
      <c r="P134" s="701">
        <v>0.46666666666666667</v>
      </c>
      <c r="Q134" s="712">
        <v>17</v>
      </c>
    </row>
    <row r="135" spans="1:17" ht="14.4" customHeight="1" x14ac:dyDescent="0.3">
      <c r="A135" s="695" t="s">
        <v>5162</v>
      </c>
      <c r="B135" s="696" t="s">
        <v>5163</v>
      </c>
      <c r="C135" s="696" t="s">
        <v>4114</v>
      </c>
      <c r="D135" s="696" t="s">
        <v>5321</v>
      </c>
      <c r="E135" s="696" t="s">
        <v>5322</v>
      </c>
      <c r="F135" s="711">
        <v>4</v>
      </c>
      <c r="G135" s="711">
        <v>520</v>
      </c>
      <c r="H135" s="711">
        <v>1</v>
      </c>
      <c r="I135" s="711">
        <v>130</v>
      </c>
      <c r="J135" s="711">
        <v>2</v>
      </c>
      <c r="K135" s="711">
        <v>262</v>
      </c>
      <c r="L135" s="711">
        <v>0.50384615384615383</v>
      </c>
      <c r="M135" s="711">
        <v>131</v>
      </c>
      <c r="N135" s="711"/>
      <c r="O135" s="711"/>
      <c r="P135" s="701"/>
      <c r="Q135" s="712"/>
    </row>
    <row r="136" spans="1:17" ht="14.4" customHeight="1" x14ac:dyDescent="0.3">
      <c r="A136" s="695" t="s">
        <v>5162</v>
      </c>
      <c r="B136" s="696" t="s">
        <v>5163</v>
      </c>
      <c r="C136" s="696" t="s">
        <v>4114</v>
      </c>
      <c r="D136" s="696" t="s">
        <v>5323</v>
      </c>
      <c r="E136" s="696" t="s">
        <v>5324</v>
      </c>
      <c r="F136" s="711">
        <v>100</v>
      </c>
      <c r="G136" s="711">
        <v>29100</v>
      </c>
      <c r="H136" s="711">
        <v>1</v>
      </c>
      <c r="I136" s="711">
        <v>291</v>
      </c>
      <c r="J136" s="711">
        <v>112</v>
      </c>
      <c r="K136" s="711">
        <v>32592</v>
      </c>
      <c r="L136" s="711">
        <v>1.1200000000000001</v>
      </c>
      <c r="M136" s="711">
        <v>291</v>
      </c>
      <c r="N136" s="711">
        <v>148</v>
      </c>
      <c r="O136" s="711">
        <v>43123</v>
      </c>
      <c r="P136" s="701">
        <v>1.4818900343642611</v>
      </c>
      <c r="Q136" s="712">
        <v>291.37162162162161</v>
      </c>
    </row>
    <row r="137" spans="1:17" ht="14.4" customHeight="1" x14ac:dyDescent="0.3">
      <c r="A137" s="695" t="s">
        <v>5162</v>
      </c>
      <c r="B137" s="696" t="s">
        <v>5163</v>
      </c>
      <c r="C137" s="696" t="s">
        <v>4114</v>
      </c>
      <c r="D137" s="696" t="s">
        <v>5325</v>
      </c>
      <c r="E137" s="696" t="s">
        <v>5326</v>
      </c>
      <c r="F137" s="711">
        <v>6</v>
      </c>
      <c r="G137" s="711">
        <v>270</v>
      </c>
      <c r="H137" s="711">
        <v>1</v>
      </c>
      <c r="I137" s="711">
        <v>45</v>
      </c>
      <c r="J137" s="711">
        <v>3</v>
      </c>
      <c r="K137" s="711">
        <v>135</v>
      </c>
      <c r="L137" s="711">
        <v>0.5</v>
      </c>
      <c r="M137" s="711">
        <v>45</v>
      </c>
      <c r="N137" s="711">
        <v>4</v>
      </c>
      <c r="O137" s="711">
        <v>180</v>
      </c>
      <c r="P137" s="701">
        <v>0.66666666666666663</v>
      </c>
      <c r="Q137" s="712">
        <v>45</v>
      </c>
    </row>
    <row r="138" spans="1:17" ht="14.4" customHeight="1" x14ac:dyDescent="0.3">
      <c r="A138" s="695" t="s">
        <v>5162</v>
      </c>
      <c r="B138" s="696" t="s">
        <v>5163</v>
      </c>
      <c r="C138" s="696" t="s">
        <v>4114</v>
      </c>
      <c r="D138" s="696" t="s">
        <v>5327</v>
      </c>
      <c r="E138" s="696" t="s">
        <v>5328</v>
      </c>
      <c r="F138" s="711"/>
      <c r="G138" s="711"/>
      <c r="H138" s="711"/>
      <c r="I138" s="711"/>
      <c r="J138" s="711"/>
      <c r="K138" s="711"/>
      <c r="L138" s="711"/>
      <c r="M138" s="711"/>
      <c r="N138" s="711">
        <v>39</v>
      </c>
      <c r="O138" s="711">
        <v>1794</v>
      </c>
      <c r="P138" s="701"/>
      <c r="Q138" s="712">
        <v>46</v>
      </c>
    </row>
    <row r="139" spans="1:17" ht="14.4" customHeight="1" x14ac:dyDescent="0.3">
      <c r="A139" s="695" t="s">
        <v>5162</v>
      </c>
      <c r="B139" s="696" t="s">
        <v>5163</v>
      </c>
      <c r="C139" s="696" t="s">
        <v>4114</v>
      </c>
      <c r="D139" s="696" t="s">
        <v>5329</v>
      </c>
      <c r="E139" s="696" t="s">
        <v>5330</v>
      </c>
      <c r="F139" s="711"/>
      <c r="G139" s="711"/>
      <c r="H139" s="711"/>
      <c r="I139" s="711"/>
      <c r="J139" s="711">
        <v>1</v>
      </c>
      <c r="K139" s="711">
        <v>526</v>
      </c>
      <c r="L139" s="711"/>
      <c r="M139" s="711">
        <v>526</v>
      </c>
      <c r="N139" s="711"/>
      <c r="O139" s="711"/>
      <c r="P139" s="701"/>
      <c r="Q139" s="712"/>
    </row>
    <row r="140" spans="1:17" ht="14.4" customHeight="1" x14ac:dyDescent="0.3">
      <c r="A140" s="695" t="s">
        <v>5162</v>
      </c>
      <c r="B140" s="696" t="s">
        <v>5163</v>
      </c>
      <c r="C140" s="696" t="s">
        <v>4114</v>
      </c>
      <c r="D140" s="696" t="s">
        <v>5331</v>
      </c>
      <c r="E140" s="696" t="s">
        <v>5332</v>
      </c>
      <c r="F140" s="711">
        <v>3</v>
      </c>
      <c r="G140" s="711">
        <v>408</v>
      </c>
      <c r="H140" s="711">
        <v>1</v>
      </c>
      <c r="I140" s="711">
        <v>136</v>
      </c>
      <c r="J140" s="711"/>
      <c r="K140" s="711"/>
      <c r="L140" s="711"/>
      <c r="M140" s="711"/>
      <c r="N140" s="711"/>
      <c r="O140" s="711"/>
      <c r="P140" s="701"/>
      <c r="Q140" s="712"/>
    </row>
    <row r="141" spans="1:17" ht="14.4" customHeight="1" x14ac:dyDescent="0.3">
      <c r="A141" s="695" t="s">
        <v>5162</v>
      </c>
      <c r="B141" s="696" t="s">
        <v>5163</v>
      </c>
      <c r="C141" s="696" t="s">
        <v>4114</v>
      </c>
      <c r="D141" s="696" t="s">
        <v>5333</v>
      </c>
      <c r="E141" s="696" t="s">
        <v>5334</v>
      </c>
      <c r="F141" s="711">
        <v>2</v>
      </c>
      <c r="G141" s="711">
        <v>14</v>
      </c>
      <c r="H141" s="711">
        <v>1</v>
      </c>
      <c r="I141" s="711">
        <v>7</v>
      </c>
      <c r="J141" s="711"/>
      <c r="K141" s="711"/>
      <c r="L141" s="711"/>
      <c r="M141" s="711"/>
      <c r="N141" s="711"/>
      <c r="O141" s="711"/>
      <c r="P141" s="701"/>
      <c r="Q141" s="712"/>
    </row>
    <row r="142" spans="1:17" ht="14.4" customHeight="1" x14ac:dyDescent="0.3">
      <c r="A142" s="695" t="s">
        <v>5162</v>
      </c>
      <c r="B142" s="696" t="s">
        <v>5163</v>
      </c>
      <c r="C142" s="696" t="s">
        <v>4114</v>
      </c>
      <c r="D142" s="696" t="s">
        <v>5335</v>
      </c>
      <c r="E142" s="696" t="s">
        <v>5336</v>
      </c>
      <c r="F142" s="711">
        <v>2</v>
      </c>
      <c r="G142" s="711">
        <v>60</v>
      </c>
      <c r="H142" s="711">
        <v>1</v>
      </c>
      <c r="I142" s="711">
        <v>30</v>
      </c>
      <c r="J142" s="711"/>
      <c r="K142" s="711"/>
      <c r="L142" s="711"/>
      <c r="M142" s="711"/>
      <c r="N142" s="711"/>
      <c r="O142" s="711"/>
      <c r="P142" s="701"/>
      <c r="Q142" s="712"/>
    </row>
    <row r="143" spans="1:17" ht="14.4" customHeight="1" x14ac:dyDescent="0.3">
      <c r="A143" s="695" t="s">
        <v>5162</v>
      </c>
      <c r="B143" s="696" t="s">
        <v>5163</v>
      </c>
      <c r="C143" s="696" t="s">
        <v>4114</v>
      </c>
      <c r="D143" s="696" t="s">
        <v>5337</v>
      </c>
      <c r="E143" s="696" t="s">
        <v>5338</v>
      </c>
      <c r="F143" s="711">
        <v>6</v>
      </c>
      <c r="G143" s="711">
        <v>156</v>
      </c>
      <c r="H143" s="711">
        <v>1</v>
      </c>
      <c r="I143" s="711">
        <v>26</v>
      </c>
      <c r="J143" s="711">
        <v>3</v>
      </c>
      <c r="K143" s="711">
        <v>78</v>
      </c>
      <c r="L143" s="711">
        <v>0.5</v>
      </c>
      <c r="M143" s="711">
        <v>26</v>
      </c>
      <c r="N143" s="711">
        <v>7</v>
      </c>
      <c r="O143" s="711">
        <v>182</v>
      </c>
      <c r="P143" s="701">
        <v>1.1666666666666667</v>
      </c>
      <c r="Q143" s="712">
        <v>26</v>
      </c>
    </row>
    <row r="144" spans="1:17" ht="14.4" customHeight="1" x14ac:dyDescent="0.3">
      <c r="A144" s="695" t="s">
        <v>5162</v>
      </c>
      <c r="B144" s="696" t="s">
        <v>5163</v>
      </c>
      <c r="C144" s="696" t="s">
        <v>4114</v>
      </c>
      <c r="D144" s="696" t="s">
        <v>5339</v>
      </c>
      <c r="E144" s="696" t="s">
        <v>5340</v>
      </c>
      <c r="F144" s="711">
        <v>2</v>
      </c>
      <c r="G144" s="711">
        <v>808</v>
      </c>
      <c r="H144" s="711">
        <v>1</v>
      </c>
      <c r="I144" s="711">
        <v>404</v>
      </c>
      <c r="J144" s="711"/>
      <c r="K144" s="711"/>
      <c r="L144" s="711"/>
      <c r="M144" s="711"/>
      <c r="N144" s="711"/>
      <c r="O144" s="711"/>
      <c r="P144" s="701"/>
      <c r="Q144" s="712"/>
    </row>
    <row r="145" spans="1:17" ht="14.4" customHeight="1" x14ac:dyDescent="0.3">
      <c r="A145" s="695" t="s">
        <v>5162</v>
      </c>
      <c r="B145" s="696" t="s">
        <v>5341</v>
      </c>
      <c r="C145" s="696" t="s">
        <v>4114</v>
      </c>
      <c r="D145" s="696" t="s">
        <v>5097</v>
      </c>
      <c r="E145" s="696" t="s">
        <v>5098</v>
      </c>
      <c r="F145" s="711">
        <v>1</v>
      </c>
      <c r="G145" s="711">
        <v>1236</v>
      </c>
      <c r="H145" s="711">
        <v>1</v>
      </c>
      <c r="I145" s="711">
        <v>1236</v>
      </c>
      <c r="J145" s="711">
        <v>15</v>
      </c>
      <c r="K145" s="711">
        <v>18675</v>
      </c>
      <c r="L145" s="711">
        <v>15.109223300970873</v>
      </c>
      <c r="M145" s="711">
        <v>1245</v>
      </c>
      <c r="N145" s="711"/>
      <c r="O145" s="711"/>
      <c r="P145" s="701"/>
      <c r="Q145" s="712"/>
    </row>
    <row r="146" spans="1:17" ht="14.4" customHeight="1" x14ac:dyDescent="0.3">
      <c r="A146" s="695" t="s">
        <v>5342</v>
      </c>
      <c r="B146" s="696" t="s">
        <v>4891</v>
      </c>
      <c r="C146" s="696" t="s">
        <v>4083</v>
      </c>
      <c r="D146" s="696" t="s">
        <v>5343</v>
      </c>
      <c r="E146" s="696" t="s">
        <v>5344</v>
      </c>
      <c r="F146" s="711"/>
      <c r="G146" s="711"/>
      <c r="H146" s="711"/>
      <c r="I146" s="711"/>
      <c r="J146" s="711">
        <v>0.67</v>
      </c>
      <c r="K146" s="711">
        <v>1774.31</v>
      </c>
      <c r="L146" s="711"/>
      <c r="M146" s="711">
        <v>2648.2238805970146</v>
      </c>
      <c r="N146" s="711">
        <v>0.67</v>
      </c>
      <c r="O146" s="711">
        <v>1789.87</v>
      </c>
      <c r="P146" s="701"/>
      <c r="Q146" s="712">
        <v>2671.4477611940297</v>
      </c>
    </row>
    <row r="147" spans="1:17" ht="14.4" customHeight="1" x14ac:dyDescent="0.3">
      <c r="A147" s="695" t="s">
        <v>5342</v>
      </c>
      <c r="B147" s="696" t="s">
        <v>4891</v>
      </c>
      <c r="C147" s="696" t="s">
        <v>4083</v>
      </c>
      <c r="D147" s="696" t="s">
        <v>5345</v>
      </c>
      <c r="E147" s="696" t="s">
        <v>5346</v>
      </c>
      <c r="F147" s="711">
        <v>9</v>
      </c>
      <c r="G147" s="711">
        <v>11670.82</v>
      </c>
      <c r="H147" s="711">
        <v>1</v>
      </c>
      <c r="I147" s="711">
        <v>1296.7577777777778</v>
      </c>
      <c r="J147" s="711">
        <v>5.2</v>
      </c>
      <c r="K147" s="711">
        <v>5127.46</v>
      </c>
      <c r="L147" s="711">
        <v>0.43934016632935818</v>
      </c>
      <c r="M147" s="711">
        <v>986.05</v>
      </c>
      <c r="N147" s="711">
        <v>5.0999999999999996</v>
      </c>
      <c r="O147" s="711">
        <v>5044.04</v>
      </c>
      <c r="P147" s="701">
        <v>0.43219242521091061</v>
      </c>
      <c r="Q147" s="712">
        <v>989.02745098039225</v>
      </c>
    </row>
    <row r="148" spans="1:17" ht="14.4" customHeight="1" x14ac:dyDescent="0.3">
      <c r="A148" s="695" t="s">
        <v>5342</v>
      </c>
      <c r="B148" s="696" t="s">
        <v>4891</v>
      </c>
      <c r="C148" s="696" t="s">
        <v>4083</v>
      </c>
      <c r="D148" s="696" t="s">
        <v>5347</v>
      </c>
      <c r="E148" s="696" t="s">
        <v>5348</v>
      </c>
      <c r="F148" s="711">
        <v>1.1300000000000001</v>
      </c>
      <c r="G148" s="711">
        <v>14544.919999999998</v>
      </c>
      <c r="H148" s="711">
        <v>1</v>
      </c>
      <c r="I148" s="711">
        <v>12871.610619469024</v>
      </c>
      <c r="J148" s="711">
        <v>1.52</v>
      </c>
      <c r="K148" s="711">
        <v>15712.79</v>
      </c>
      <c r="L148" s="711">
        <v>1.0802940133049892</v>
      </c>
      <c r="M148" s="711">
        <v>10337.361842105263</v>
      </c>
      <c r="N148" s="711">
        <v>1.18</v>
      </c>
      <c r="O148" s="711">
        <v>12198.09</v>
      </c>
      <c r="P148" s="701">
        <v>0.83864950786941428</v>
      </c>
      <c r="Q148" s="712">
        <v>10337.364406779661</v>
      </c>
    </row>
    <row r="149" spans="1:17" ht="14.4" customHeight="1" x14ac:dyDescent="0.3">
      <c r="A149" s="695" t="s">
        <v>5342</v>
      </c>
      <c r="B149" s="696" t="s">
        <v>4891</v>
      </c>
      <c r="C149" s="696" t="s">
        <v>4083</v>
      </c>
      <c r="D149" s="696" t="s">
        <v>4576</v>
      </c>
      <c r="E149" s="696" t="s">
        <v>4577</v>
      </c>
      <c r="F149" s="711"/>
      <c r="G149" s="711"/>
      <c r="H149" s="711"/>
      <c r="I149" s="711"/>
      <c r="J149" s="711"/>
      <c r="K149" s="711"/>
      <c r="L149" s="711"/>
      <c r="M149" s="711"/>
      <c r="N149" s="711">
        <v>0.22</v>
      </c>
      <c r="O149" s="711">
        <v>1168.3599999999999</v>
      </c>
      <c r="P149" s="701"/>
      <c r="Q149" s="712">
        <v>5310.7272727272721</v>
      </c>
    </row>
    <row r="150" spans="1:17" ht="14.4" customHeight="1" x14ac:dyDescent="0.3">
      <c r="A150" s="695" t="s">
        <v>5342</v>
      </c>
      <c r="B150" s="696" t="s">
        <v>4891</v>
      </c>
      <c r="C150" s="696" t="s">
        <v>4083</v>
      </c>
      <c r="D150" s="696" t="s">
        <v>5349</v>
      </c>
      <c r="E150" s="696" t="s">
        <v>5348</v>
      </c>
      <c r="F150" s="711">
        <v>0.54</v>
      </c>
      <c r="G150" s="711">
        <v>3482.9699999999993</v>
      </c>
      <c r="H150" s="711">
        <v>1</v>
      </c>
      <c r="I150" s="711">
        <v>6449.9444444444425</v>
      </c>
      <c r="J150" s="711">
        <v>0.32</v>
      </c>
      <c r="K150" s="711">
        <v>2075.29</v>
      </c>
      <c r="L150" s="711">
        <v>0.59583918322581031</v>
      </c>
      <c r="M150" s="711">
        <v>6485.28125</v>
      </c>
      <c r="N150" s="711">
        <v>0.31</v>
      </c>
      <c r="O150" s="711">
        <v>2017.01</v>
      </c>
      <c r="P150" s="701">
        <v>0.57910633740744255</v>
      </c>
      <c r="Q150" s="712">
        <v>6506.4838709677424</v>
      </c>
    </row>
    <row r="151" spans="1:17" ht="14.4" customHeight="1" x14ac:dyDescent="0.3">
      <c r="A151" s="695" t="s">
        <v>5342</v>
      </c>
      <c r="B151" s="696" t="s">
        <v>4891</v>
      </c>
      <c r="C151" s="696" t="s">
        <v>4083</v>
      </c>
      <c r="D151" s="696" t="s">
        <v>5350</v>
      </c>
      <c r="E151" s="696" t="s">
        <v>4590</v>
      </c>
      <c r="F151" s="711"/>
      <c r="G151" s="711"/>
      <c r="H151" s="711"/>
      <c r="I151" s="711"/>
      <c r="J151" s="711">
        <v>2</v>
      </c>
      <c r="K151" s="711">
        <v>1950.44</v>
      </c>
      <c r="L151" s="711"/>
      <c r="M151" s="711">
        <v>975.22</v>
      </c>
      <c r="N151" s="711"/>
      <c r="O151" s="711"/>
      <c r="P151" s="701"/>
      <c r="Q151" s="712"/>
    </row>
    <row r="152" spans="1:17" ht="14.4" customHeight="1" x14ac:dyDescent="0.3">
      <c r="A152" s="695" t="s">
        <v>5342</v>
      </c>
      <c r="B152" s="696" t="s">
        <v>4891</v>
      </c>
      <c r="C152" s="696" t="s">
        <v>4083</v>
      </c>
      <c r="D152" s="696" t="s">
        <v>5351</v>
      </c>
      <c r="E152" s="696" t="s">
        <v>4078</v>
      </c>
      <c r="F152" s="711">
        <v>0.06</v>
      </c>
      <c r="G152" s="711">
        <v>339.21</v>
      </c>
      <c r="H152" s="711">
        <v>1</v>
      </c>
      <c r="I152" s="711">
        <v>5653.5</v>
      </c>
      <c r="J152" s="711"/>
      <c r="K152" s="711"/>
      <c r="L152" s="711"/>
      <c r="M152" s="711"/>
      <c r="N152" s="711"/>
      <c r="O152" s="711"/>
      <c r="P152" s="701"/>
      <c r="Q152" s="712"/>
    </row>
    <row r="153" spans="1:17" ht="14.4" customHeight="1" x14ac:dyDescent="0.3">
      <c r="A153" s="695" t="s">
        <v>5342</v>
      </c>
      <c r="B153" s="696" t="s">
        <v>4891</v>
      </c>
      <c r="C153" s="696" t="s">
        <v>4083</v>
      </c>
      <c r="D153" s="696" t="s">
        <v>5352</v>
      </c>
      <c r="E153" s="696" t="s">
        <v>5353</v>
      </c>
      <c r="F153" s="711">
        <v>0.08</v>
      </c>
      <c r="G153" s="711">
        <v>387.82</v>
      </c>
      <c r="H153" s="711">
        <v>1</v>
      </c>
      <c r="I153" s="711">
        <v>4847.75</v>
      </c>
      <c r="J153" s="711"/>
      <c r="K153" s="711"/>
      <c r="L153" s="711"/>
      <c r="M153" s="711"/>
      <c r="N153" s="711"/>
      <c r="O153" s="711"/>
      <c r="P153" s="701"/>
      <c r="Q153" s="712"/>
    </row>
    <row r="154" spans="1:17" ht="14.4" customHeight="1" x14ac:dyDescent="0.3">
      <c r="A154" s="695" t="s">
        <v>5342</v>
      </c>
      <c r="B154" s="696" t="s">
        <v>4891</v>
      </c>
      <c r="C154" s="696" t="s">
        <v>4083</v>
      </c>
      <c r="D154" s="696" t="s">
        <v>5354</v>
      </c>
      <c r="E154" s="696" t="s">
        <v>5353</v>
      </c>
      <c r="F154" s="711"/>
      <c r="G154" s="711"/>
      <c r="H154" s="711"/>
      <c r="I154" s="711"/>
      <c r="J154" s="711">
        <v>0.1</v>
      </c>
      <c r="K154" s="711">
        <v>978.06</v>
      </c>
      <c r="L154" s="711"/>
      <c r="M154" s="711">
        <v>9780.5999999999985</v>
      </c>
      <c r="N154" s="711"/>
      <c r="O154" s="711"/>
      <c r="P154" s="701"/>
      <c r="Q154" s="712"/>
    </row>
    <row r="155" spans="1:17" ht="14.4" customHeight="1" x14ac:dyDescent="0.3">
      <c r="A155" s="695" t="s">
        <v>5342</v>
      </c>
      <c r="B155" s="696" t="s">
        <v>4891</v>
      </c>
      <c r="C155" s="696" t="s">
        <v>4083</v>
      </c>
      <c r="D155" s="696" t="s">
        <v>5355</v>
      </c>
      <c r="E155" s="696" t="s">
        <v>5090</v>
      </c>
      <c r="F155" s="711">
        <v>0.6</v>
      </c>
      <c r="G155" s="711">
        <v>3247.98</v>
      </c>
      <c r="H155" s="711">
        <v>1</v>
      </c>
      <c r="I155" s="711">
        <v>5413.3</v>
      </c>
      <c r="J155" s="711"/>
      <c r="K155" s="711"/>
      <c r="L155" s="711"/>
      <c r="M155" s="711"/>
      <c r="N155" s="711">
        <v>0.28000000000000003</v>
      </c>
      <c r="O155" s="711">
        <v>1529.0100000000002</v>
      </c>
      <c r="P155" s="701">
        <v>0.47075720909611518</v>
      </c>
      <c r="Q155" s="712">
        <v>5460.75</v>
      </c>
    </row>
    <row r="156" spans="1:17" ht="14.4" customHeight="1" x14ac:dyDescent="0.3">
      <c r="A156" s="695" t="s">
        <v>5342</v>
      </c>
      <c r="B156" s="696" t="s">
        <v>4891</v>
      </c>
      <c r="C156" s="696" t="s">
        <v>4083</v>
      </c>
      <c r="D156" s="696" t="s">
        <v>5356</v>
      </c>
      <c r="E156" s="696" t="s">
        <v>5090</v>
      </c>
      <c r="F156" s="711">
        <v>2.19</v>
      </c>
      <c r="G156" s="711">
        <v>23710.28</v>
      </c>
      <c r="H156" s="711">
        <v>1</v>
      </c>
      <c r="I156" s="711">
        <v>10826.611872146119</v>
      </c>
      <c r="J156" s="711">
        <v>3.2</v>
      </c>
      <c r="K156" s="711">
        <v>34847.51</v>
      </c>
      <c r="L156" s="711">
        <v>1.4697215722463002</v>
      </c>
      <c r="M156" s="711">
        <v>10889.846874999999</v>
      </c>
      <c r="N156" s="711">
        <v>3.14</v>
      </c>
      <c r="O156" s="711">
        <v>34293.64</v>
      </c>
      <c r="P156" s="701">
        <v>1.4463616625362501</v>
      </c>
      <c r="Q156" s="712">
        <v>10921.541401273886</v>
      </c>
    </row>
    <row r="157" spans="1:17" ht="14.4" customHeight="1" x14ac:dyDescent="0.3">
      <c r="A157" s="695" t="s">
        <v>5342</v>
      </c>
      <c r="B157" s="696" t="s">
        <v>4891</v>
      </c>
      <c r="C157" s="696" t="s">
        <v>4083</v>
      </c>
      <c r="D157" s="696" t="s">
        <v>5357</v>
      </c>
      <c r="E157" s="696" t="s">
        <v>5353</v>
      </c>
      <c r="F157" s="711">
        <v>0.4</v>
      </c>
      <c r="G157" s="711">
        <v>775.64</v>
      </c>
      <c r="H157" s="711">
        <v>1</v>
      </c>
      <c r="I157" s="711">
        <v>1939.1</v>
      </c>
      <c r="J157" s="711">
        <v>0.1</v>
      </c>
      <c r="K157" s="711">
        <v>195.61</v>
      </c>
      <c r="L157" s="711">
        <v>0.25219173843535664</v>
      </c>
      <c r="M157" s="711">
        <v>1956.1000000000001</v>
      </c>
      <c r="N157" s="711">
        <v>0.70000000000000007</v>
      </c>
      <c r="O157" s="711">
        <v>1369.27</v>
      </c>
      <c r="P157" s="701">
        <v>1.7653421690474962</v>
      </c>
      <c r="Q157" s="712">
        <v>1956.0999999999997</v>
      </c>
    </row>
    <row r="158" spans="1:17" ht="14.4" customHeight="1" x14ac:dyDescent="0.3">
      <c r="A158" s="695" t="s">
        <v>5342</v>
      </c>
      <c r="B158" s="696" t="s">
        <v>4891</v>
      </c>
      <c r="C158" s="696" t="s">
        <v>4083</v>
      </c>
      <c r="D158" s="696" t="s">
        <v>5089</v>
      </c>
      <c r="E158" s="696" t="s">
        <v>5090</v>
      </c>
      <c r="F158" s="711"/>
      <c r="G158" s="711"/>
      <c r="H158" s="711"/>
      <c r="I158" s="711"/>
      <c r="J158" s="711"/>
      <c r="K158" s="711"/>
      <c r="L158" s="711"/>
      <c r="M158" s="711"/>
      <c r="N158" s="711">
        <v>1.35</v>
      </c>
      <c r="O158" s="711">
        <v>2948.8199999999997</v>
      </c>
      <c r="P158" s="701"/>
      <c r="Q158" s="712">
        <v>2184.3111111111107</v>
      </c>
    </row>
    <row r="159" spans="1:17" ht="14.4" customHeight="1" x14ac:dyDescent="0.3">
      <c r="A159" s="695" t="s">
        <v>5342</v>
      </c>
      <c r="B159" s="696" t="s">
        <v>4891</v>
      </c>
      <c r="C159" s="696" t="s">
        <v>4083</v>
      </c>
      <c r="D159" s="696" t="s">
        <v>5358</v>
      </c>
      <c r="E159" s="696" t="s">
        <v>5359</v>
      </c>
      <c r="F159" s="711"/>
      <c r="G159" s="711"/>
      <c r="H159" s="711"/>
      <c r="I159" s="711"/>
      <c r="J159" s="711">
        <v>0.02</v>
      </c>
      <c r="K159" s="711">
        <v>7.58</v>
      </c>
      <c r="L159" s="711"/>
      <c r="M159" s="711">
        <v>379</v>
      </c>
      <c r="N159" s="711"/>
      <c r="O159" s="711"/>
      <c r="P159" s="701"/>
      <c r="Q159" s="712"/>
    </row>
    <row r="160" spans="1:17" ht="14.4" customHeight="1" x14ac:dyDescent="0.3">
      <c r="A160" s="695" t="s">
        <v>5342</v>
      </c>
      <c r="B160" s="696" t="s">
        <v>4891</v>
      </c>
      <c r="C160" s="696" t="s">
        <v>4103</v>
      </c>
      <c r="D160" s="696" t="s">
        <v>5360</v>
      </c>
      <c r="E160" s="696" t="s">
        <v>5361</v>
      </c>
      <c r="F160" s="711">
        <v>3</v>
      </c>
      <c r="G160" s="711">
        <v>2916.96</v>
      </c>
      <c r="H160" s="711">
        <v>1</v>
      </c>
      <c r="I160" s="711">
        <v>972.32</v>
      </c>
      <c r="J160" s="711">
        <v>2</v>
      </c>
      <c r="K160" s="711">
        <v>1944.64</v>
      </c>
      <c r="L160" s="711">
        <v>0.66666666666666674</v>
      </c>
      <c r="M160" s="711">
        <v>972.32</v>
      </c>
      <c r="N160" s="711">
        <v>3</v>
      </c>
      <c r="O160" s="711">
        <v>2916.96</v>
      </c>
      <c r="P160" s="701">
        <v>1</v>
      </c>
      <c r="Q160" s="712">
        <v>972.32</v>
      </c>
    </row>
    <row r="161" spans="1:17" ht="14.4" customHeight="1" x14ac:dyDescent="0.3">
      <c r="A161" s="695" t="s">
        <v>5342</v>
      </c>
      <c r="B161" s="696" t="s">
        <v>4891</v>
      </c>
      <c r="C161" s="696" t="s">
        <v>4103</v>
      </c>
      <c r="D161" s="696" t="s">
        <v>5362</v>
      </c>
      <c r="E161" s="696" t="s">
        <v>5361</v>
      </c>
      <c r="F161" s="711"/>
      <c r="G161" s="711"/>
      <c r="H161" s="711"/>
      <c r="I161" s="711"/>
      <c r="J161" s="711">
        <v>3</v>
      </c>
      <c r="K161" s="711">
        <v>5121.93</v>
      </c>
      <c r="L161" s="711"/>
      <c r="M161" s="711">
        <v>1707.3100000000002</v>
      </c>
      <c r="N161" s="711">
        <v>2</v>
      </c>
      <c r="O161" s="711">
        <v>3414.62</v>
      </c>
      <c r="P161" s="701"/>
      <c r="Q161" s="712">
        <v>1707.31</v>
      </c>
    </row>
    <row r="162" spans="1:17" ht="14.4" customHeight="1" x14ac:dyDescent="0.3">
      <c r="A162" s="695" t="s">
        <v>5342</v>
      </c>
      <c r="B162" s="696" t="s">
        <v>4891</v>
      </c>
      <c r="C162" s="696" t="s">
        <v>4103</v>
      </c>
      <c r="D162" s="696" t="s">
        <v>5363</v>
      </c>
      <c r="E162" s="696" t="s">
        <v>5361</v>
      </c>
      <c r="F162" s="711"/>
      <c r="G162" s="711"/>
      <c r="H162" s="711"/>
      <c r="I162" s="711"/>
      <c r="J162" s="711">
        <v>1</v>
      </c>
      <c r="K162" s="711">
        <v>2066.3000000000002</v>
      </c>
      <c r="L162" s="711"/>
      <c r="M162" s="711">
        <v>2066.3000000000002</v>
      </c>
      <c r="N162" s="711"/>
      <c r="O162" s="711"/>
      <c r="P162" s="701"/>
      <c r="Q162" s="712"/>
    </row>
    <row r="163" spans="1:17" ht="14.4" customHeight="1" x14ac:dyDescent="0.3">
      <c r="A163" s="695" t="s">
        <v>5342</v>
      </c>
      <c r="B163" s="696" t="s">
        <v>4891</v>
      </c>
      <c r="C163" s="696" t="s">
        <v>4103</v>
      </c>
      <c r="D163" s="696" t="s">
        <v>5364</v>
      </c>
      <c r="E163" s="696" t="s">
        <v>5365</v>
      </c>
      <c r="F163" s="711">
        <v>2</v>
      </c>
      <c r="G163" s="711">
        <v>3864.18</v>
      </c>
      <c r="H163" s="711">
        <v>1</v>
      </c>
      <c r="I163" s="711">
        <v>1932.09</v>
      </c>
      <c r="J163" s="711">
        <v>2</v>
      </c>
      <c r="K163" s="711">
        <v>3864.18</v>
      </c>
      <c r="L163" s="711">
        <v>1</v>
      </c>
      <c r="M163" s="711">
        <v>1932.09</v>
      </c>
      <c r="N163" s="711"/>
      <c r="O163" s="711"/>
      <c r="P163" s="701"/>
      <c r="Q163" s="712"/>
    </row>
    <row r="164" spans="1:17" ht="14.4" customHeight="1" x14ac:dyDescent="0.3">
      <c r="A164" s="695" t="s">
        <v>5342</v>
      </c>
      <c r="B164" s="696" t="s">
        <v>4891</v>
      </c>
      <c r="C164" s="696" t="s">
        <v>4103</v>
      </c>
      <c r="D164" s="696" t="s">
        <v>5366</v>
      </c>
      <c r="E164" s="696" t="s">
        <v>5367</v>
      </c>
      <c r="F164" s="711">
        <v>1</v>
      </c>
      <c r="G164" s="711">
        <v>1027.76</v>
      </c>
      <c r="H164" s="711">
        <v>1</v>
      </c>
      <c r="I164" s="711">
        <v>1027.76</v>
      </c>
      <c r="J164" s="711">
        <v>4</v>
      </c>
      <c r="K164" s="711">
        <v>4111.04</v>
      </c>
      <c r="L164" s="711">
        <v>4</v>
      </c>
      <c r="M164" s="711">
        <v>1027.76</v>
      </c>
      <c r="N164" s="711">
        <v>1</v>
      </c>
      <c r="O164" s="711">
        <v>1027.76</v>
      </c>
      <c r="P164" s="701">
        <v>1</v>
      </c>
      <c r="Q164" s="712">
        <v>1027.76</v>
      </c>
    </row>
    <row r="165" spans="1:17" ht="14.4" customHeight="1" x14ac:dyDescent="0.3">
      <c r="A165" s="695" t="s">
        <v>5342</v>
      </c>
      <c r="B165" s="696" t="s">
        <v>4891</v>
      </c>
      <c r="C165" s="696" t="s">
        <v>4103</v>
      </c>
      <c r="D165" s="696" t="s">
        <v>5368</v>
      </c>
      <c r="E165" s="696" t="s">
        <v>5369</v>
      </c>
      <c r="F165" s="711"/>
      <c r="G165" s="711"/>
      <c r="H165" s="711"/>
      <c r="I165" s="711"/>
      <c r="J165" s="711">
        <v>1</v>
      </c>
      <c r="K165" s="711">
        <v>17350</v>
      </c>
      <c r="L165" s="711"/>
      <c r="M165" s="711">
        <v>17350</v>
      </c>
      <c r="N165" s="711"/>
      <c r="O165" s="711"/>
      <c r="P165" s="701"/>
      <c r="Q165" s="712"/>
    </row>
    <row r="166" spans="1:17" ht="14.4" customHeight="1" x14ac:dyDescent="0.3">
      <c r="A166" s="695" t="s">
        <v>5342</v>
      </c>
      <c r="B166" s="696" t="s">
        <v>4891</v>
      </c>
      <c r="C166" s="696" t="s">
        <v>4103</v>
      </c>
      <c r="D166" s="696" t="s">
        <v>5370</v>
      </c>
      <c r="E166" s="696" t="s">
        <v>5371</v>
      </c>
      <c r="F166" s="711"/>
      <c r="G166" s="711"/>
      <c r="H166" s="711"/>
      <c r="I166" s="711"/>
      <c r="J166" s="711">
        <v>1</v>
      </c>
      <c r="K166" s="711">
        <v>3314.29</v>
      </c>
      <c r="L166" s="711"/>
      <c r="M166" s="711">
        <v>3314.29</v>
      </c>
      <c r="N166" s="711"/>
      <c r="O166" s="711"/>
      <c r="P166" s="701"/>
      <c r="Q166" s="712"/>
    </row>
    <row r="167" spans="1:17" ht="14.4" customHeight="1" x14ac:dyDescent="0.3">
      <c r="A167" s="695" t="s">
        <v>5342</v>
      </c>
      <c r="B167" s="696" t="s">
        <v>4891</v>
      </c>
      <c r="C167" s="696" t="s">
        <v>4103</v>
      </c>
      <c r="D167" s="696" t="s">
        <v>5372</v>
      </c>
      <c r="E167" s="696" t="s">
        <v>5373</v>
      </c>
      <c r="F167" s="711"/>
      <c r="G167" s="711"/>
      <c r="H167" s="711"/>
      <c r="I167" s="711"/>
      <c r="J167" s="711">
        <v>1</v>
      </c>
      <c r="K167" s="711">
        <v>11772</v>
      </c>
      <c r="L167" s="711"/>
      <c r="M167" s="711">
        <v>11772</v>
      </c>
      <c r="N167" s="711"/>
      <c r="O167" s="711"/>
      <c r="P167" s="701"/>
      <c r="Q167" s="712"/>
    </row>
    <row r="168" spans="1:17" ht="14.4" customHeight="1" x14ac:dyDescent="0.3">
      <c r="A168" s="695" t="s">
        <v>5342</v>
      </c>
      <c r="B168" s="696" t="s">
        <v>4891</v>
      </c>
      <c r="C168" s="696" t="s">
        <v>4103</v>
      </c>
      <c r="D168" s="696" t="s">
        <v>5374</v>
      </c>
      <c r="E168" s="696" t="s">
        <v>5375</v>
      </c>
      <c r="F168" s="711"/>
      <c r="G168" s="711"/>
      <c r="H168" s="711"/>
      <c r="I168" s="711"/>
      <c r="J168" s="711"/>
      <c r="K168" s="711"/>
      <c r="L168" s="711"/>
      <c r="M168" s="711"/>
      <c r="N168" s="711">
        <v>1</v>
      </c>
      <c r="O168" s="711">
        <v>166546.75</v>
      </c>
      <c r="P168" s="701"/>
      <c r="Q168" s="712">
        <v>166546.75</v>
      </c>
    </row>
    <row r="169" spans="1:17" ht="14.4" customHeight="1" x14ac:dyDescent="0.3">
      <c r="A169" s="695" t="s">
        <v>5342</v>
      </c>
      <c r="B169" s="696" t="s">
        <v>4891</v>
      </c>
      <c r="C169" s="696" t="s">
        <v>4103</v>
      </c>
      <c r="D169" s="696" t="s">
        <v>5376</v>
      </c>
      <c r="E169" s="696" t="s">
        <v>5377</v>
      </c>
      <c r="F169" s="711"/>
      <c r="G169" s="711"/>
      <c r="H169" s="711"/>
      <c r="I169" s="711"/>
      <c r="J169" s="711"/>
      <c r="K169" s="711"/>
      <c r="L169" s="711"/>
      <c r="M169" s="711"/>
      <c r="N169" s="711">
        <v>1</v>
      </c>
      <c r="O169" s="711">
        <v>3991.04</v>
      </c>
      <c r="P169" s="701"/>
      <c r="Q169" s="712">
        <v>3991.04</v>
      </c>
    </row>
    <row r="170" spans="1:17" ht="14.4" customHeight="1" x14ac:dyDescent="0.3">
      <c r="A170" s="695" t="s">
        <v>5342</v>
      </c>
      <c r="B170" s="696" t="s">
        <v>4891</v>
      </c>
      <c r="C170" s="696" t="s">
        <v>4103</v>
      </c>
      <c r="D170" s="696" t="s">
        <v>5378</v>
      </c>
      <c r="E170" s="696" t="s">
        <v>5379</v>
      </c>
      <c r="F170" s="711"/>
      <c r="G170" s="711"/>
      <c r="H170" s="711"/>
      <c r="I170" s="711"/>
      <c r="J170" s="711">
        <v>1</v>
      </c>
      <c r="K170" s="711">
        <v>6890.78</v>
      </c>
      <c r="L170" s="711"/>
      <c r="M170" s="711">
        <v>6890.78</v>
      </c>
      <c r="N170" s="711">
        <v>1</v>
      </c>
      <c r="O170" s="711">
        <v>6890.78</v>
      </c>
      <c r="P170" s="701"/>
      <c r="Q170" s="712">
        <v>6890.78</v>
      </c>
    </row>
    <row r="171" spans="1:17" ht="14.4" customHeight="1" x14ac:dyDescent="0.3">
      <c r="A171" s="695" t="s">
        <v>5342</v>
      </c>
      <c r="B171" s="696" t="s">
        <v>4891</v>
      </c>
      <c r="C171" s="696" t="s">
        <v>4103</v>
      </c>
      <c r="D171" s="696" t="s">
        <v>5380</v>
      </c>
      <c r="E171" s="696" t="s">
        <v>5381</v>
      </c>
      <c r="F171" s="711"/>
      <c r="G171" s="711"/>
      <c r="H171" s="711"/>
      <c r="I171" s="711"/>
      <c r="J171" s="711">
        <v>1</v>
      </c>
      <c r="K171" s="711">
        <v>1002.8</v>
      </c>
      <c r="L171" s="711"/>
      <c r="M171" s="711">
        <v>1002.8</v>
      </c>
      <c r="N171" s="711">
        <v>2</v>
      </c>
      <c r="O171" s="711">
        <v>2005.6</v>
      </c>
      <c r="P171" s="701"/>
      <c r="Q171" s="712">
        <v>1002.8</v>
      </c>
    </row>
    <row r="172" spans="1:17" ht="14.4" customHeight="1" x14ac:dyDescent="0.3">
      <c r="A172" s="695" t="s">
        <v>5342</v>
      </c>
      <c r="B172" s="696" t="s">
        <v>4891</v>
      </c>
      <c r="C172" s="696" t="s">
        <v>4103</v>
      </c>
      <c r="D172" s="696" t="s">
        <v>5382</v>
      </c>
      <c r="E172" s="696" t="s">
        <v>5383</v>
      </c>
      <c r="F172" s="711">
        <v>1</v>
      </c>
      <c r="G172" s="711">
        <v>5259.23</v>
      </c>
      <c r="H172" s="711">
        <v>1</v>
      </c>
      <c r="I172" s="711">
        <v>5259.23</v>
      </c>
      <c r="J172" s="711">
        <v>3</v>
      </c>
      <c r="K172" s="711">
        <v>15777.69</v>
      </c>
      <c r="L172" s="711">
        <v>3.0000000000000004</v>
      </c>
      <c r="M172" s="711">
        <v>5259.2300000000005</v>
      </c>
      <c r="N172" s="711">
        <v>4</v>
      </c>
      <c r="O172" s="711">
        <v>21036.92</v>
      </c>
      <c r="P172" s="701">
        <v>4</v>
      </c>
      <c r="Q172" s="712">
        <v>5259.23</v>
      </c>
    </row>
    <row r="173" spans="1:17" ht="14.4" customHeight="1" x14ac:dyDescent="0.3">
      <c r="A173" s="695" t="s">
        <v>5342</v>
      </c>
      <c r="B173" s="696" t="s">
        <v>4891</v>
      </c>
      <c r="C173" s="696" t="s">
        <v>4103</v>
      </c>
      <c r="D173" s="696" t="s">
        <v>5384</v>
      </c>
      <c r="E173" s="696" t="s">
        <v>5385</v>
      </c>
      <c r="F173" s="711"/>
      <c r="G173" s="711"/>
      <c r="H173" s="711"/>
      <c r="I173" s="711"/>
      <c r="J173" s="711"/>
      <c r="K173" s="711"/>
      <c r="L173" s="711"/>
      <c r="M173" s="711"/>
      <c r="N173" s="711">
        <v>1</v>
      </c>
      <c r="O173" s="711">
        <v>1497.44</v>
      </c>
      <c r="P173" s="701"/>
      <c r="Q173" s="712">
        <v>1497.44</v>
      </c>
    </row>
    <row r="174" spans="1:17" ht="14.4" customHeight="1" x14ac:dyDescent="0.3">
      <c r="A174" s="695" t="s">
        <v>5342</v>
      </c>
      <c r="B174" s="696" t="s">
        <v>4891</v>
      </c>
      <c r="C174" s="696" t="s">
        <v>4103</v>
      </c>
      <c r="D174" s="696" t="s">
        <v>5386</v>
      </c>
      <c r="E174" s="696" t="s">
        <v>5387</v>
      </c>
      <c r="F174" s="711"/>
      <c r="G174" s="711"/>
      <c r="H174" s="711"/>
      <c r="I174" s="711"/>
      <c r="J174" s="711"/>
      <c r="K174" s="711"/>
      <c r="L174" s="711"/>
      <c r="M174" s="711"/>
      <c r="N174" s="711">
        <v>1</v>
      </c>
      <c r="O174" s="711">
        <v>605.65</v>
      </c>
      <c r="P174" s="701"/>
      <c r="Q174" s="712">
        <v>605.65</v>
      </c>
    </row>
    <row r="175" spans="1:17" ht="14.4" customHeight="1" x14ac:dyDescent="0.3">
      <c r="A175" s="695" t="s">
        <v>5342</v>
      </c>
      <c r="B175" s="696" t="s">
        <v>4891</v>
      </c>
      <c r="C175" s="696" t="s">
        <v>4103</v>
      </c>
      <c r="D175" s="696" t="s">
        <v>5388</v>
      </c>
      <c r="E175" s="696" t="s">
        <v>5389</v>
      </c>
      <c r="F175" s="711"/>
      <c r="G175" s="711"/>
      <c r="H175" s="711"/>
      <c r="I175" s="711"/>
      <c r="J175" s="711">
        <v>1</v>
      </c>
      <c r="K175" s="711">
        <v>831.16</v>
      </c>
      <c r="L175" s="711"/>
      <c r="M175" s="711">
        <v>831.16</v>
      </c>
      <c r="N175" s="711"/>
      <c r="O175" s="711"/>
      <c r="P175" s="701"/>
      <c r="Q175" s="712"/>
    </row>
    <row r="176" spans="1:17" ht="14.4" customHeight="1" x14ac:dyDescent="0.3">
      <c r="A176" s="695" t="s">
        <v>5342</v>
      </c>
      <c r="B176" s="696" t="s">
        <v>4891</v>
      </c>
      <c r="C176" s="696" t="s">
        <v>4103</v>
      </c>
      <c r="D176" s="696" t="s">
        <v>5390</v>
      </c>
      <c r="E176" s="696" t="s">
        <v>5389</v>
      </c>
      <c r="F176" s="711">
        <v>2</v>
      </c>
      <c r="G176" s="711">
        <v>1776.12</v>
      </c>
      <c r="H176" s="711">
        <v>1</v>
      </c>
      <c r="I176" s="711">
        <v>888.06</v>
      </c>
      <c r="J176" s="711">
        <v>2</v>
      </c>
      <c r="K176" s="711">
        <v>1776.12</v>
      </c>
      <c r="L176" s="711">
        <v>1</v>
      </c>
      <c r="M176" s="711">
        <v>888.06</v>
      </c>
      <c r="N176" s="711">
        <v>5</v>
      </c>
      <c r="O176" s="711">
        <v>4440.2999999999993</v>
      </c>
      <c r="P176" s="701">
        <v>2.4999999999999996</v>
      </c>
      <c r="Q176" s="712">
        <v>888.05999999999983</v>
      </c>
    </row>
    <row r="177" spans="1:17" ht="14.4" customHeight="1" x14ac:dyDescent="0.3">
      <c r="A177" s="695" t="s">
        <v>5342</v>
      </c>
      <c r="B177" s="696" t="s">
        <v>4891</v>
      </c>
      <c r="C177" s="696" t="s">
        <v>4103</v>
      </c>
      <c r="D177" s="696" t="s">
        <v>5391</v>
      </c>
      <c r="E177" s="696" t="s">
        <v>5392</v>
      </c>
      <c r="F177" s="711">
        <v>2</v>
      </c>
      <c r="G177" s="711">
        <v>1776.12</v>
      </c>
      <c r="H177" s="711">
        <v>1</v>
      </c>
      <c r="I177" s="711">
        <v>888.06</v>
      </c>
      <c r="J177" s="711">
        <v>2</v>
      </c>
      <c r="K177" s="711">
        <v>1776.12</v>
      </c>
      <c r="L177" s="711">
        <v>1</v>
      </c>
      <c r="M177" s="711">
        <v>888.06</v>
      </c>
      <c r="N177" s="711">
        <v>3</v>
      </c>
      <c r="O177" s="711">
        <v>2664.18</v>
      </c>
      <c r="P177" s="701">
        <v>1.5</v>
      </c>
      <c r="Q177" s="712">
        <v>888.06</v>
      </c>
    </row>
    <row r="178" spans="1:17" ht="14.4" customHeight="1" x14ac:dyDescent="0.3">
      <c r="A178" s="695" t="s">
        <v>5342</v>
      </c>
      <c r="B178" s="696" t="s">
        <v>4891</v>
      </c>
      <c r="C178" s="696" t="s">
        <v>4103</v>
      </c>
      <c r="D178" s="696" t="s">
        <v>5393</v>
      </c>
      <c r="E178" s="696" t="s">
        <v>5394</v>
      </c>
      <c r="F178" s="711">
        <v>17</v>
      </c>
      <c r="G178" s="711">
        <v>66279.600000000006</v>
      </c>
      <c r="H178" s="711">
        <v>1</v>
      </c>
      <c r="I178" s="711">
        <v>3898.8</v>
      </c>
      <c r="J178" s="711">
        <v>17</v>
      </c>
      <c r="K178" s="711">
        <v>66279.600000000006</v>
      </c>
      <c r="L178" s="711">
        <v>1</v>
      </c>
      <c r="M178" s="711">
        <v>3898.8</v>
      </c>
      <c r="N178" s="711">
        <v>1</v>
      </c>
      <c r="O178" s="711">
        <v>3898.8</v>
      </c>
      <c r="P178" s="701">
        <v>5.8823529411764705E-2</v>
      </c>
      <c r="Q178" s="712">
        <v>3898.8</v>
      </c>
    </row>
    <row r="179" spans="1:17" ht="14.4" customHeight="1" x14ac:dyDescent="0.3">
      <c r="A179" s="695" t="s">
        <v>5342</v>
      </c>
      <c r="B179" s="696" t="s">
        <v>4891</v>
      </c>
      <c r="C179" s="696" t="s">
        <v>4103</v>
      </c>
      <c r="D179" s="696" t="s">
        <v>5395</v>
      </c>
      <c r="E179" s="696" t="s">
        <v>5396</v>
      </c>
      <c r="F179" s="711"/>
      <c r="G179" s="711"/>
      <c r="H179" s="711"/>
      <c r="I179" s="711"/>
      <c r="J179" s="711">
        <v>2</v>
      </c>
      <c r="K179" s="711">
        <v>44000</v>
      </c>
      <c r="L179" s="711"/>
      <c r="M179" s="711">
        <v>22000</v>
      </c>
      <c r="N179" s="711"/>
      <c r="O179" s="711"/>
      <c r="P179" s="701"/>
      <c r="Q179" s="712"/>
    </row>
    <row r="180" spans="1:17" ht="14.4" customHeight="1" x14ac:dyDescent="0.3">
      <c r="A180" s="695" t="s">
        <v>5342</v>
      </c>
      <c r="B180" s="696" t="s">
        <v>4891</v>
      </c>
      <c r="C180" s="696" t="s">
        <v>4103</v>
      </c>
      <c r="D180" s="696" t="s">
        <v>5397</v>
      </c>
      <c r="E180" s="696" t="s">
        <v>5398</v>
      </c>
      <c r="F180" s="711"/>
      <c r="G180" s="711"/>
      <c r="H180" s="711"/>
      <c r="I180" s="711"/>
      <c r="J180" s="711">
        <v>1</v>
      </c>
      <c r="K180" s="711">
        <v>1472.88</v>
      </c>
      <c r="L180" s="711"/>
      <c r="M180" s="711">
        <v>1472.88</v>
      </c>
      <c r="N180" s="711"/>
      <c r="O180" s="711"/>
      <c r="P180" s="701"/>
      <c r="Q180" s="712"/>
    </row>
    <row r="181" spans="1:17" ht="14.4" customHeight="1" x14ac:dyDescent="0.3">
      <c r="A181" s="695" t="s">
        <v>5342</v>
      </c>
      <c r="B181" s="696" t="s">
        <v>4891</v>
      </c>
      <c r="C181" s="696" t="s">
        <v>4103</v>
      </c>
      <c r="D181" s="696" t="s">
        <v>5399</v>
      </c>
      <c r="E181" s="696" t="s">
        <v>5400</v>
      </c>
      <c r="F181" s="711"/>
      <c r="G181" s="711"/>
      <c r="H181" s="711"/>
      <c r="I181" s="711"/>
      <c r="J181" s="711"/>
      <c r="K181" s="711"/>
      <c r="L181" s="711"/>
      <c r="M181" s="711"/>
      <c r="N181" s="711">
        <v>1</v>
      </c>
      <c r="O181" s="711">
        <v>1312.14</v>
      </c>
      <c r="P181" s="701"/>
      <c r="Q181" s="712">
        <v>1312.14</v>
      </c>
    </row>
    <row r="182" spans="1:17" ht="14.4" customHeight="1" x14ac:dyDescent="0.3">
      <c r="A182" s="695" t="s">
        <v>5342</v>
      </c>
      <c r="B182" s="696" t="s">
        <v>4891</v>
      </c>
      <c r="C182" s="696" t="s">
        <v>4103</v>
      </c>
      <c r="D182" s="696" t="s">
        <v>5401</v>
      </c>
      <c r="E182" s="696" t="s">
        <v>5402</v>
      </c>
      <c r="F182" s="711"/>
      <c r="G182" s="711"/>
      <c r="H182" s="711"/>
      <c r="I182" s="711"/>
      <c r="J182" s="711"/>
      <c r="K182" s="711"/>
      <c r="L182" s="711"/>
      <c r="M182" s="711"/>
      <c r="N182" s="711">
        <v>3</v>
      </c>
      <c r="O182" s="711">
        <v>10933.74</v>
      </c>
      <c r="P182" s="701"/>
      <c r="Q182" s="712">
        <v>3644.58</v>
      </c>
    </row>
    <row r="183" spans="1:17" ht="14.4" customHeight="1" x14ac:dyDescent="0.3">
      <c r="A183" s="695" t="s">
        <v>5342</v>
      </c>
      <c r="B183" s="696" t="s">
        <v>4891</v>
      </c>
      <c r="C183" s="696" t="s">
        <v>4103</v>
      </c>
      <c r="D183" s="696" t="s">
        <v>5403</v>
      </c>
      <c r="E183" s="696" t="s">
        <v>5404</v>
      </c>
      <c r="F183" s="711"/>
      <c r="G183" s="711"/>
      <c r="H183" s="711"/>
      <c r="I183" s="711"/>
      <c r="J183" s="711">
        <v>2</v>
      </c>
      <c r="K183" s="711">
        <v>2611.64</v>
      </c>
      <c r="L183" s="711"/>
      <c r="M183" s="711">
        <v>1305.82</v>
      </c>
      <c r="N183" s="711">
        <v>1</v>
      </c>
      <c r="O183" s="711">
        <v>1305.82</v>
      </c>
      <c r="P183" s="701"/>
      <c r="Q183" s="712">
        <v>1305.82</v>
      </c>
    </row>
    <row r="184" spans="1:17" ht="14.4" customHeight="1" x14ac:dyDescent="0.3">
      <c r="A184" s="695" t="s">
        <v>5342</v>
      </c>
      <c r="B184" s="696" t="s">
        <v>4891</v>
      </c>
      <c r="C184" s="696" t="s">
        <v>4103</v>
      </c>
      <c r="D184" s="696" t="s">
        <v>5405</v>
      </c>
      <c r="E184" s="696" t="s">
        <v>5406</v>
      </c>
      <c r="F184" s="711">
        <v>3</v>
      </c>
      <c r="G184" s="711">
        <v>1077.3000000000002</v>
      </c>
      <c r="H184" s="711">
        <v>1</v>
      </c>
      <c r="I184" s="711">
        <v>359.10000000000008</v>
      </c>
      <c r="J184" s="711">
        <v>5</v>
      </c>
      <c r="K184" s="711">
        <v>1795.5</v>
      </c>
      <c r="L184" s="711">
        <v>1.6666666666666663</v>
      </c>
      <c r="M184" s="711">
        <v>359.1</v>
      </c>
      <c r="N184" s="711">
        <v>4</v>
      </c>
      <c r="O184" s="711">
        <v>1436.4</v>
      </c>
      <c r="P184" s="701">
        <v>1.3333333333333333</v>
      </c>
      <c r="Q184" s="712">
        <v>359.1</v>
      </c>
    </row>
    <row r="185" spans="1:17" ht="14.4" customHeight="1" x14ac:dyDescent="0.3">
      <c r="A185" s="695" t="s">
        <v>5342</v>
      </c>
      <c r="B185" s="696" t="s">
        <v>4891</v>
      </c>
      <c r="C185" s="696" t="s">
        <v>4103</v>
      </c>
      <c r="D185" s="696" t="s">
        <v>5407</v>
      </c>
      <c r="E185" s="696" t="s">
        <v>5408</v>
      </c>
      <c r="F185" s="711"/>
      <c r="G185" s="711"/>
      <c r="H185" s="711"/>
      <c r="I185" s="711"/>
      <c r="J185" s="711"/>
      <c r="K185" s="711"/>
      <c r="L185" s="711"/>
      <c r="M185" s="711"/>
      <c r="N185" s="711">
        <v>1</v>
      </c>
      <c r="O185" s="711">
        <v>893.9</v>
      </c>
      <c r="P185" s="701"/>
      <c r="Q185" s="712">
        <v>893.9</v>
      </c>
    </row>
    <row r="186" spans="1:17" ht="14.4" customHeight="1" x14ac:dyDescent="0.3">
      <c r="A186" s="695" t="s">
        <v>5342</v>
      </c>
      <c r="B186" s="696" t="s">
        <v>4891</v>
      </c>
      <c r="C186" s="696" t="s">
        <v>4103</v>
      </c>
      <c r="D186" s="696" t="s">
        <v>5409</v>
      </c>
      <c r="E186" s="696" t="s">
        <v>5410</v>
      </c>
      <c r="F186" s="711">
        <v>2</v>
      </c>
      <c r="G186" s="711">
        <v>33663.379999999997</v>
      </c>
      <c r="H186" s="711">
        <v>1</v>
      </c>
      <c r="I186" s="711">
        <v>16831.689999999999</v>
      </c>
      <c r="J186" s="711">
        <v>2</v>
      </c>
      <c r="K186" s="711">
        <v>33663.379999999997</v>
      </c>
      <c r="L186" s="711">
        <v>1</v>
      </c>
      <c r="M186" s="711">
        <v>16831.689999999999</v>
      </c>
      <c r="N186" s="711">
        <v>2</v>
      </c>
      <c r="O186" s="711">
        <v>33663.379999999997</v>
      </c>
      <c r="P186" s="701">
        <v>1</v>
      </c>
      <c r="Q186" s="712">
        <v>16831.689999999999</v>
      </c>
    </row>
    <row r="187" spans="1:17" ht="14.4" customHeight="1" x14ac:dyDescent="0.3">
      <c r="A187" s="695" t="s">
        <v>5342</v>
      </c>
      <c r="B187" s="696" t="s">
        <v>4891</v>
      </c>
      <c r="C187" s="696" t="s">
        <v>4103</v>
      </c>
      <c r="D187" s="696" t="s">
        <v>5411</v>
      </c>
      <c r="E187" s="696" t="s">
        <v>5412</v>
      </c>
      <c r="F187" s="711">
        <v>2</v>
      </c>
      <c r="G187" s="711">
        <v>13174.26</v>
      </c>
      <c r="H187" s="711">
        <v>1</v>
      </c>
      <c r="I187" s="711">
        <v>6587.13</v>
      </c>
      <c r="J187" s="711">
        <v>1</v>
      </c>
      <c r="K187" s="711">
        <v>6587.13</v>
      </c>
      <c r="L187" s="711">
        <v>0.5</v>
      </c>
      <c r="M187" s="711">
        <v>6587.13</v>
      </c>
      <c r="N187" s="711">
        <v>3</v>
      </c>
      <c r="O187" s="711">
        <v>19761.39</v>
      </c>
      <c r="P187" s="701">
        <v>1.5</v>
      </c>
      <c r="Q187" s="712">
        <v>6587.13</v>
      </c>
    </row>
    <row r="188" spans="1:17" ht="14.4" customHeight="1" x14ac:dyDescent="0.3">
      <c r="A188" s="695" t="s">
        <v>5342</v>
      </c>
      <c r="B188" s="696" t="s">
        <v>4891</v>
      </c>
      <c r="C188" s="696" t="s">
        <v>4103</v>
      </c>
      <c r="D188" s="696" t="s">
        <v>5413</v>
      </c>
      <c r="E188" s="696" t="s">
        <v>5414</v>
      </c>
      <c r="F188" s="711">
        <v>2</v>
      </c>
      <c r="G188" s="711">
        <v>3618.62</v>
      </c>
      <c r="H188" s="711">
        <v>1</v>
      </c>
      <c r="I188" s="711">
        <v>1809.31</v>
      </c>
      <c r="J188" s="711"/>
      <c r="K188" s="711"/>
      <c r="L188" s="711"/>
      <c r="M188" s="711"/>
      <c r="N188" s="711">
        <v>3</v>
      </c>
      <c r="O188" s="711">
        <v>5524.86</v>
      </c>
      <c r="P188" s="701">
        <v>1.5267864545047558</v>
      </c>
      <c r="Q188" s="712">
        <v>1841.62</v>
      </c>
    </row>
    <row r="189" spans="1:17" ht="14.4" customHeight="1" x14ac:dyDescent="0.3">
      <c r="A189" s="695" t="s">
        <v>5342</v>
      </c>
      <c r="B189" s="696" t="s">
        <v>4891</v>
      </c>
      <c r="C189" s="696" t="s">
        <v>4103</v>
      </c>
      <c r="D189" s="696" t="s">
        <v>5415</v>
      </c>
      <c r="E189" s="696" t="s">
        <v>5416</v>
      </c>
      <c r="F189" s="711"/>
      <c r="G189" s="711"/>
      <c r="H189" s="711"/>
      <c r="I189" s="711"/>
      <c r="J189" s="711">
        <v>1</v>
      </c>
      <c r="K189" s="711">
        <v>26499.82</v>
      </c>
      <c r="L189" s="711"/>
      <c r="M189" s="711">
        <v>26499.82</v>
      </c>
      <c r="N189" s="711"/>
      <c r="O189" s="711"/>
      <c r="P189" s="701"/>
      <c r="Q189" s="712"/>
    </row>
    <row r="190" spans="1:17" ht="14.4" customHeight="1" x14ac:dyDescent="0.3">
      <c r="A190" s="695" t="s">
        <v>5342</v>
      </c>
      <c r="B190" s="696" t="s">
        <v>4891</v>
      </c>
      <c r="C190" s="696" t="s">
        <v>4103</v>
      </c>
      <c r="D190" s="696" t="s">
        <v>5417</v>
      </c>
      <c r="E190" s="696" t="s">
        <v>5418</v>
      </c>
      <c r="F190" s="711"/>
      <c r="G190" s="711"/>
      <c r="H190" s="711"/>
      <c r="I190" s="711"/>
      <c r="J190" s="711">
        <v>2</v>
      </c>
      <c r="K190" s="711">
        <v>6357.26</v>
      </c>
      <c r="L190" s="711"/>
      <c r="M190" s="711">
        <v>3178.63</v>
      </c>
      <c r="N190" s="711"/>
      <c r="O190" s="711"/>
      <c r="P190" s="701"/>
      <c r="Q190" s="712"/>
    </row>
    <row r="191" spans="1:17" ht="14.4" customHeight="1" x14ac:dyDescent="0.3">
      <c r="A191" s="695" t="s">
        <v>5342</v>
      </c>
      <c r="B191" s="696" t="s">
        <v>4891</v>
      </c>
      <c r="C191" s="696" t="s">
        <v>4103</v>
      </c>
      <c r="D191" s="696" t="s">
        <v>5419</v>
      </c>
      <c r="E191" s="696" t="s">
        <v>5420</v>
      </c>
      <c r="F191" s="711">
        <v>1</v>
      </c>
      <c r="G191" s="711">
        <v>4890.29</v>
      </c>
      <c r="H191" s="711">
        <v>1</v>
      </c>
      <c r="I191" s="711">
        <v>4890.29</v>
      </c>
      <c r="J191" s="711"/>
      <c r="K191" s="711"/>
      <c r="L191" s="711"/>
      <c r="M191" s="711"/>
      <c r="N191" s="711"/>
      <c r="O191" s="711"/>
      <c r="P191" s="701"/>
      <c r="Q191" s="712"/>
    </row>
    <row r="192" spans="1:17" ht="14.4" customHeight="1" x14ac:dyDescent="0.3">
      <c r="A192" s="695" t="s">
        <v>5342</v>
      </c>
      <c r="B192" s="696" t="s">
        <v>4891</v>
      </c>
      <c r="C192" s="696" t="s">
        <v>4103</v>
      </c>
      <c r="D192" s="696" t="s">
        <v>5421</v>
      </c>
      <c r="E192" s="696" t="s">
        <v>5422</v>
      </c>
      <c r="F192" s="711"/>
      <c r="G192" s="711"/>
      <c r="H192" s="711"/>
      <c r="I192" s="711"/>
      <c r="J192" s="711"/>
      <c r="K192" s="711"/>
      <c r="L192" s="711"/>
      <c r="M192" s="711"/>
      <c r="N192" s="711">
        <v>1</v>
      </c>
      <c r="O192" s="711">
        <v>7794.49</v>
      </c>
      <c r="P192" s="701"/>
      <c r="Q192" s="712">
        <v>7794.49</v>
      </c>
    </row>
    <row r="193" spans="1:17" ht="14.4" customHeight="1" x14ac:dyDescent="0.3">
      <c r="A193" s="695" t="s">
        <v>5342</v>
      </c>
      <c r="B193" s="696" t="s">
        <v>4891</v>
      </c>
      <c r="C193" s="696" t="s">
        <v>4103</v>
      </c>
      <c r="D193" s="696" t="s">
        <v>5423</v>
      </c>
      <c r="E193" s="696" t="s">
        <v>5424</v>
      </c>
      <c r="F193" s="711"/>
      <c r="G193" s="711"/>
      <c r="H193" s="711"/>
      <c r="I193" s="711"/>
      <c r="J193" s="711"/>
      <c r="K193" s="711"/>
      <c r="L193" s="711"/>
      <c r="M193" s="711"/>
      <c r="N193" s="711">
        <v>1</v>
      </c>
      <c r="O193" s="711">
        <v>29883.55</v>
      </c>
      <c r="P193" s="701"/>
      <c r="Q193" s="712">
        <v>29883.55</v>
      </c>
    </row>
    <row r="194" spans="1:17" ht="14.4" customHeight="1" x14ac:dyDescent="0.3">
      <c r="A194" s="695" t="s">
        <v>5342</v>
      </c>
      <c r="B194" s="696" t="s">
        <v>4891</v>
      </c>
      <c r="C194" s="696" t="s">
        <v>4114</v>
      </c>
      <c r="D194" s="696" t="s">
        <v>5425</v>
      </c>
      <c r="E194" s="696" t="s">
        <v>5426</v>
      </c>
      <c r="F194" s="711">
        <v>1</v>
      </c>
      <c r="G194" s="711">
        <v>149</v>
      </c>
      <c r="H194" s="711">
        <v>1</v>
      </c>
      <c r="I194" s="711">
        <v>149</v>
      </c>
      <c r="J194" s="711">
        <v>1</v>
      </c>
      <c r="K194" s="711">
        <v>150</v>
      </c>
      <c r="L194" s="711">
        <v>1.0067114093959733</v>
      </c>
      <c r="M194" s="711">
        <v>150</v>
      </c>
      <c r="N194" s="711"/>
      <c r="O194" s="711"/>
      <c r="P194" s="701"/>
      <c r="Q194" s="712"/>
    </row>
    <row r="195" spans="1:17" ht="14.4" customHeight="1" x14ac:dyDescent="0.3">
      <c r="A195" s="695" t="s">
        <v>5342</v>
      </c>
      <c r="B195" s="696" t="s">
        <v>4891</v>
      </c>
      <c r="C195" s="696" t="s">
        <v>4114</v>
      </c>
      <c r="D195" s="696" t="s">
        <v>5427</v>
      </c>
      <c r="E195" s="696" t="s">
        <v>5428</v>
      </c>
      <c r="F195" s="711">
        <v>3</v>
      </c>
      <c r="G195" s="711">
        <v>543</v>
      </c>
      <c r="H195" s="711">
        <v>1</v>
      </c>
      <c r="I195" s="711">
        <v>181</v>
      </c>
      <c r="J195" s="711"/>
      <c r="K195" s="711"/>
      <c r="L195" s="711"/>
      <c r="M195" s="711"/>
      <c r="N195" s="711"/>
      <c r="O195" s="711"/>
      <c r="P195" s="701"/>
      <c r="Q195" s="712"/>
    </row>
    <row r="196" spans="1:17" ht="14.4" customHeight="1" x14ac:dyDescent="0.3">
      <c r="A196" s="695" t="s">
        <v>5342</v>
      </c>
      <c r="B196" s="696" t="s">
        <v>4891</v>
      </c>
      <c r="C196" s="696" t="s">
        <v>4114</v>
      </c>
      <c r="D196" s="696" t="s">
        <v>5429</v>
      </c>
      <c r="E196" s="696" t="s">
        <v>5430</v>
      </c>
      <c r="F196" s="711">
        <v>7</v>
      </c>
      <c r="G196" s="711">
        <v>868</v>
      </c>
      <c r="H196" s="711">
        <v>1</v>
      </c>
      <c r="I196" s="711">
        <v>124</v>
      </c>
      <c r="J196" s="711">
        <v>8</v>
      </c>
      <c r="K196" s="711">
        <v>992</v>
      </c>
      <c r="L196" s="711">
        <v>1.1428571428571428</v>
      </c>
      <c r="M196" s="711">
        <v>124</v>
      </c>
      <c r="N196" s="711">
        <v>4</v>
      </c>
      <c r="O196" s="711">
        <v>497</v>
      </c>
      <c r="P196" s="701">
        <v>0.57258064516129037</v>
      </c>
      <c r="Q196" s="712">
        <v>124.25</v>
      </c>
    </row>
    <row r="197" spans="1:17" ht="14.4" customHeight="1" x14ac:dyDescent="0.3">
      <c r="A197" s="695" t="s">
        <v>5342</v>
      </c>
      <c r="B197" s="696" t="s">
        <v>4891</v>
      </c>
      <c r="C197" s="696" t="s">
        <v>4114</v>
      </c>
      <c r="D197" s="696" t="s">
        <v>5431</v>
      </c>
      <c r="E197" s="696" t="s">
        <v>5432</v>
      </c>
      <c r="F197" s="711">
        <v>28</v>
      </c>
      <c r="G197" s="711">
        <v>6048</v>
      </c>
      <c r="H197" s="711">
        <v>1</v>
      </c>
      <c r="I197" s="711">
        <v>216</v>
      </c>
      <c r="J197" s="711">
        <v>24</v>
      </c>
      <c r="K197" s="711">
        <v>5208</v>
      </c>
      <c r="L197" s="711">
        <v>0.86111111111111116</v>
      </c>
      <c r="M197" s="711">
        <v>217</v>
      </c>
      <c r="N197" s="711">
        <v>33</v>
      </c>
      <c r="O197" s="711">
        <v>7162</v>
      </c>
      <c r="P197" s="701">
        <v>1.1841931216931216</v>
      </c>
      <c r="Q197" s="712">
        <v>217.03030303030303</v>
      </c>
    </row>
    <row r="198" spans="1:17" ht="14.4" customHeight="1" x14ac:dyDescent="0.3">
      <c r="A198" s="695" t="s">
        <v>5342</v>
      </c>
      <c r="B198" s="696" t="s">
        <v>4891</v>
      </c>
      <c r="C198" s="696" t="s">
        <v>4114</v>
      </c>
      <c r="D198" s="696" t="s">
        <v>5433</v>
      </c>
      <c r="E198" s="696" t="s">
        <v>5434</v>
      </c>
      <c r="F198" s="711">
        <v>5</v>
      </c>
      <c r="G198" s="711">
        <v>1090</v>
      </c>
      <c r="H198" s="711">
        <v>1</v>
      </c>
      <c r="I198" s="711">
        <v>218</v>
      </c>
      <c r="J198" s="711">
        <v>7</v>
      </c>
      <c r="K198" s="711">
        <v>1533</v>
      </c>
      <c r="L198" s="711">
        <v>1.4064220183486238</v>
      </c>
      <c r="M198" s="711">
        <v>219</v>
      </c>
      <c r="N198" s="711">
        <v>5</v>
      </c>
      <c r="O198" s="711">
        <v>1096</v>
      </c>
      <c r="P198" s="701">
        <v>1.0055045871559634</v>
      </c>
      <c r="Q198" s="712">
        <v>219.2</v>
      </c>
    </row>
    <row r="199" spans="1:17" ht="14.4" customHeight="1" x14ac:dyDescent="0.3">
      <c r="A199" s="695" t="s">
        <v>5342</v>
      </c>
      <c r="B199" s="696" t="s">
        <v>4891</v>
      </c>
      <c r="C199" s="696" t="s">
        <v>4114</v>
      </c>
      <c r="D199" s="696" t="s">
        <v>5435</v>
      </c>
      <c r="E199" s="696" t="s">
        <v>5436</v>
      </c>
      <c r="F199" s="711">
        <v>2</v>
      </c>
      <c r="G199" s="711">
        <v>1216</v>
      </c>
      <c r="H199" s="711">
        <v>1</v>
      </c>
      <c r="I199" s="711">
        <v>608</v>
      </c>
      <c r="J199" s="711">
        <v>1</v>
      </c>
      <c r="K199" s="711">
        <v>609</v>
      </c>
      <c r="L199" s="711">
        <v>0.50082236842105265</v>
      </c>
      <c r="M199" s="711">
        <v>609</v>
      </c>
      <c r="N199" s="711"/>
      <c r="O199" s="711"/>
      <c r="P199" s="701"/>
      <c r="Q199" s="712"/>
    </row>
    <row r="200" spans="1:17" ht="14.4" customHeight="1" x14ac:dyDescent="0.3">
      <c r="A200" s="695" t="s">
        <v>5342</v>
      </c>
      <c r="B200" s="696" t="s">
        <v>4891</v>
      </c>
      <c r="C200" s="696" t="s">
        <v>4114</v>
      </c>
      <c r="D200" s="696" t="s">
        <v>5066</v>
      </c>
      <c r="E200" s="696" t="s">
        <v>5067</v>
      </c>
      <c r="F200" s="711"/>
      <c r="G200" s="711"/>
      <c r="H200" s="711"/>
      <c r="I200" s="711"/>
      <c r="J200" s="711">
        <v>1</v>
      </c>
      <c r="K200" s="711">
        <v>257</v>
      </c>
      <c r="L200" s="711"/>
      <c r="M200" s="711">
        <v>257</v>
      </c>
      <c r="N200" s="711">
        <v>1</v>
      </c>
      <c r="O200" s="711">
        <v>257</v>
      </c>
      <c r="P200" s="701"/>
      <c r="Q200" s="712">
        <v>257</v>
      </c>
    </row>
    <row r="201" spans="1:17" ht="14.4" customHeight="1" x14ac:dyDescent="0.3">
      <c r="A201" s="695" t="s">
        <v>5342</v>
      </c>
      <c r="B201" s="696" t="s">
        <v>4891</v>
      </c>
      <c r="C201" s="696" t="s">
        <v>4114</v>
      </c>
      <c r="D201" s="696" t="s">
        <v>5437</v>
      </c>
      <c r="E201" s="696" t="s">
        <v>5438</v>
      </c>
      <c r="F201" s="711">
        <v>1</v>
      </c>
      <c r="G201" s="711">
        <v>325</v>
      </c>
      <c r="H201" s="711">
        <v>1</v>
      </c>
      <c r="I201" s="711">
        <v>325</v>
      </c>
      <c r="J201" s="711"/>
      <c r="K201" s="711"/>
      <c r="L201" s="711"/>
      <c r="M201" s="711"/>
      <c r="N201" s="711">
        <v>3</v>
      </c>
      <c r="O201" s="711">
        <v>984</v>
      </c>
      <c r="P201" s="701">
        <v>3.0276923076923077</v>
      </c>
      <c r="Q201" s="712">
        <v>328</v>
      </c>
    </row>
    <row r="202" spans="1:17" ht="14.4" customHeight="1" x14ac:dyDescent="0.3">
      <c r="A202" s="695" t="s">
        <v>5342</v>
      </c>
      <c r="B202" s="696" t="s">
        <v>4891</v>
      </c>
      <c r="C202" s="696" t="s">
        <v>4114</v>
      </c>
      <c r="D202" s="696" t="s">
        <v>5439</v>
      </c>
      <c r="E202" s="696" t="s">
        <v>5440</v>
      </c>
      <c r="F202" s="711">
        <v>3</v>
      </c>
      <c r="G202" s="711">
        <v>12366</v>
      </c>
      <c r="H202" s="711">
        <v>1</v>
      </c>
      <c r="I202" s="711">
        <v>4122</v>
      </c>
      <c r="J202" s="711">
        <v>4</v>
      </c>
      <c r="K202" s="711">
        <v>16508</v>
      </c>
      <c r="L202" s="711">
        <v>1.3349506711952126</v>
      </c>
      <c r="M202" s="711">
        <v>4127</v>
      </c>
      <c r="N202" s="711">
        <v>4</v>
      </c>
      <c r="O202" s="711">
        <v>16508</v>
      </c>
      <c r="P202" s="701">
        <v>1.3349506711952126</v>
      </c>
      <c r="Q202" s="712">
        <v>4127</v>
      </c>
    </row>
    <row r="203" spans="1:17" ht="14.4" customHeight="1" x14ac:dyDescent="0.3">
      <c r="A203" s="695" t="s">
        <v>5342</v>
      </c>
      <c r="B203" s="696" t="s">
        <v>4891</v>
      </c>
      <c r="C203" s="696" t="s">
        <v>4114</v>
      </c>
      <c r="D203" s="696" t="s">
        <v>5441</v>
      </c>
      <c r="E203" s="696" t="s">
        <v>5442</v>
      </c>
      <c r="F203" s="711">
        <v>2</v>
      </c>
      <c r="G203" s="711">
        <v>554</v>
      </c>
      <c r="H203" s="711">
        <v>1</v>
      </c>
      <c r="I203" s="711">
        <v>277</v>
      </c>
      <c r="J203" s="711">
        <v>3</v>
      </c>
      <c r="K203" s="711">
        <v>834</v>
      </c>
      <c r="L203" s="711">
        <v>1.5054151624548737</v>
      </c>
      <c r="M203" s="711">
        <v>278</v>
      </c>
      <c r="N203" s="711">
        <v>5</v>
      </c>
      <c r="O203" s="711">
        <v>1392</v>
      </c>
      <c r="P203" s="701">
        <v>2.512635379061372</v>
      </c>
      <c r="Q203" s="712">
        <v>278.39999999999998</v>
      </c>
    </row>
    <row r="204" spans="1:17" ht="14.4" customHeight="1" x14ac:dyDescent="0.3">
      <c r="A204" s="695" t="s">
        <v>5342</v>
      </c>
      <c r="B204" s="696" t="s">
        <v>4891</v>
      </c>
      <c r="C204" s="696" t="s">
        <v>4114</v>
      </c>
      <c r="D204" s="696" t="s">
        <v>5443</v>
      </c>
      <c r="E204" s="696" t="s">
        <v>5444</v>
      </c>
      <c r="F204" s="711"/>
      <c r="G204" s="711"/>
      <c r="H204" s="711"/>
      <c r="I204" s="711"/>
      <c r="J204" s="711"/>
      <c r="K204" s="711"/>
      <c r="L204" s="711"/>
      <c r="M204" s="711"/>
      <c r="N204" s="711">
        <v>1</v>
      </c>
      <c r="O204" s="711">
        <v>6260</v>
      </c>
      <c r="P204" s="701"/>
      <c r="Q204" s="712">
        <v>6260</v>
      </c>
    </row>
    <row r="205" spans="1:17" ht="14.4" customHeight="1" x14ac:dyDescent="0.3">
      <c r="A205" s="695" t="s">
        <v>5342</v>
      </c>
      <c r="B205" s="696" t="s">
        <v>4891</v>
      </c>
      <c r="C205" s="696" t="s">
        <v>4114</v>
      </c>
      <c r="D205" s="696" t="s">
        <v>5445</v>
      </c>
      <c r="E205" s="696" t="s">
        <v>5446</v>
      </c>
      <c r="F205" s="711"/>
      <c r="G205" s="711"/>
      <c r="H205" s="711"/>
      <c r="I205" s="711"/>
      <c r="J205" s="711">
        <v>1</v>
      </c>
      <c r="K205" s="711">
        <v>1515</v>
      </c>
      <c r="L205" s="711"/>
      <c r="M205" s="711">
        <v>1515</v>
      </c>
      <c r="N205" s="711"/>
      <c r="O205" s="711"/>
      <c r="P205" s="701"/>
      <c r="Q205" s="712"/>
    </row>
    <row r="206" spans="1:17" ht="14.4" customHeight="1" x14ac:dyDescent="0.3">
      <c r="A206" s="695" t="s">
        <v>5342</v>
      </c>
      <c r="B206" s="696" t="s">
        <v>4891</v>
      </c>
      <c r="C206" s="696" t="s">
        <v>4114</v>
      </c>
      <c r="D206" s="696" t="s">
        <v>5447</v>
      </c>
      <c r="E206" s="696" t="s">
        <v>5448</v>
      </c>
      <c r="F206" s="711"/>
      <c r="G206" s="711"/>
      <c r="H206" s="711"/>
      <c r="I206" s="711"/>
      <c r="J206" s="711"/>
      <c r="K206" s="711"/>
      <c r="L206" s="711"/>
      <c r="M206" s="711"/>
      <c r="N206" s="711">
        <v>1</v>
      </c>
      <c r="O206" s="711">
        <v>15065</v>
      </c>
      <c r="P206" s="701"/>
      <c r="Q206" s="712">
        <v>15065</v>
      </c>
    </row>
    <row r="207" spans="1:17" ht="14.4" customHeight="1" x14ac:dyDescent="0.3">
      <c r="A207" s="695" t="s">
        <v>5342</v>
      </c>
      <c r="B207" s="696" t="s">
        <v>4891</v>
      </c>
      <c r="C207" s="696" t="s">
        <v>4114</v>
      </c>
      <c r="D207" s="696" t="s">
        <v>5449</v>
      </c>
      <c r="E207" s="696" t="s">
        <v>5450</v>
      </c>
      <c r="F207" s="711">
        <v>5</v>
      </c>
      <c r="G207" s="711">
        <v>19055</v>
      </c>
      <c r="H207" s="711">
        <v>1</v>
      </c>
      <c r="I207" s="711">
        <v>3811</v>
      </c>
      <c r="J207" s="711">
        <v>14</v>
      </c>
      <c r="K207" s="711">
        <v>53410</v>
      </c>
      <c r="L207" s="711">
        <v>2.8029388611912882</v>
      </c>
      <c r="M207" s="711">
        <v>3815</v>
      </c>
      <c r="N207" s="711">
        <v>13</v>
      </c>
      <c r="O207" s="711">
        <v>49607</v>
      </c>
      <c r="P207" s="701">
        <v>2.6033586985043295</v>
      </c>
      <c r="Q207" s="712">
        <v>3815.9230769230771</v>
      </c>
    </row>
    <row r="208" spans="1:17" ht="14.4" customHeight="1" x14ac:dyDescent="0.3">
      <c r="A208" s="695" t="s">
        <v>5342</v>
      </c>
      <c r="B208" s="696" t="s">
        <v>4891</v>
      </c>
      <c r="C208" s="696" t="s">
        <v>4114</v>
      </c>
      <c r="D208" s="696" t="s">
        <v>5451</v>
      </c>
      <c r="E208" s="696" t="s">
        <v>5452</v>
      </c>
      <c r="F208" s="711">
        <v>1</v>
      </c>
      <c r="G208" s="711">
        <v>5145</v>
      </c>
      <c r="H208" s="711">
        <v>1</v>
      </c>
      <c r="I208" s="711">
        <v>5145</v>
      </c>
      <c r="J208" s="711">
        <v>1</v>
      </c>
      <c r="K208" s="711">
        <v>5150</v>
      </c>
      <c r="L208" s="711">
        <v>1.0009718172983479</v>
      </c>
      <c r="M208" s="711">
        <v>5150</v>
      </c>
      <c r="N208" s="711">
        <v>3</v>
      </c>
      <c r="O208" s="711">
        <v>15450</v>
      </c>
      <c r="P208" s="701">
        <v>3.0029154518950438</v>
      </c>
      <c r="Q208" s="712">
        <v>5150</v>
      </c>
    </row>
    <row r="209" spans="1:17" ht="14.4" customHeight="1" x14ac:dyDescent="0.3">
      <c r="A209" s="695" t="s">
        <v>5342</v>
      </c>
      <c r="B209" s="696" t="s">
        <v>4891</v>
      </c>
      <c r="C209" s="696" t="s">
        <v>4114</v>
      </c>
      <c r="D209" s="696" t="s">
        <v>5453</v>
      </c>
      <c r="E209" s="696" t="s">
        <v>5454</v>
      </c>
      <c r="F209" s="711"/>
      <c r="G209" s="711"/>
      <c r="H209" s="711"/>
      <c r="I209" s="711"/>
      <c r="J209" s="711">
        <v>1</v>
      </c>
      <c r="K209" s="711">
        <v>7835</v>
      </c>
      <c r="L209" s="711"/>
      <c r="M209" s="711">
        <v>7835</v>
      </c>
      <c r="N209" s="711"/>
      <c r="O209" s="711"/>
      <c r="P209" s="701"/>
      <c r="Q209" s="712"/>
    </row>
    <row r="210" spans="1:17" ht="14.4" customHeight="1" x14ac:dyDescent="0.3">
      <c r="A210" s="695" t="s">
        <v>5342</v>
      </c>
      <c r="B210" s="696" t="s">
        <v>4891</v>
      </c>
      <c r="C210" s="696" t="s">
        <v>4114</v>
      </c>
      <c r="D210" s="696" t="s">
        <v>5455</v>
      </c>
      <c r="E210" s="696" t="s">
        <v>5456</v>
      </c>
      <c r="F210" s="711">
        <v>9</v>
      </c>
      <c r="G210" s="711">
        <v>11484</v>
      </c>
      <c r="H210" s="711">
        <v>1</v>
      </c>
      <c r="I210" s="711">
        <v>1276</v>
      </c>
      <c r="J210" s="711">
        <v>14</v>
      </c>
      <c r="K210" s="711">
        <v>17878</v>
      </c>
      <c r="L210" s="711">
        <v>1.5567746429815394</v>
      </c>
      <c r="M210" s="711">
        <v>1277</v>
      </c>
      <c r="N210" s="711">
        <v>18</v>
      </c>
      <c r="O210" s="711">
        <v>23004</v>
      </c>
      <c r="P210" s="701">
        <v>2.0031347962382444</v>
      </c>
      <c r="Q210" s="712">
        <v>1278</v>
      </c>
    </row>
    <row r="211" spans="1:17" ht="14.4" customHeight="1" x14ac:dyDescent="0.3">
      <c r="A211" s="695" t="s">
        <v>5342</v>
      </c>
      <c r="B211" s="696" t="s">
        <v>4891</v>
      </c>
      <c r="C211" s="696" t="s">
        <v>4114</v>
      </c>
      <c r="D211" s="696" t="s">
        <v>5457</v>
      </c>
      <c r="E211" s="696" t="s">
        <v>5458</v>
      </c>
      <c r="F211" s="711">
        <v>8</v>
      </c>
      <c r="G211" s="711">
        <v>9304</v>
      </c>
      <c r="H211" s="711">
        <v>1</v>
      </c>
      <c r="I211" s="711">
        <v>1163</v>
      </c>
      <c r="J211" s="711">
        <v>14</v>
      </c>
      <c r="K211" s="711">
        <v>16296</v>
      </c>
      <c r="L211" s="711">
        <v>1.7515047291487533</v>
      </c>
      <c r="M211" s="711">
        <v>1164</v>
      </c>
      <c r="N211" s="711">
        <v>10</v>
      </c>
      <c r="O211" s="711">
        <v>11642</v>
      </c>
      <c r="P211" s="701">
        <v>1.2512897678417885</v>
      </c>
      <c r="Q211" s="712">
        <v>1164.2</v>
      </c>
    </row>
    <row r="212" spans="1:17" ht="14.4" customHeight="1" x14ac:dyDescent="0.3">
      <c r="A212" s="695" t="s">
        <v>5342</v>
      </c>
      <c r="B212" s="696" t="s">
        <v>4891</v>
      </c>
      <c r="C212" s="696" t="s">
        <v>4114</v>
      </c>
      <c r="D212" s="696" t="s">
        <v>5459</v>
      </c>
      <c r="E212" s="696" t="s">
        <v>5460</v>
      </c>
      <c r="F212" s="711">
        <v>11</v>
      </c>
      <c r="G212" s="711">
        <v>55715</v>
      </c>
      <c r="H212" s="711">
        <v>1</v>
      </c>
      <c r="I212" s="711">
        <v>5065</v>
      </c>
      <c r="J212" s="711">
        <v>7</v>
      </c>
      <c r="K212" s="711">
        <v>35476</v>
      </c>
      <c r="L212" s="711">
        <v>0.63674055460827428</v>
      </c>
      <c r="M212" s="711">
        <v>5068</v>
      </c>
      <c r="N212" s="711">
        <v>6</v>
      </c>
      <c r="O212" s="711">
        <v>30426</v>
      </c>
      <c r="P212" s="701">
        <v>0.54610069101678183</v>
      </c>
      <c r="Q212" s="712">
        <v>5071</v>
      </c>
    </row>
    <row r="213" spans="1:17" ht="14.4" customHeight="1" x14ac:dyDescent="0.3">
      <c r="A213" s="695" t="s">
        <v>5342</v>
      </c>
      <c r="B213" s="696" t="s">
        <v>4891</v>
      </c>
      <c r="C213" s="696" t="s">
        <v>4114</v>
      </c>
      <c r="D213" s="696" t="s">
        <v>5461</v>
      </c>
      <c r="E213" s="696" t="s">
        <v>5462</v>
      </c>
      <c r="F213" s="711"/>
      <c r="G213" s="711"/>
      <c r="H213" s="711"/>
      <c r="I213" s="711"/>
      <c r="J213" s="711">
        <v>1</v>
      </c>
      <c r="K213" s="711">
        <v>7673</v>
      </c>
      <c r="L213" s="711"/>
      <c r="M213" s="711">
        <v>7673</v>
      </c>
      <c r="N213" s="711"/>
      <c r="O213" s="711"/>
      <c r="P213" s="701"/>
      <c r="Q213" s="712"/>
    </row>
    <row r="214" spans="1:17" ht="14.4" customHeight="1" x14ac:dyDescent="0.3">
      <c r="A214" s="695" t="s">
        <v>5342</v>
      </c>
      <c r="B214" s="696" t="s">
        <v>4891</v>
      </c>
      <c r="C214" s="696" t="s">
        <v>4114</v>
      </c>
      <c r="D214" s="696" t="s">
        <v>4155</v>
      </c>
      <c r="E214" s="696" t="s">
        <v>4156</v>
      </c>
      <c r="F214" s="711"/>
      <c r="G214" s="711"/>
      <c r="H214" s="711"/>
      <c r="I214" s="711"/>
      <c r="J214" s="711"/>
      <c r="K214" s="711"/>
      <c r="L214" s="711"/>
      <c r="M214" s="711"/>
      <c r="N214" s="711">
        <v>3</v>
      </c>
      <c r="O214" s="711">
        <v>2233</v>
      </c>
      <c r="P214" s="701"/>
      <c r="Q214" s="712">
        <v>744.33333333333337</v>
      </c>
    </row>
    <row r="215" spans="1:17" ht="14.4" customHeight="1" x14ac:dyDescent="0.3">
      <c r="A215" s="695" t="s">
        <v>5342</v>
      </c>
      <c r="B215" s="696" t="s">
        <v>4891</v>
      </c>
      <c r="C215" s="696" t="s">
        <v>4114</v>
      </c>
      <c r="D215" s="696" t="s">
        <v>5463</v>
      </c>
      <c r="E215" s="696" t="s">
        <v>5464</v>
      </c>
      <c r="F215" s="711">
        <v>309</v>
      </c>
      <c r="G215" s="711">
        <v>53148</v>
      </c>
      <c r="H215" s="711">
        <v>1</v>
      </c>
      <c r="I215" s="711">
        <v>172</v>
      </c>
      <c r="J215" s="711">
        <v>333</v>
      </c>
      <c r="K215" s="711">
        <v>57609</v>
      </c>
      <c r="L215" s="711">
        <v>1.0839354256039737</v>
      </c>
      <c r="M215" s="711">
        <v>173</v>
      </c>
      <c r="N215" s="711">
        <v>337</v>
      </c>
      <c r="O215" s="711">
        <v>58454</v>
      </c>
      <c r="P215" s="701">
        <v>1.0998344246255738</v>
      </c>
      <c r="Q215" s="712">
        <v>173.45400593471811</v>
      </c>
    </row>
    <row r="216" spans="1:17" ht="14.4" customHeight="1" x14ac:dyDescent="0.3">
      <c r="A216" s="695" t="s">
        <v>5342</v>
      </c>
      <c r="B216" s="696" t="s">
        <v>4891</v>
      </c>
      <c r="C216" s="696" t="s">
        <v>4114</v>
      </c>
      <c r="D216" s="696" t="s">
        <v>5465</v>
      </c>
      <c r="E216" s="696" t="s">
        <v>5466</v>
      </c>
      <c r="F216" s="711">
        <v>77</v>
      </c>
      <c r="G216" s="711">
        <v>153538</v>
      </c>
      <c r="H216" s="711">
        <v>1</v>
      </c>
      <c r="I216" s="711">
        <v>1994</v>
      </c>
      <c r="J216" s="711">
        <v>67</v>
      </c>
      <c r="K216" s="711">
        <v>133732</v>
      </c>
      <c r="L216" s="711">
        <v>0.87100261824434344</v>
      </c>
      <c r="M216" s="711">
        <v>1996</v>
      </c>
      <c r="N216" s="711">
        <v>76</v>
      </c>
      <c r="O216" s="711">
        <v>151777</v>
      </c>
      <c r="P216" s="701">
        <v>0.98853052664486962</v>
      </c>
      <c r="Q216" s="712">
        <v>1997.0657894736842</v>
      </c>
    </row>
    <row r="217" spans="1:17" ht="14.4" customHeight="1" x14ac:dyDescent="0.3">
      <c r="A217" s="695" t="s">
        <v>5342</v>
      </c>
      <c r="B217" s="696" t="s">
        <v>4891</v>
      </c>
      <c r="C217" s="696" t="s">
        <v>4114</v>
      </c>
      <c r="D217" s="696" t="s">
        <v>5467</v>
      </c>
      <c r="E217" s="696" t="s">
        <v>5468</v>
      </c>
      <c r="F217" s="711">
        <v>2</v>
      </c>
      <c r="G217" s="711">
        <v>5382</v>
      </c>
      <c r="H217" s="711">
        <v>1</v>
      </c>
      <c r="I217" s="711">
        <v>2691</v>
      </c>
      <c r="J217" s="711">
        <v>4</v>
      </c>
      <c r="K217" s="711">
        <v>10768</v>
      </c>
      <c r="L217" s="711">
        <v>2.0007432181345224</v>
      </c>
      <c r="M217" s="711">
        <v>2692</v>
      </c>
      <c r="N217" s="711">
        <v>1</v>
      </c>
      <c r="O217" s="711">
        <v>2692</v>
      </c>
      <c r="P217" s="701">
        <v>0.5001858045336306</v>
      </c>
      <c r="Q217" s="712">
        <v>2692</v>
      </c>
    </row>
    <row r="218" spans="1:17" ht="14.4" customHeight="1" x14ac:dyDescent="0.3">
      <c r="A218" s="695" t="s">
        <v>5342</v>
      </c>
      <c r="B218" s="696" t="s">
        <v>4891</v>
      </c>
      <c r="C218" s="696" t="s">
        <v>4114</v>
      </c>
      <c r="D218" s="696" t="s">
        <v>5469</v>
      </c>
      <c r="E218" s="696" t="s">
        <v>5470</v>
      </c>
      <c r="F218" s="711">
        <v>1</v>
      </c>
      <c r="G218" s="711">
        <v>5177</v>
      </c>
      <c r="H218" s="711">
        <v>1</v>
      </c>
      <c r="I218" s="711">
        <v>5177</v>
      </c>
      <c r="J218" s="711">
        <v>1</v>
      </c>
      <c r="K218" s="711">
        <v>5180</v>
      </c>
      <c r="L218" s="711">
        <v>1.0005794861889126</v>
      </c>
      <c r="M218" s="711">
        <v>5180</v>
      </c>
      <c r="N218" s="711">
        <v>1</v>
      </c>
      <c r="O218" s="711">
        <v>5180</v>
      </c>
      <c r="P218" s="701">
        <v>1.0005794861889126</v>
      </c>
      <c r="Q218" s="712">
        <v>5180</v>
      </c>
    </row>
    <row r="219" spans="1:17" ht="14.4" customHeight="1" x14ac:dyDescent="0.3">
      <c r="A219" s="695" t="s">
        <v>5342</v>
      </c>
      <c r="B219" s="696" t="s">
        <v>4891</v>
      </c>
      <c r="C219" s="696" t="s">
        <v>4114</v>
      </c>
      <c r="D219" s="696" t="s">
        <v>5471</v>
      </c>
      <c r="E219" s="696" t="s">
        <v>5472</v>
      </c>
      <c r="F219" s="711">
        <v>2</v>
      </c>
      <c r="G219" s="711">
        <v>1314</v>
      </c>
      <c r="H219" s="711">
        <v>1</v>
      </c>
      <c r="I219" s="711">
        <v>657</v>
      </c>
      <c r="J219" s="711">
        <v>1</v>
      </c>
      <c r="K219" s="711">
        <v>658</v>
      </c>
      <c r="L219" s="711">
        <v>0.50076103500761038</v>
      </c>
      <c r="M219" s="711">
        <v>658</v>
      </c>
      <c r="N219" s="711"/>
      <c r="O219" s="711"/>
      <c r="P219" s="701"/>
      <c r="Q219" s="712"/>
    </row>
    <row r="220" spans="1:17" ht="14.4" customHeight="1" x14ac:dyDescent="0.3">
      <c r="A220" s="695" t="s">
        <v>5342</v>
      </c>
      <c r="B220" s="696" t="s">
        <v>4891</v>
      </c>
      <c r="C220" s="696" t="s">
        <v>4114</v>
      </c>
      <c r="D220" s="696" t="s">
        <v>5473</v>
      </c>
      <c r="E220" s="696" t="s">
        <v>5474</v>
      </c>
      <c r="F220" s="711"/>
      <c r="G220" s="711"/>
      <c r="H220" s="711"/>
      <c r="I220" s="711"/>
      <c r="J220" s="711"/>
      <c r="K220" s="711"/>
      <c r="L220" s="711"/>
      <c r="M220" s="711"/>
      <c r="N220" s="711">
        <v>1</v>
      </c>
      <c r="O220" s="711">
        <v>2076</v>
      </c>
      <c r="P220" s="701"/>
      <c r="Q220" s="712">
        <v>2076</v>
      </c>
    </row>
    <row r="221" spans="1:17" ht="14.4" customHeight="1" x14ac:dyDescent="0.3">
      <c r="A221" s="695" t="s">
        <v>5342</v>
      </c>
      <c r="B221" s="696" t="s">
        <v>4891</v>
      </c>
      <c r="C221" s="696" t="s">
        <v>4114</v>
      </c>
      <c r="D221" s="696" t="s">
        <v>5475</v>
      </c>
      <c r="E221" s="696" t="s">
        <v>5476</v>
      </c>
      <c r="F221" s="711">
        <v>8</v>
      </c>
      <c r="G221" s="711">
        <v>1192</v>
      </c>
      <c r="H221" s="711">
        <v>1</v>
      </c>
      <c r="I221" s="711">
        <v>149</v>
      </c>
      <c r="J221" s="711">
        <v>2</v>
      </c>
      <c r="K221" s="711">
        <v>300</v>
      </c>
      <c r="L221" s="711">
        <v>0.25167785234899331</v>
      </c>
      <c r="M221" s="711">
        <v>150</v>
      </c>
      <c r="N221" s="711">
        <v>4</v>
      </c>
      <c r="O221" s="711">
        <v>602</v>
      </c>
      <c r="P221" s="701">
        <v>0.50503355704697983</v>
      </c>
      <c r="Q221" s="712">
        <v>150.5</v>
      </c>
    </row>
    <row r="222" spans="1:17" ht="14.4" customHeight="1" x14ac:dyDescent="0.3">
      <c r="A222" s="695" t="s">
        <v>5342</v>
      </c>
      <c r="B222" s="696" t="s">
        <v>4891</v>
      </c>
      <c r="C222" s="696" t="s">
        <v>4114</v>
      </c>
      <c r="D222" s="696" t="s">
        <v>5477</v>
      </c>
      <c r="E222" s="696" t="s">
        <v>5478</v>
      </c>
      <c r="F222" s="711">
        <v>1</v>
      </c>
      <c r="G222" s="711">
        <v>192</v>
      </c>
      <c r="H222" s="711">
        <v>1</v>
      </c>
      <c r="I222" s="711">
        <v>192</v>
      </c>
      <c r="J222" s="711">
        <v>1</v>
      </c>
      <c r="K222" s="711">
        <v>193</v>
      </c>
      <c r="L222" s="711">
        <v>1.0052083333333333</v>
      </c>
      <c r="M222" s="711">
        <v>193</v>
      </c>
      <c r="N222" s="711">
        <v>2</v>
      </c>
      <c r="O222" s="711">
        <v>386</v>
      </c>
      <c r="P222" s="701">
        <v>2.0104166666666665</v>
      </c>
      <c r="Q222" s="712">
        <v>193</v>
      </c>
    </row>
    <row r="223" spans="1:17" ht="14.4" customHeight="1" x14ac:dyDescent="0.3">
      <c r="A223" s="695" t="s">
        <v>5342</v>
      </c>
      <c r="B223" s="696" t="s">
        <v>4891</v>
      </c>
      <c r="C223" s="696" t="s">
        <v>4114</v>
      </c>
      <c r="D223" s="696" t="s">
        <v>5081</v>
      </c>
      <c r="E223" s="696" t="s">
        <v>5082</v>
      </c>
      <c r="F223" s="711">
        <v>132</v>
      </c>
      <c r="G223" s="711">
        <v>26004</v>
      </c>
      <c r="H223" s="711">
        <v>1</v>
      </c>
      <c r="I223" s="711">
        <v>197</v>
      </c>
      <c r="J223" s="711">
        <v>22</v>
      </c>
      <c r="K223" s="711">
        <v>4356</v>
      </c>
      <c r="L223" s="711">
        <v>0.16751269035532995</v>
      </c>
      <c r="M223" s="711">
        <v>198</v>
      </c>
      <c r="N223" s="711">
        <v>41</v>
      </c>
      <c r="O223" s="711">
        <v>8118</v>
      </c>
      <c r="P223" s="701">
        <v>0.31218274111675126</v>
      </c>
      <c r="Q223" s="712">
        <v>198</v>
      </c>
    </row>
    <row r="224" spans="1:17" ht="14.4" customHeight="1" x14ac:dyDescent="0.3">
      <c r="A224" s="695" t="s">
        <v>5342</v>
      </c>
      <c r="B224" s="696" t="s">
        <v>4891</v>
      </c>
      <c r="C224" s="696" t="s">
        <v>4114</v>
      </c>
      <c r="D224" s="696" t="s">
        <v>5479</v>
      </c>
      <c r="E224" s="696" t="s">
        <v>5480</v>
      </c>
      <c r="F224" s="711">
        <v>3</v>
      </c>
      <c r="G224" s="711">
        <v>1242</v>
      </c>
      <c r="H224" s="711">
        <v>1</v>
      </c>
      <c r="I224" s="711">
        <v>414</v>
      </c>
      <c r="J224" s="711">
        <v>2</v>
      </c>
      <c r="K224" s="711">
        <v>830</v>
      </c>
      <c r="L224" s="711">
        <v>0.66827697262479868</v>
      </c>
      <c r="M224" s="711">
        <v>415</v>
      </c>
      <c r="N224" s="711"/>
      <c r="O224" s="711"/>
      <c r="P224" s="701"/>
      <c r="Q224" s="712"/>
    </row>
    <row r="225" spans="1:17" ht="14.4" customHeight="1" x14ac:dyDescent="0.3">
      <c r="A225" s="695" t="s">
        <v>5342</v>
      </c>
      <c r="B225" s="696" t="s">
        <v>4891</v>
      </c>
      <c r="C225" s="696" t="s">
        <v>4114</v>
      </c>
      <c r="D225" s="696" t="s">
        <v>5481</v>
      </c>
      <c r="E225" s="696" t="s">
        <v>5482</v>
      </c>
      <c r="F225" s="711"/>
      <c r="G225" s="711"/>
      <c r="H225" s="711"/>
      <c r="I225" s="711"/>
      <c r="J225" s="711">
        <v>2</v>
      </c>
      <c r="K225" s="711">
        <v>850</v>
      </c>
      <c r="L225" s="711"/>
      <c r="M225" s="711">
        <v>425</v>
      </c>
      <c r="N225" s="711">
        <v>1</v>
      </c>
      <c r="O225" s="711">
        <v>427</v>
      </c>
      <c r="P225" s="701"/>
      <c r="Q225" s="712">
        <v>427</v>
      </c>
    </row>
    <row r="226" spans="1:17" ht="14.4" customHeight="1" x14ac:dyDescent="0.3">
      <c r="A226" s="695" t="s">
        <v>5342</v>
      </c>
      <c r="B226" s="696" t="s">
        <v>4891</v>
      </c>
      <c r="C226" s="696" t="s">
        <v>4114</v>
      </c>
      <c r="D226" s="696" t="s">
        <v>5483</v>
      </c>
      <c r="E226" s="696" t="s">
        <v>5484</v>
      </c>
      <c r="F226" s="711">
        <v>23</v>
      </c>
      <c r="G226" s="711">
        <v>48668</v>
      </c>
      <c r="H226" s="711">
        <v>1</v>
      </c>
      <c r="I226" s="711">
        <v>2116</v>
      </c>
      <c r="J226" s="711">
        <v>76</v>
      </c>
      <c r="K226" s="711">
        <v>160968</v>
      </c>
      <c r="L226" s="711">
        <v>3.3074710281910082</v>
      </c>
      <c r="M226" s="711">
        <v>2118</v>
      </c>
      <c r="N226" s="711">
        <v>71</v>
      </c>
      <c r="O226" s="711">
        <v>150483</v>
      </c>
      <c r="P226" s="701">
        <v>3.0920317251582148</v>
      </c>
      <c r="Q226" s="712">
        <v>2119.4788732394368</v>
      </c>
    </row>
    <row r="227" spans="1:17" ht="14.4" customHeight="1" x14ac:dyDescent="0.3">
      <c r="A227" s="695" t="s">
        <v>5342</v>
      </c>
      <c r="B227" s="696" t="s">
        <v>4891</v>
      </c>
      <c r="C227" s="696" t="s">
        <v>4114</v>
      </c>
      <c r="D227" s="696" t="s">
        <v>5485</v>
      </c>
      <c r="E227" s="696" t="s">
        <v>5450</v>
      </c>
      <c r="F227" s="711">
        <v>12</v>
      </c>
      <c r="G227" s="711">
        <v>22344</v>
      </c>
      <c r="H227" s="711">
        <v>1</v>
      </c>
      <c r="I227" s="711">
        <v>1862</v>
      </c>
      <c r="J227" s="711">
        <v>14</v>
      </c>
      <c r="K227" s="711">
        <v>26096</v>
      </c>
      <c r="L227" s="711">
        <v>1.1679197994987469</v>
      </c>
      <c r="M227" s="711">
        <v>1864</v>
      </c>
      <c r="N227" s="711">
        <v>18</v>
      </c>
      <c r="O227" s="711">
        <v>33567</v>
      </c>
      <c r="P227" s="701">
        <v>1.502282491944146</v>
      </c>
      <c r="Q227" s="712">
        <v>1864.8333333333333</v>
      </c>
    </row>
    <row r="228" spans="1:17" ht="14.4" customHeight="1" x14ac:dyDescent="0.3">
      <c r="A228" s="695" t="s">
        <v>5342</v>
      </c>
      <c r="B228" s="696" t="s">
        <v>4891</v>
      </c>
      <c r="C228" s="696" t="s">
        <v>4114</v>
      </c>
      <c r="D228" s="696" t="s">
        <v>5486</v>
      </c>
      <c r="E228" s="696" t="s">
        <v>5487</v>
      </c>
      <c r="F228" s="711">
        <v>1</v>
      </c>
      <c r="G228" s="711">
        <v>157</v>
      </c>
      <c r="H228" s="711">
        <v>1</v>
      </c>
      <c r="I228" s="711">
        <v>157</v>
      </c>
      <c r="J228" s="711"/>
      <c r="K228" s="711"/>
      <c r="L228" s="711"/>
      <c r="M228" s="711"/>
      <c r="N228" s="711"/>
      <c r="O228" s="711"/>
      <c r="P228" s="701"/>
      <c r="Q228" s="712"/>
    </row>
    <row r="229" spans="1:17" ht="14.4" customHeight="1" x14ac:dyDescent="0.3">
      <c r="A229" s="695" t="s">
        <v>5342</v>
      </c>
      <c r="B229" s="696" t="s">
        <v>4891</v>
      </c>
      <c r="C229" s="696" t="s">
        <v>4114</v>
      </c>
      <c r="D229" s="696" t="s">
        <v>5488</v>
      </c>
      <c r="E229" s="696" t="s">
        <v>5489</v>
      </c>
      <c r="F229" s="711"/>
      <c r="G229" s="711"/>
      <c r="H229" s="711"/>
      <c r="I229" s="711"/>
      <c r="J229" s="711"/>
      <c r="K229" s="711"/>
      <c r="L229" s="711"/>
      <c r="M229" s="711"/>
      <c r="N229" s="711">
        <v>1</v>
      </c>
      <c r="O229" s="711">
        <v>9711</v>
      </c>
      <c r="P229" s="701"/>
      <c r="Q229" s="712">
        <v>9711</v>
      </c>
    </row>
    <row r="230" spans="1:17" ht="14.4" customHeight="1" x14ac:dyDescent="0.3">
      <c r="A230" s="695" t="s">
        <v>5342</v>
      </c>
      <c r="B230" s="696" t="s">
        <v>4891</v>
      </c>
      <c r="C230" s="696" t="s">
        <v>4114</v>
      </c>
      <c r="D230" s="696" t="s">
        <v>5490</v>
      </c>
      <c r="E230" s="696" t="s">
        <v>5491</v>
      </c>
      <c r="F230" s="711">
        <v>18</v>
      </c>
      <c r="G230" s="711">
        <v>150804</v>
      </c>
      <c r="H230" s="711">
        <v>1</v>
      </c>
      <c r="I230" s="711">
        <v>8378</v>
      </c>
      <c r="J230" s="711">
        <v>17</v>
      </c>
      <c r="K230" s="711">
        <v>142528</v>
      </c>
      <c r="L230" s="711">
        <v>0.9451208190764171</v>
      </c>
      <c r="M230" s="711">
        <v>8384</v>
      </c>
      <c r="N230" s="711">
        <v>19</v>
      </c>
      <c r="O230" s="711">
        <v>159406</v>
      </c>
      <c r="P230" s="701">
        <v>1.0570409272963581</v>
      </c>
      <c r="Q230" s="712">
        <v>8389.78947368421</v>
      </c>
    </row>
    <row r="231" spans="1:17" ht="14.4" customHeight="1" x14ac:dyDescent="0.3">
      <c r="A231" s="695" t="s">
        <v>5342</v>
      </c>
      <c r="B231" s="696" t="s">
        <v>4891</v>
      </c>
      <c r="C231" s="696" t="s">
        <v>4114</v>
      </c>
      <c r="D231" s="696" t="s">
        <v>5492</v>
      </c>
      <c r="E231" s="696" t="s">
        <v>5493</v>
      </c>
      <c r="F231" s="711">
        <v>3</v>
      </c>
      <c r="G231" s="711">
        <v>5964</v>
      </c>
      <c r="H231" s="711">
        <v>1</v>
      </c>
      <c r="I231" s="711">
        <v>1988</v>
      </c>
      <c r="J231" s="711"/>
      <c r="K231" s="711"/>
      <c r="L231" s="711"/>
      <c r="M231" s="711"/>
      <c r="N231" s="711">
        <v>2</v>
      </c>
      <c r="O231" s="711">
        <v>3986</v>
      </c>
      <c r="P231" s="701">
        <v>0.66834339369550633</v>
      </c>
      <c r="Q231" s="712">
        <v>1993</v>
      </c>
    </row>
    <row r="232" spans="1:17" ht="14.4" customHeight="1" x14ac:dyDescent="0.3">
      <c r="A232" s="695" t="s">
        <v>5342</v>
      </c>
      <c r="B232" s="696" t="s">
        <v>4891</v>
      </c>
      <c r="C232" s="696" t="s">
        <v>4114</v>
      </c>
      <c r="D232" s="696" t="s">
        <v>5494</v>
      </c>
      <c r="E232" s="696" t="s">
        <v>5495</v>
      </c>
      <c r="F232" s="711"/>
      <c r="G232" s="711"/>
      <c r="H232" s="711"/>
      <c r="I232" s="711"/>
      <c r="J232" s="711">
        <v>2</v>
      </c>
      <c r="K232" s="711">
        <v>1828</v>
      </c>
      <c r="L232" s="711"/>
      <c r="M232" s="711">
        <v>914</v>
      </c>
      <c r="N232" s="711"/>
      <c r="O232" s="711"/>
      <c r="P232" s="701"/>
      <c r="Q232" s="712"/>
    </row>
    <row r="233" spans="1:17" ht="14.4" customHeight="1" x14ac:dyDescent="0.3">
      <c r="A233" s="695" t="s">
        <v>5496</v>
      </c>
      <c r="B233" s="696" t="s">
        <v>5497</v>
      </c>
      <c r="C233" s="696" t="s">
        <v>4114</v>
      </c>
      <c r="D233" s="696" t="s">
        <v>5498</v>
      </c>
      <c r="E233" s="696" t="s">
        <v>5499</v>
      </c>
      <c r="F233" s="711">
        <v>309</v>
      </c>
      <c r="G233" s="711">
        <v>62418</v>
      </c>
      <c r="H233" s="711">
        <v>1</v>
      </c>
      <c r="I233" s="711">
        <v>202</v>
      </c>
      <c r="J233" s="711">
        <v>366</v>
      </c>
      <c r="K233" s="711">
        <v>74298</v>
      </c>
      <c r="L233" s="711">
        <v>1.1903297125829089</v>
      </c>
      <c r="M233" s="711">
        <v>203</v>
      </c>
      <c r="N233" s="711">
        <v>492</v>
      </c>
      <c r="O233" s="711">
        <v>100312</v>
      </c>
      <c r="P233" s="701">
        <v>1.6071005158768303</v>
      </c>
      <c r="Q233" s="712">
        <v>203.88617886178861</v>
      </c>
    </row>
    <row r="234" spans="1:17" ht="14.4" customHeight="1" x14ac:dyDescent="0.3">
      <c r="A234" s="695" t="s">
        <v>5496</v>
      </c>
      <c r="B234" s="696" t="s">
        <v>5497</v>
      </c>
      <c r="C234" s="696" t="s">
        <v>4114</v>
      </c>
      <c r="D234" s="696" t="s">
        <v>5500</v>
      </c>
      <c r="E234" s="696" t="s">
        <v>5501</v>
      </c>
      <c r="F234" s="711">
        <v>61</v>
      </c>
      <c r="G234" s="711">
        <v>17751</v>
      </c>
      <c r="H234" s="711">
        <v>1</v>
      </c>
      <c r="I234" s="711">
        <v>291</v>
      </c>
      <c r="J234" s="711">
        <v>153</v>
      </c>
      <c r="K234" s="711">
        <v>44676</v>
      </c>
      <c r="L234" s="711">
        <v>2.5168159540307586</v>
      </c>
      <c r="M234" s="711">
        <v>292</v>
      </c>
      <c r="N234" s="711">
        <v>346</v>
      </c>
      <c r="O234" s="711">
        <v>101254</v>
      </c>
      <c r="P234" s="701">
        <v>5.7041293448256436</v>
      </c>
      <c r="Q234" s="712">
        <v>292.64161849710985</v>
      </c>
    </row>
    <row r="235" spans="1:17" ht="14.4" customHeight="1" x14ac:dyDescent="0.3">
      <c r="A235" s="695" t="s">
        <v>5496</v>
      </c>
      <c r="B235" s="696" t="s">
        <v>5497</v>
      </c>
      <c r="C235" s="696" t="s">
        <v>4114</v>
      </c>
      <c r="D235" s="696" t="s">
        <v>5502</v>
      </c>
      <c r="E235" s="696" t="s">
        <v>5503</v>
      </c>
      <c r="F235" s="711"/>
      <c r="G235" s="711"/>
      <c r="H235" s="711"/>
      <c r="I235" s="711"/>
      <c r="J235" s="711">
        <v>12</v>
      </c>
      <c r="K235" s="711">
        <v>1116</v>
      </c>
      <c r="L235" s="711"/>
      <c r="M235" s="711">
        <v>93</v>
      </c>
      <c r="N235" s="711">
        <v>9</v>
      </c>
      <c r="O235" s="711">
        <v>843</v>
      </c>
      <c r="P235" s="701"/>
      <c r="Q235" s="712">
        <v>93.666666666666671</v>
      </c>
    </row>
    <row r="236" spans="1:17" ht="14.4" customHeight="1" x14ac:dyDescent="0.3">
      <c r="A236" s="695" t="s">
        <v>5496</v>
      </c>
      <c r="B236" s="696" t="s">
        <v>5497</v>
      </c>
      <c r="C236" s="696" t="s">
        <v>4114</v>
      </c>
      <c r="D236" s="696" t="s">
        <v>5504</v>
      </c>
      <c r="E236" s="696" t="s">
        <v>5505</v>
      </c>
      <c r="F236" s="711"/>
      <c r="G236" s="711"/>
      <c r="H236" s="711"/>
      <c r="I236" s="711"/>
      <c r="J236" s="711">
        <v>1</v>
      </c>
      <c r="K236" s="711">
        <v>220</v>
      </c>
      <c r="L236" s="711"/>
      <c r="M236" s="711">
        <v>220</v>
      </c>
      <c r="N236" s="711"/>
      <c r="O236" s="711"/>
      <c r="P236" s="701"/>
      <c r="Q236" s="712"/>
    </row>
    <row r="237" spans="1:17" ht="14.4" customHeight="1" x14ac:dyDescent="0.3">
      <c r="A237" s="695" t="s">
        <v>5496</v>
      </c>
      <c r="B237" s="696" t="s">
        <v>5497</v>
      </c>
      <c r="C237" s="696" t="s">
        <v>4114</v>
      </c>
      <c r="D237" s="696" t="s">
        <v>5506</v>
      </c>
      <c r="E237" s="696" t="s">
        <v>5507</v>
      </c>
      <c r="F237" s="711">
        <v>61</v>
      </c>
      <c r="G237" s="711">
        <v>8113</v>
      </c>
      <c r="H237" s="711">
        <v>1</v>
      </c>
      <c r="I237" s="711">
        <v>133</v>
      </c>
      <c r="J237" s="711">
        <v>63</v>
      </c>
      <c r="K237" s="711">
        <v>8442</v>
      </c>
      <c r="L237" s="711">
        <v>1.0405522001725624</v>
      </c>
      <c r="M237" s="711">
        <v>134</v>
      </c>
      <c r="N237" s="711">
        <v>69</v>
      </c>
      <c r="O237" s="711">
        <v>9278</v>
      </c>
      <c r="P237" s="701">
        <v>1.143596696659682</v>
      </c>
      <c r="Q237" s="712">
        <v>134.46376811594203</v>
      </c>
    </row>
    <row r="238" spans="1:17" ht="14.4" customHeight="1" x14ac:dyDescent="0.3">
      <c r="A238" s="695" t="s">
        <v>5496</v>
      </c>
      <c r="B238" s="696" t="s">
        <v>5497</v>
      </c>
      <c r="C238" s="696" t="s">
        <v>4114</v>
      </c>
      <c r="D238" s="696" t="s">
        <v>5508</v>
      </c>
      <c r="E238" s="696" t="s">
        <v>5507</v>
      </c>
      <c r="F238" s="711"/>
      <c r="G238" s="711"/>
      <c r="H238" s="711"/>
      <c r="I238" s="711"/>
      <c r="J238" s="711"/>
      <c r="K238" s="711"/>
      <c r="L238" s="711"/>
      <c r="M238" s="711"/>
      <c r="N238" s="711">
        <v>1</v>
      </c>
      <c r="O238" s="711">
        <v>175</v>
      </c>
      <c r="P238" s="701"/>
      <c r="Q238" s="712">
        <v>175</v>
      </c>
    </row>
    <row r="239" spans="1:17" ht="14.4" customHeight="1" x14ac:dyDescent="0.3">
      <c r="A239" s="695" t="s">
        <v>5496</v>
      </c>
      <c r="B239" s="696" t="s">
        <v>5497</v>
      </c>
      <c r="C239" s="696" t="s">
        <v>4114</v>
      </c>
      <c r="D239" s="696" t="s">
        <v>5509</v>
      </c>
      <c r="E239" s="696" t="s">
        <v>5510</v>
      </c>
      <c r="F239" s="711"/>
      <c r="G239" s="711"/>
      <c r="H239" s="711"/>
      <c r="I239" s="711"/>
      <c r="J239" s="711">
        <v>1</v>
      </c>
      <c r="K239" s="711">
        <v>612</v>
      </c>
      <c r="L239" s="711"/>
      <c r="M239" s="711">
        <v>612</v>
      </c>
      <c r="N239" s="711"/>
      <c r="O239" s="711"/>
      <c r="P239" s="701"/>
      <c r="Q239" s="712"/>
    </row>
    <row r="240" spans="1:17" ht="14.4" customHeight="1" x14ac:dyDescent="0.3">
      <c r="A240" s="695" t="s">
        <v>5496</v>
      </c>
      <c r="B240" s="696" t="s">
        <v>5497</v>
      </c>
      <c r="C240" s="696" t="s">
        <v>4114</v>
      </c>
      <c r="D240" s="696" t="s">
        <v>5511</v>
      </c>
      <c r="E240" s="696" t="s">
        <v>5512</v>
      </c>
      <c r="F240" s="711">
        <v>3</v>
      </c>
      <c r="G240" s="711">
        <v>474</v>
      </c>
      <c r="H240" s="711">
        <v>1</v>
      </c>
      <c r="I240" s="711">
        <v>158</v>
      </c>
      <c r="J240" s="711">
        <v>6</v>
      </c>
      <c r="K240" s="711">
        <v>954</v>
      </c>
      <c r="L240" s="711">
        <v>2.0126582278481013</v>
      </c>
      <c r="M240" s="711">
        <v>159</v>
      </c>
      <c r="N240" s="711">
        <v>8</v>
      </c>
      <c r="O240" s="711">
        <v>1275</v>
      </c>
      <c r="P240" s="701">
        <v>2.6898734177215191</v>
      </c>
      <c r="Q240" s="712">
        <v>159.375</v>
      </c>
    </row>
    <row r="241" spans="1:17" ht="14.4" customHeight="1" x14ac:dyDescent="0.3">
      <c r="A241" s="695" t="s">
        <v>5496</v>
      </c>
      <c r="B241" s="696" t="s">
        <v>5497</v>
      </c>
      <c r="C241" s="696" t="s">
        <v>4114</v>
      </c>
      <c r="D241" s="696" t="s">
        <v>5513</v>
      </c>
      <c r="E241" s="696" t="s">
        <v>5514</v>
      </c>
      <c r="F241" s="711">
        <v>10</v>
      </c>
      <c r="G241" s="711">
        <v>3820</v>
      </c>
      <c r="H241" s="711">
        <v>1</v>
      </c>
      <c r="I241" s="711">
        <v>382</v>
      </c>
      <c r="J241" s="711">
        <v>10</v>
      </c>
      <c r="K241" s="711">
        <v>3820</v>
      </c>
      <c r="L241" s="711">
        <v>1</v>
      </c>
      <c r="M241" s="711">
        <v>382</v>
      </c>
      <c r="N241" s="711">
        <v>2</v>
      </c>
      <c r="O241" s="711">
        <v>764</v>
      </c>
      <c r="P241" s="701">
        <v>0.2</v>
      </c>
      <c r="Q241" s="712">
        <v>382</v>
      </c>
    </row>
    <row r="242" spans="1:17" ht="14.4" customHeight="1" x14ac:dyDescent="0.3">
      <c r="A242" s="695" t="s">
        <v>5496</v>
      </c>
      <c r="B242" s="696" t="s">
        <v>5497</v>
      </c>
      <c r="C242" s="696" t="s">
        <v>4114</v>
      </c>
      <c r="D242" s="696" t="s">
        <v>5515</v>
      </c>
      <c r="E242" s="696" t="s">
        <v>5516</v>
      </c>
      <c r="F242" s="711">
        <v>27</v>
      </c>
      <c r="G242" s="711">
        <v>7047</v>
      </c>
      <c r="H242" s="711">
        <v>1</v>
      </c>
      <c r="I242" s="711">
        <v>261</v>
      </c>
      <c r="J242" s="711">
        <v>49</v>
      </c>
      <c r="K242" s="711">
        <v>12838</v>
      </c>
      <c r="L242" s="711">
        <v>1.8217681282815383</v>
      </c>
      <c r="M242" s="711">
        <v>262</v>
      </c>
      <c r="N242" s="711">
        <v>71</v>
      </c>
      <c r="O242" s="711">
        <v>18701</v>
      </c>
      <c r="P242" s="701">
        <v>2.6537533702284661</v>
      </c>
      <c r="Q242" s="712">
        <v>263.3943661971831</v>
      </c>
    </row>
    <row r="243" spans="1:17" ht="14.4" customHeight="1" x14ac:dyDescent="0.3">
      <c r="A243" s="695" t="s">
        <v>5496</v>
      </c>
      <c r="B243" s="696" t="s">
        <v>5497</v>
      </c>
      <c r="C243" s="696" t="s">
        <v>4114</v>
      </c>
      <c r="D243" s="696" t="s">
        <v>5517</v>
      </c>
      <c r="E243" s="696" t="s">
        <v>5518</v>
      </c>
      <c r="F243" s="711">
        <v>65</v>
      </c>
      <c r="G243" s="711">
        <v>9100</v>
      </c>
      <c r="H243" s="711">
        <v>1</v>
      </c>
      <c r="I243" s="711">
        <v>140</v>
      </c>
      <c r="J243" s="711">
        <v>62</v>
      </c>
      <c r="K243" s="711">
        <v>8742</v>
      </c>
      <c r="L243" s="711">
        <v>0.96065934065934067</v>
      </c>
      <c r="M243" s="711">
        <v>141</v>
      </c>
      <c r="N243" s="711">
        <v>75</v>
      </c>
      <c r="O243" s="711">
        <v>10575</v>
      </c>
      <c r="P243" s="701">
        <v>1.1620879120879122</v>
      </c>
      <c r="Q243" s="712">
        <v>141</v>
      </c>
    </row>
    <row r="244" spans="1:17" ht="14.4" customHeight="1" x14ac:dyDescent="0.3">
      <c r="A244" s="695" t="s">
        <v>5496</v>
      </c>
      <c r="B244" s="696" t="s">
        <v>5497</v>
      </c>
      <c r="C244" s="696" t="s">
        <v>4114</v>
      </c>
      <c r="D244" s="696" t="s">
        <v>5519</v>
      </c>
      <c r="E244" s="696" t="s">
        <v>5518</v>
      </c>
      <c r="F244" s="711">
        <v>61</v>
      </c>
      <c r="G244" s="711">
        <v>4758</v>
      </c>
      <c r="H244" s="711">
        <v>1</v>
      </c>
      <c r="I244" s="711">
        <v>78</v>
      </c>
      <c r="J244" s="711">
        <v>63</v>
      </c>
      <c r="K244" s="711">
        <v>4914</v>
      </c>
      <c r="L244" s="711">
        <v>1.0327868852459017</v>
      </c>
      <c r="M244" s="711">
        <v>78</v>
      </c>
      <c r="N244" s="711">
        <v>70</v>
      </c>
      <c r="O244" s="711">
        <v>5460</v>
      </c>
      <c r="P244" s="701">
        <v>1.1475409836065573</v>
      </c>
      <c r="Q244" s="712">
        <v>78</v>
      </c>
    </row>
    <row r="245" spans="1:17" ht="14.4" customHeight="1" x14ac:dyDescent="0.3">
      <c r="A245" s="695" t="s">
        <v>5496</v>
      </c>
      <c r="B245" s="696" t="s">
        <v>5497</v>
      </c>
      <c r="C245" s="696" t="s">
        <v>4114</v>
      </c>
      <c r="D245" s="696" t="s">
        <v>5520</v>
      </c>
      <c r="E245" s="696" t="s">
        <v>5521</v>
      </c>
      <c r="F245" s="711">
        <v>65</v>
      </c>
      <c r="G245" s="711">
        <v>19630</v>
      </c>
      <c r="H245" s="711">
        <v>1</v>
      </c>
      <c r="I245" s="711">
        <v>302</v>
      </c>
      <c r="J245" s="711">
        <v>62</v>
      </c>
      <c r="K245" s="711">
        <v>18786</v>
      </c>
      <c r="L245" s="711">
        <v>0.9570045848191544</v>
      </c>
      <c r="M245" s="711">
        <v>303</v>
      </c>
      <c r="N245" s="711">
        <v>75</v>
      </c>
      <c r="O245" s="711">
        <v>22824</v>
      </c>
      <c r="P245" s="701">
        <v>1.1627101375445745</v>
      </c>
      <c r="Q245" s="712">
        <v>304.32</v>
      </c>
    </row>
    <row r="246" spans="1:17" ht="14.4" customHeight="1" x14ac:dyDescent="0.3">
      <c r="A246" s="695" t="s">
        <v>5496</v>
      </c>
      <c r="B246" s="696" t="s">
        <v>5497</v>
      </c>
      <c r="C246" s="696" t="s">
        <v>4114</v>
      </c>
      <c r="D246" s="696" t="s">
        <v>5522</v>
      </c>
      <c r="E246" s="696" t="s">
        <v>5523</v>
      </c>
      <c r="F246" s="711">
        <v>1</v>
      </c>
      <c r="G246" s="711">
        <v>486</v>
      </c>
      <c r="H246" s="711">
        <v>1</v>
      </c>
      <c r="I246" s="711">
        <v>486</v>
      </c>
      <c r="J246" s="711"/>
      <c r="K246" s="711"/>
      <c r="L246" s="711"/>
      <c r="M246" s="711"/>
      <c r="N246" s="711">
        <v>2</v>
      </c>
      <c r="O246" s="711">
        <v>972</v>
      </c>
      <c r="P246" s="701">
        <v>2</v>
      </c>
      <c r="Q246" s="712">
        <v>486</v>
      </c>
    </row>
    <row r="247" spans="1:17" ht="14.4" customHeight="1" x14ac:dyDescent="0.3">
      <c r="A247" s="695" t="s">
        <v>5496</v>
      </c>
      <c r="B247" s="696" t="s">
        <v>5497</v>
      </c>
      <c r="C247" s="696" t="s">
        <v>4114</v>
      </c>
      <c r="D247" s="696" t="s">
        <v>5524</v>
      </c>
      <c r="E247" s="696" t="s">
        <v>5525</v>
      </c>
      <c r="F247" s="711">
        <v>23</v>
      </c>
      <c r="G247" s="711">
        <v>3657</v>
      </c>
      <c r="H247" s="711">
        <v>1</v>
      </c>
      <c r="I247" s="711">
        <v>159</v>
      </c>
      <c r="J247" s="711">
        <v>26</v>
      </c>
      <c r="K247" s="711">
        <v>4160</v>
      </c>
      <c r="L247" s="711">
        <v>1.137544435329505</v>
      </c>
      <c r="M247" s="711">
        <v>160</v>
      </c>
      <c r="N247" s="711">
        <v>27</v>
      </c>
      <c r="O247" s="711">
        <v>4331</v>
      </c>
      <c r="P247" s="701">
        <v>1.1843040743779054</v>
      </c>
      <c r="Q247" s="712">
        <v>160.40740740740742</v>
      </c>
    </row>
    <row r="248" spans="1:17" ht="14.4" customHeight="1" x14ac:dyDescent="0.3">
      <c r="A248" s="695" t="s">
        <v>5496</v>
      </c>
      <c r="B248" s="696" t="s">
        <v>5497</v>
      </c>
      <c r="C248" s="696" t="s">
        <v>4114</v>
      </c>
      <c r="D248" s="696" t="s">
        <v>5526</v>
      </c>
      <c r="E248" s="696" t="s">
        <v>5499</v>
      </c>
      <c r="F248" s="711">
        <v>171</v>
      </c>
      <c r="G248" s="711">
        <v>11970</v>
      </c>
      <c r="H248" s="711">
        <v>1</v>
      </c>
      <c r="I248" s="711">
        <v>70</v>
      </c>
      <c r="J248" s="711">
        <v>190</v>
      </c>
      <c r="K248" s="711">
        <v>13300</v>
      </c>
      <c r="L248" s="711">
        <v>1.1111111111111112</v>
      </c>
      <c r="M248" s="711">
        <v>70</v>
      </c>
      <c r="N248" s="711">
        <v>188</v>
      </c>
      <c r="O248" s="711">
        <v>13254</v>
      </c>
      <c r="P248" s="701">
        <v>1.1072681704260652</v>
      </c>
      <c r="Q248" s="712">
        <v>70.5</v>
      </c>
    </row>
    <row r="249" spans="1:17" ht="14.4" customHeight="1" x14ac:dyDescent="0.3">
      <c r="A249" s="695" t="s">
        <v>5496</v>
      </c>
      <c r="B249" s="696" t="s">
        <v>5497</v>
      </c>
      <c r="C249" s="696" t="s">
        <v>4114</v>
      </c>
      <c r="D249" s="696" t="s">
        <v>5527</v>
      </c>
      <c r="E249" s="696" t="s">
        <v>5528</v>
      </c>
      <c r="F249" s="711"/>
      <c r="G249" s="711"/>
      <c r="H249" s="711"/>
      <c r="I249" s="711"/>
      <c r="J249" s="711">
        <v>1</v>
      </c>
      <c r="K249" s="711">
        <v>216</v>
      </c>
      <c r="L249" s="711"/>
      <c r="M249" s="711">
        <v>216</v>
      </c>
      <c r="N249" s="711"/>
      <c r="O249" s="711"/>
      <c r="P249" s="701"/>
      <c r="Q249" s="712"/>
    </row>
    <row r="250" spans="1:17" ht="14.4" customHeight="1" x14ac:dyDescent="0.3">
      <c r="A250" s="695" t="s">
        <v>5496</v>
      </c>
      <c r="B250" s="696" t="s">
        <v>5497</v>
      </c>
      <c r="C250" s="696" t="s">
        <v>4114</v>
      </c>
      <c r="D250" s="696" t="s">
        <v>5529</v>
      </c>
      <c r="E250" s="696" t="s">
        <v>5530</v>
      </c>
      <c r="F250" s="711"/>
      <c r="G250" s="711"/>
      <c r="H250" s="711"/>
      <c r="I250" s="711"/>
      <c r="J250" s="711">
        <v>9</v>
      </c>
      <c r="K250" s="711">
        <v>10701</v>
      </c>
      <c r="L250" s="711"/>
      <c r="M250" s="711">
        <v>1189</v>
      </c>
      <c r="N250" s="711">
        <v>13</v>
      </c>
      <c r="O250" s="711">
        <v>15493</v>
      </c>
      <c r="P250" s="701"/>
      <c r="Q250" s="712">
        <v>1191.7692307692307</v>
      </c>
    </row>
    <row r="251" spans="1:17" ht="14.4" customHeight="1" x14ac:dyDescent="0.3">
      <c r="A251" s="695" t="s">
        <v>5496</v>
      </c>
      <c r="B251" s="696" t="s">
        <v>5497</v>
      </c>
      <c r="C251" s="696" t="s">
        <v>4114</v>
      </c>
      <c r="D251" s="696" t="s">
        <v>5531</v>
      </c>
      <c r="E251" s="696" t="s">
        <v>5532</v>
      </c>
      <c r="F251" s="711"/>
      <c r="G251" s="711"/>
      <c r="H251" s="711"/>
      <c r="I251" s="711"/>
      <c r="J251" s="711">
        <v>7</v>
      </c>
      <c r="K251" s="711">
        <v>756</v>
      </c>
      <c r="L251" s="711"/>
      <c r="M251" s="711">
        <v>108</v>
      </c>
      <c r="N251" s="711">
        <v>5</v>
      </c>
      <c r="O251" s="711">
        <v>543</v>
      </c>
      <c r="P251" s="701"/>
      <c r="Q251" s="712">
        <v>108.6</v>
      </c>
    </row>
    <row r="252" spans="1:17" ht="14.4" customHeight="1" x14ac:dyDescent="0.3">
      <c r="A252" s="695" t="s">
        <v>5496</v>
      </c>
      <c r="B252" s="696" t="s">
        <v>5497</v>
      </c>
      <c r="C252" s="696" t="s">
        <v>4114</v>
      </c>
      <c r="D252" s="696" t="s">
        <v>5533</v>
      </c>
      <c r="E252" s="696" t="s">
        <v>5534</v>
      </c>
      <c r="F252" s="711"/>
      <c r="G252" s="711"/>
      <c r="H252" s="711"/>
      <c r="I252" s="711"/>
      <c r="J252" s="711">
        <v>1</v>
      </c>
      <c r="K252" s="711">
        <v>319</v>
      </c>
      <c r="L252" s="711"/>
      <c r="M252" s="711">
        <v>319</v>
      </c>
      <c r="N252" s="711"/>
      <c r="O252" s="711"/>
      <c r="P252" s="701"/>
      <c r="Q252" s="712"/>
    </row>
    <row r="253" spans="1:17" ht="14.4" customHeight="1" x14ac:dyDescent="0.3">
      <c r="A253" s="695" t="s">
        <v>5496</v>
      </c>
      <c r="B253" s="696" t="s">
        <v>5497</v>
      </c>
      <c r="C253" s="696" t="s">
        <v>4114</v>
      </c>
      <c r="D253" s="696" t="s">
        <v>5535</v>
      </c>
      <c r="E253" s="696" t="s">
        <v>5536</v>
      </c>
      <c r="F253" s="711"/>
      <c r="G253" s="711"/>
      <c r="H253" s="711"/>
      <c r="I253" s="711"/>
      <c r="J253" s="711">
        <v>2</v>
      </c>
      <c r="K253" s="711">
        <v>582</v>
      </c>
      <c r="L253" s="711"/>
      <c r="M253" s="711">
        <v>291</v>
      </c>
      <c r="N253" s="711"/>
      <c r="O253" s="711"/>
      <c r="P253" s="701"/>
      <c r="Q253" s="712"/>
    </row>
    <row r="254" spans="1:17" ht="14.4" customHeight="1" x14ac:dyDescent="0.3">
      <c r="A254" s="695" t="s">
        <v>5537</v>
      </c>
      <c r="B254" s="696" t="s">
        <v>5538</v>
      </c>
      <c r="C254" s="696" t="s">
        <v>4114</v>
      </c>
      <c r="D254" s="696" t="s">
        <v>5539</v>
      </c>
      <c r="E254" s="696" t="s">
        <v>5540</v>
      </c>
      <c r="F254" s="711">
        <v>22</v>
      </c>
      <c r="G254" s="711">
        <v>1166</v>
      </c>
      <c r="H254" s="711">
        <v>1</v>
      </c>
      <c r="I254" s="711">
        <v>53</v>
      </c>
      <c r="J254" s="711">
        <v>16</v>
      </c>
      <c r="K254" s="711">
        <v>848</v>
      </c>
      <c r="L254" s="711">
        <v>0.72727272727272729</v>
      </c>
      <c r="M254" s="711">
        <v>53</v>
      </c>
      <c r="N254" s="711">
        <v>16</v>
      </c>
      <c r="O254" s="711">
        <v>852</v>
      </c>
      <c r="P254" s="701">
        <v>0.73070325900514577</v>
      </c>
      <c r="Q254" s="712">
        <v>53.25</v>
      </c>
    </row>
    <row r="255" spans="1:17" ht="14.4" customHeight="1" x14ac:dyDescent="0.3">
      <c r="A255" s="695" t="s">
        <v>5537</v>
      </c>
      <c r="B255" s="696" t="s">
        <v>5538</v>
      </c>
      <c r="C255" s="696" t="s">
        <v>4114</v>
      </c>
      <c r="D255" s="696" t="s">
        <v>5541</v>
      </c>
      <c r="E255" s="696" t="s">
        <v>5542</v>
      </c>
      <c r="F255" s="711">
        <v>54</v>
      </c>
      <c r="G255" s="711">
        <v>6480</v>
      </c>
      <c r="H255" s="711">
        <v>1</v>
      </c>
      <c r="I255" s="711">
        <v>120</v>
      </c>
      <c r="J255" s="711">
        <v>46</v>
      </c>
      <c r="K255" s="711">
        <v>5566</v>
      </c>
      <c r="L255" s="711">
        <v>0.85895061728395061</v>
      </c>
      <c r="M255" s="711">
        <v>121</v>
      </c>
      <c r="N255" s="711">
        <v>40</v>
      </c>
      <c r="O255" s="711">
        <v>4856</v>
      </c>
      <c r="P255" s="701">
        <v>0.74938271604938267</v>
      </c>
      <c r="Q255" s="712">
        <v>121.4</v>
      </c>
    </row>
    <row r="256" spans="1:17" ht="14.4" customHeight="1" x14ac:dyDescent="0.3">
      <c r="A256" s="695" t="s">
        <v>5537</v>
      </c>
      <c r="B256" s="696" t="s">
        <v>5538</v>
      </c>
      <c r="C256" s="696" t="s">
        <v>4114</v>
      </c>
      <c r="D256" s="696" t="s">
        <v>5543</v>
      </c>
      <c r="E256" s="696" t="s">
        <v>5544</v>
      </c>
      <c r="F256" s="711">
        <v>3</v>
      </c>
      <c r="G256" s="711">
        <v>519</v>
      </c>
      <c r="H256" s="711">
        <v>1</v>
      </c>
      <c r="I256" s="711">
        <v>173</v>
      </c>
      <c r="J256" s="711">
        <v>2</v>
      </c>
      <c r="K256" s="711">
        <v>348</v>
      </c>
      <c r="L256" s="711">
        <v>0.67052023121387283</v>
      </c>
      <c r="M256" s="711">
        <v>174</v>
      </c>
      <c r="N256" s="711">
        <v>5</v>
      </c>
      <c r="O256" s="711">
        <v>872</v>
      </c>
      <c r="P256" s="701">
        <v>1.6801541425818882</v>
      </c>
      <c r="Q256" s="712">
        <v>174.4</v>
      </c>
    </row>
    <row r="257" spans="1:17" ht="14.4" customHeight="1" x14ac:dyDescent="0.3">
      <c r="A257" s="695" t="s">
        <v>5537</v>
      </c>
      <c r="B257" s="696" t="s">
        <v>5538</v>
      </c>
      <c r="C257" s="696" t="s">
        <v>4114</v>
      </c>
      <c r="D257" s="696" t="s">
        <v>5545</v>
      </c>
      <c r="E257" s="696" t="s">
        <v>5546</v>
      </c>
      <c r="F257" s="711"/>
      <c r="G257" s="711"/>
      <c r="H257" s="711"/>
      <c r="I257" s="711"/>
      <c r="J257" s="711"/>
      <c r="K257" s="711"/>
      <c r="L257" s="711"/>
      <c r="M257" s="711"/>
      <c r="N257" s="711">
        <v>3</v>
      </c>
      <c r="O257" s="711">
        <v>1140</v>
      </c>
      <c r="P257" s="701"/>
      <c r="Q257" s="712">
        <v>380</v>
      </c>
    </row>
    <row r="258" spans="1:17" ht="14.4" customHeight="1" x14ac:dyDescent="0.3">
      <c r="A258" s="695" t="s">
        <v>5537</v>
      </c>
      <c r="B258" s="696" t="s">
        <v>5538</v>
      </c>
      <c r="C258" s="696" t="s">
        <v>4114</v>
      </c>
      <c r="D258" s="696" t="s">
        <v>5547</v>
      </c>
      <c r="E258" s="696" t="s">
        <v>5548</v>
      </c>
      <c r="F258" s="711">
        <v>11</v>
      </c>
      <c r="G258" s="711">
        <v>1837</v>
      </c>
      <c r="H258" s="711">
        <v>1</v>
      </c>
      <c r="I258" s="711">
        <v>167</v>
      </c>
      <c r="J258" s="711">
        <v>19</v>
      </c>
      <c r="K258" s="711">
        <v>3192</v>
      </c>
      <c r="L258" s="711">
        <v>1.7376156777354381</v>
      </c>
      <c r="M258" s="711">
        <v>168</v>
      </c>
      <c r="N258" s="711"/>
      <c r="O258" s="711"/>
      <c r="P258" s="701"/>
      <c r="Q258" s="712"/>
    </row>
    <row r="259" spans="1:17" ht="14.4" customHeight="1" x14ac:dyDescent="0.3">
      <c r="A259" s="695" t="s">
        <v>5537</v>
      </c>
      <c r="B259" s="696" t="s">
        <v>5538</v>
      </c>
      <c r="C259" s="696" t="s">
        <v>4114</v>
      </c>
      <c r="D259" s="696" t="s">
        <v>5549</v>
      </c>
      <c r="E259" s="696" t="s">
        <v>5550</v>
      </c>
      <c r="F259" s="711"/>
      <c r="G259" s="711"/>
      <c r="H259" s="711"/>
      <c r="I259" s="711"/>
      <c r="J259" s="711">
        <v>2</v>
      </c>
      <c r="K259" s="711">
        <v>1050</v>
      </c>
      <c r="L259" s="711"/>
      <c r="M259" s="711">
        <v>525</v>
      </c>
      <c r="N259" s="711"/>
      <c r="O259" s="711"/>
      <c r="P259" s="701"/>
      <c r="Q259" s="712"/>
    </row>
    <row r="260" spans="1:17" ht="14.4" customHeight="1" x14ac:dyDescent="0.3">
      <c r="A260" s="695" t="s">
        <v>5537</v>
      </c>
      <c r="B260" s="696" t="s">
        <v>5538</v>
      </c>
      <c r="C260" s="696" t="s">
        <v>4114</v>
      </c>
      <c r="D260" s="696" t="s">
        <v>5551</v>
      </c>
      <c r="E260" s="696" t="s">
        <v>5552</v>
      </c>
      <c r="F260" s="711">
        <v>37</v>
      </c>
      <c r="G260" s="711">
        <v>11581</v>
      </c>
      <c r="H260" s="711">
        <v>1</v>
      </c>
      <c r="I260" s="711">
        <v>313</v>
      </c>
      <c r="J260" s="711">
        <v>44</v>
      </c>
      <c r="K260" s="711">
        <v>13904</v>
      </c>
      <c r="L260" s="711">
        <v>1.2005871686382867</v>
      </c>
      <c r="M260" s="711">
        <v>316</v>
      </c>
      <c r="N260" s="711">
        <v>7</v>
      </c>
      <c r="O260" s="711">
        <v>2232</v>
      </c>
      <c r="P260" s="701">
        <v>0.19272947068474225</v>
      </c>
      <c r="Q260" s="712">
        <v>318.85714285714283</v>
      </c>
    </row>
    <row r="261" spans="1:17" ht="14.4" customHeight="1" x14ac:dyDescent="0.3">
      <c r="A261" s="695" t="s">
        <v>5537</v>
      </c>
      <c r="B261" s="696" t="s">
        <v>5538</v>
      </c>
      <c r="C261" s="696" t="s">
        <v>4114</v>
      </c>
      <c r="D261" s="696" t="s">
        <v>5553</v>
      </c>
      <c r="E261" s="696" t="s">
        <v>5554</v>
      </c>
      <c r="F261" s="711">
        <v>1</v>
      </c>
      <c r="G261" s="711">
        <v>434</v>
      </c>
      <c r="H261" s="711">
        <v>1</v>
      </c>
      <c r="I261" s="711">
        <v>434</v>
      </c>
      <c r="J261" s="711"/>
      <c r="K261" s="711"/>
      <c r="L261" s="711"/>
      <c r="M261" s="711"/>
      <c r="N261" s="711"/>
      <c r="O261" s="711"/>
      <c r="P261" s="701"/>
      <c r="Q261" s="712"/>
    </row>
    <row r="262" spans="1:17" ht="14.4" customHeight="1" x14ac:dyDescent="0.3">
      <c r="A262" s="695" t="s">
        <v>5537</v>
      </c>
      <c r="B262" s="696" t="s">
        <v>5538</v>
      </c>
      <c r="C262" s="696" t="s">
        <v>4114</v>
      </c>
      <c r="D262" s="696" t="s">
        <v>5555</v>
      </c>
      <c r="E262" s="696" t="s">
        <v>5556</v>
      </c>
      <c r="F262" s="711">
        <v>17</v>
      </c>
      <c r="G262" s="711">
        <v>5729</v>
      </c>
      <c r="H262" s="711">
        <v>1</v>
      </c>
      <c r="I262" s="711">
        <v>337</v>
      </c>
      <c r="J262" s="711">
        <v>91</v>
      </c>
      <c r="K262" s="711">
        <v>30758</v>
      </c>
      <c r="L262" s="711">
        <v>5.3688252749170884</v>
      </c>
      <c r="M262" s="711">
        <v>338</v>
      </c>
      <c r="N262" s="711">
        <v>43</v>
      </c>
      <c r="O262" s="711">
        <v>14548</v>
      </c>
      <c r="P262" s="701">
        <v>2.5393611450514926</v>
      </c>
      <c r="Q262" s="712">
        <v>338.32558139534882</v>
      </c>
    </row>
    <row r="263" spans="1:17" ht="14.4" customHeight="1" x14ac:dyDescent="0.3">
      <c r="A263" s="695" t="s">
        <v>5537</v>
      </c>
      <c r="B263" s="696" t="s">
        <v>5538</v>
      </c>
      <c r="C263" s="696" t="s">
        <v>4114</v>
      </c>
      <c r="D263" s="696" t="s">
        <v>5069</v>
      </c>
      <c r="E263" s="696" t="s">
        <v>5070</v>
      </c>
      <c r="F263" s="711"/>
      <c r="G263" s="711"/>
      <c r="H263" s="711"/>
      <c r="I263" s="711"/>
      <c r="J263" s="711"/>
      <c r="K263" s="711"/>
      <c r="L263" s="711"/>
      <c r="M263" s="711"/>
      <c r="N263" s="711">
        <v>1</v>
      </c>
      <c r="O263" s="711">
        <v>108</v>
      </c>
      <c r="P263" s="701"/>
      <c r="Q263" s="712">
        <v>108</v>
      </c>
    </row>
    <row r="264" spans="1:17" ht="14.4" customHeight="1" x14ac:dyDescent="0.3">
      <c r="A264" s="695" t="s">
        <v>5537</v>
      </c>
      <c r="B264" s="696" t="s">
        <v>5538</v>
      </c>
      <c r="C264" s="696" t="s">
        <v>4114</v>
      </c>
      <c r="D264" s="696" t="s">
        <v>5557</v>
      </c>
      <c r="E264" s="696" t="s">
        <v>5558</v>
      </c>
      <c r="F264" s="711"/>
      <c r="G264" s="711"/>
      <c r="H264" s="711"/>
      <c r="I264" s="711"/>
      <c r="J264" s="711">
        <v>2</v>
      </c>
      <c r="K264" s="711">
        <v>730</v>
      </c>
      <c r="L264" s="711"/>
      <c r="M264" s="711">
        <v>365</v>
      </c>
      <c r="N264" s="711"/>
      <c r="O264" s="711"/>
      <c r="P264" s="701"/>
      <c r="Q264" s="712"/>
    </row>
    <row r="265" spans="1:17" ht="14.4" customHeight="1" x14ac:dyDescent="0.3">
      <c r="A265" s="695" t="s">
        <v>5537</v>
      </c>
      <c r="B265" s="696" t="s">
        <v>5538</v>
      </c>
      <c r="C265" s="696" t="s">
        <v>4114</v>
      </c>
      <c r="D265" s="696" t="s">
        <v>5213</v>
      </c>
      <c r="E265" s="696" t="s">
        <v>5214</v>
      </c>
      <c r="F265" s="711"/>
      <c r="G265" s="711"/>
      <c r="H265" s="711"/>
      <c r="I265" s="711"/>
      <c r="J265" s="711"/>
      <c r="K265" s="711"/>
      <c r="L265" s="711"/>
      <c r="M265" s="711"/>
      <c r="N265" s="711">
        <v>1</v>
      </c>
      <c r="O265" s="711">
        <v>37</v>
      </c>
      <c r="P265" s="701"/>
      <c r="Q265" s="712">
        <v>37</v>
      </c>
    </row>
    <row r="266" spans="1:17" ht="14.4" customHeight="1" x14ac:dyDescent="0.3">
      <c r="A266" s="695" t="s">
        <v>5537</v>
      </c>
      <c r="B266" s="696" t="s">
        <v>5538</v>
      </c>
      <c r="C266" s="696" t="s">
        <v>4114</v>
      </c>
      <c r="D266" s="696" t="s">
        <v>5071</v>
      </c>
      <c r="E266" s="696" t="s">
        <v>5072</v>
      </c>
      <c r="F266" s="711"/>
      <c r="G266" s="711"/>
      <c r="H266" s="711"/>
      <c r="I266" s="711"/>
      <c r="J266" s="711">
        <v>1</v>
      </c>
      <c r="K266" s="711">
        <v>664</v>
      </c>
      <c r="L266" s="711"/>
      <c r="M266" s="711">
        <v>664</v>
      </c>
      <c r="N266" s="711">
        <v>1</v>
      </c>
      <c r="O266" s="711">
        <v>664</v>
      </c>
      <c r="P266" s="701"/>
      <c r="Q266" s="712">
        <v>664</v>
      </c>
    </row>
    <row r="267" spans="1:17" ht="14.4" customHeight="1" x14ac:dyDescent="0.3">
      <c r="A267" s="695" t="s">
        <v>5537</v>
      </c>
      <c r="B267" s="696" t="s">
        <v>5538</v>
      </c>
      <c r="C267" s="696" t="s">
        <v>4114</v>
      </c>
      <c r="D267" s="696" t="s">
        <v>5559</v>
      </c>
      <c r="E267" s="696" t="s">
        <v>5560</v>
      </c>
      <c r="F267" s="711"/>
      <c r="G267" s="711"/>
      <c r="H267" s="711"/>
      <c r="I267" s="711"/>
      <c r="J267" s="711">
        <v>1</v>
      </c>
      <c r="K267" s="711">
        <v>136</v>
      </c>
      <c r="L267" s="711"/>
      <c r="M267" s="711">
        <v>136</v>
      </c>
      <c r="N267" s="711"/>
      <c r="O267" s="711"/>
      <c r="P267" s="701"/>
      <c r="Q267" s="712"/>
    </row>
    <row r="268" spans="1:17" ht="14.4" customHeight="1" x14ac:dyDescent="0.3">
      <c r="A268" s="695" t="s">
        <v>5537</v>
      </c>
      <c r="B268" s="696" t="s">
        <v>5538</v>
      </c>
      <c r="C268" s="696" t="s">
        <v>4114</v>
      </c>
      <c r="D268" s="696" t="s">
        <v>5561</v>
      </c>
      <c r="E268" s="696" t="s">
        <v>5562</v>
      </c>
      <c r="F268" s="711">
        <v>29</v>
      </c>
      <c r="G268" s="711">
        <v>8120</v>
      </c>
      <c r="H268" s="711">
        <v>1</v>
      </c>
      <c r="I268" s="711">
        <v>280</v>
      </c>
      <c r="J268" s="711">
        <v>20</v>
      </c>
      <c r="K268" s="711">
        <v>5620</v>
      </c>
      <c r="L268" s="711">
        <v>0.69211822660098521</v>
      </c>
      <c r="M268" s="711">
        <v>281</v>
      </c>
      <c r="N268" s="711">
        <v>21</v>
      </c>
      <c r="O268" s="711">
        <v>5922</v>
      </c>
      <c r="P268" s="701">
        <v>0.72931034482758617</v>
      </c>
      <c r="Q268" s="712">
        <v>282</v>
      </c>
    </row>
    <row r="269" spans="1:17" ht="14.4" customHeight="1" x14ac:dyDescent="0.3">
      <c r="A269" s="695" t="s">
        <v>5537</v>
      </c>
      <c r="B269" s="696" t="s">
        <v>5538</v>
      </c>
      <c r="C269" s="696" t="s">
        <v>4114</v>
      </c>
      <c r="D269" s="696" t="s">
        <v>5563</v>
      </c>
      <c r="E269" s="696" t="s">
        <v>5564</v>
      </c>
      <c r="F269" s="711">
        <v>6</v>
      </c>
      <c r="G269" s="711">
        <v>2718</v>
      </c>
      <c r="H269" s="711">
        <v>1</v>
      </c>
      <c r="I269" s="711">
        <v>453</v>
      </c>
      <c r="J269" s="711">
        <v>13</v>
      </c>
      <c r="K269" s="711">
        <v>5928</v>
      </c>
      <c r="L269" s="711">
        <v>2.1810154525386314</v>
      </c>
      <c r="M269" s="711">
        <v>456</v>
      </c>
      <c r="N269" s="711">
        <v>12</v>
      </c>
      <c r="O269" s="711">
        <v>5484</v>
      </c>
      <c r="P269" s="701">
        <v>2.0176600441501105</v>
      </c>
      <c r="Q269" s="712">
        <v>457</v>
      </c>
    </row>
    <row r="270" spans="1:17" ht="14.4" customHeight="1" x14ac:dyDescent="0.3">
      <c r="A270" s="695" t="s">
        <v>5537</v>
      </c>
      <c r="B270" s="696" t="s">
        <v>5538</v>
      </c>
      <c r="C270" s="696" t="s">
        <v>4114</v>
      </c>
      <c r="D270" s="696" t="s">
        <v>5565</v>
      </c>
      <c r="E270" s="696" t="s">
        <v>5566</v>
      </c>
      <c r="F270" s="711">
        <v>34</v>
      </c>
      <c r="G270" s="711">
        <v>11730</v>
      </c>
      <c r="H270" s="711">
        <v>1</v>
      </c>
      <c r="I270" s="711">
        <v>345</v>
      </c>
      <c r="J270" s="711">
        <v>35</v>
      </c>
      <c r="K270" s="711">
        <v>12180</v>
      </c>
      <c r="L270" s="711">
        <v>1.0383631713554988</v>
      </c>
      <c r="M270" s="711">
        <v>348</v>
      </c>
      <c r="N270" s="711">
        <v>34</v>
      </c>
      <c r="O270" s="711">
        <v>11898</v>
      </c>
      <c r="P270" s="701">
        <v>1.0143222506393861</v>
      </c>
      <c r="Q270" s="712">
        <v>349.94117647058823</v>
      </c>
    </row>
    <row r="271" spans="1:17" ht="14.4" customHeight="1" x14ac:dyDescent="0.3">
      <c r="A271" s="695" t="s">
        <v>5537</v>
      </c>
      <c r="B271" s="696" t="s">
        <v>5538</v>
      </c>
      <c r="C271" s="696" t="s">
        <v>4114</v>
      </c>
      <c r="D271" s="696" t="s">
        <v>5567</v>
      </c>
      <c r="E271" s="696" t="s">
        <v>5568</v>
      </c>
      <c r="F271" s="711">
        <v>4</v>
      </c>
      <c r="G271" s="711">
        <v>408</v>
      </c>
      <c r="H271" s="711">
        <v>1</v>
      </c>
      <c r="I271" s="711">
        <v>102</v>
      </c>
      <c r="J271" s="711">
        <v>6</v>
      </c>
      <c r="K271" s="711">
        <v>618</v>
      </c>
      <c r="L271" s="711">
        <v>1.5147058823529411</v>
      </c>
      <c r="M271" s="711">
        <v>103</v>
      </c>
      <c r="N271" s="711"/>
      <c r="O271" s="711"/>
      <c r="P271" s="701"/>
      <c r="Q271" s="712"/>
    </row>
    <row r="272" spans="1:17" ht="14.4" customHeight="1" x14ac:dyDescent="0.3">
      <c r="A272" s="695" t="s">
        <v>5537</v>
      </c>
      <c r="B272" s="696" t="s">
        <v>5538</v>
      </c>
      <c r="C272" s="696" t="s">
        <v>4114</v>
      </c>
      <c r="D272" s="696" t="s">
        <v>5569</v>
      </c>
      <c r="E272" s="696" t="s">
        <v>5570</v>
      </c>
      <c r="F272" s="711">
        <v>3</v>
      </c>
      <c r="G272" s="711">
        <v>345</v>
      </c>
      <c r="H272" s="711">
        <v>1</v>
      </c>
      <c r="I272" s="711">
        <v>115</v>
      </c>
      <c r="J272" s="711">
        <v>1</v>
      </c>
      <c r="K272" s="711">
        <v>115</v>
      </c>
      <c r="L272" s="711">
        <v>0.33333333333333331</v>
      </c>
      <c r="M272" s="711">
        <v>115</v>
      </c>
      <c r="N272" s="711">
        <v>1</v>
      </c>
      <c r="O272" s="711">
        <v>115</v>
      </c>
      <c r="P272" s="701">
        <v>0.33333333333333331</v>
      </c>
      <c r="Q272" s="712">
        <v>115</v>
      </c>
    </row>
    <row r="273" spans="1:17" ht="14.4" customHeight="1" x14ac:dyDescent="0.3">
      <c r="A273" s="695" t="s">
        <v>5537</v>
      </c>
      <c r="B273" s="696" t="s">
        <v>5538</v>
      </c>
      <c r="C273" s="696" t="s">
        <v>4114</v>
      </c>
      <c r="D273" s="696" t="s">
        <v>5073</v>
      </c>
      <c r="E273" s="696" t="s">
        <v>5074</v>
      </c>
      <c r="F273" s="711"/>
      <c r="G273" s="711"/>
      <c r="H273" s="711"/>
      <c r="I273" s="711"/>
      <c r="J273" s="711"/>
      <c r="K273" s="711"/>
      <c r="L273" s="711"/>
      <c r="M273" s="711"/>
      <c r="N273" s="711">
        <v>2</v>
      </c>
      <c r="O273" s="711">
        <v>918</v>
      </c>
      <c r="P273" s="701"/>
      <c r="Q273" s="712">
        <v>459</v>
      </c>
    </row>
    <row r="274" spans="1:17" ht="14.4" customHeight="1" x14ac:dyDescent="0.3">
      <c r="A274" s="695" t="s">
        <v>5537</v>
      </c>
      <c r="B274" s="696" t="s">
        <v>5538</v>
      </c>
      <c r="C274" s="696" t="s">
        <v>4114</v>
      </c>
      <c r="D274" s="696" t="s">
        <v>5571</v>
      </c>
      <c r="E274" s="696" t="s">
        <v>5572</v>
      </c>
      <c r="F274" s="711">
        <v>15</v>
      </c>
      <c r="G274" s="711">
        <v>6375</v>
      </c>
      <c r="H274" s="711">
        <v>1</v>
      </c>
      <c r="I274" s="711">
        <v>425</v>
      </c>
      <c r="J274" s="711">
        <v>10</v>
      </c>
      <c r="K274" s="711">
        <v>4290</v>
      </c>
      <c r="L274" s="711">
        <v>0.67294117647058826</v>
      </c>
      <c r="M274" s="711">
        <v>429</v>
      </c>
      <c r="N274" s="711">
        <v>2</v>
      </c>
      <c r="O274" s="711">
        <v>868</v>
      </c>
      <c r="P274" s="701">
        <v>0.13615686274509803</v>
      </c>
      <c r="Q274" s="712">
        <v>434</v>
      </c>
    </row>
    <row r="275" spans="1:17" ht="14.4" customHeight="1" x14ac:dyDescent="0.3">
      <c r="A275" s="695" t="s">
        <v>5537</v>
      </c>
      <c r="B275" s="696" t="s">
        <v>5538</v>
      </c>
      <c r="C275" s="696" t="s">
        <v>4114</v>
      </c>
      <c r="D275" s="696" t="s">
        <v>5573</v>
      </c>
      <c r="E275" s="696" t="s">
        <v>5574</v>
      </c>
      <c r="F275" s="711">
        <v>4</v>
      </c>
      <c r="G275" s="711">
        <v>212</v>
      </c>
      <c r="H275" s="711">
        <v>1</v>
      </c>
      <c r="I275" s="711">
        <v>53</v>
      </c>
      <c r="J275" s="711">
        <v>4</v>
      </c>
      <c r="K275" s="711">
        <v>212</v>
      </c>
      <c r="L275" s="711">
        <v>1</v>
      </c>
      <c r="M275" s="711">
        <v>53</v>
      </c>
      <c r="N275" s="711">
        <v>6</v>
      </c>
      <c r="O275" s="711">
        <v>318</v>
      </c>
      <c r="P275" s="701">
        <v>1.5</v>
      </c>
      <c r="Q275" s="712">
        <v>53</v>
      </c>
    </row>
    <row r="276" spans="1:17" ht="14.4" customHeight="1" x14ac:dyDescent="0.3">
      <c r="A276" s="695" t="s">
        <v>5537</v>
      </c>
      <c r="B276" s="696" t="s">
        <v>5538</v>
      </c>
      <c r="C276" s="696" t="s">
        <v>4114</v>
      </c>
      <c r="D276" s="696" t="s">
        <v>5575</v>
      </c>
      <c r="E276" s="696" t="s">
        <v>5576</v>
      </c>
      <c r="F276" s="711">
        <v>572</v>
      </c>
      <c r="G276" s="711">
        <v>93808</v>
      </c>
      <c r="H276" s="711">
        <v>1</v>
      </c>
      <c r="I276" s="711">
        <v>164</v>
      </c>
      <c r="J276" s="711">
        <v>728</v>
      </c>
      <c r="K276" s="711">
        <v>120120</v>
      </c>
      <c r="L276" s="711">
        <v>1.2804878048780488</v>
      </c>
      <c r="M276" s="711">
        <v>165</v>
      </c>
      <c r="N276" s="711">
        <v>252</v>
      </c>
      <c r="O276" s="711">
        <v>41955</v>
      </c>
      <c r="P276" s="701">
        <v>0.44724330547501279</v>
      </c>
      <c r="Q276" s="712">
        <v>166.48809523809524</v>
      </c>
    </row>
    <row r="277" spans="1:17" ht="14.4" customHeight="1" x14ac:dyDescent="0.3">
      <c r="A277" s="695" t="s">
        <v>5537</v>
      </c>
      <c r="B277" s="696" t="s">
        <v>5538</v>
      </c>
      <c r="C277" s="696" t="s">
        <v>4114</v>
      </c>
      <c r="D277" s="696" t="s">
        <v>5077</v>
      </c>
      <c r="E277" s="696" t="s">
        <v>5078</v>
      </c>
      <c r="F277" s="711"/>
      <c r="G277" s="711"/>
      <c r="H277" s="711"/>
      <c r="I277" s="711"/>
      <c r="J277" s="711">
        <v>2</v>
      </c>
      <c r="K277" s="711">
        <v>158</v>
      </c>
      <c r="L277" s="711"/>
      <c r="M277" s="711">
        <v>79</v>
      </c>
      <c r="N277" s="711">
        <v>6</v>
      </c>
      <c r="O277" s="711">
        <v>478</v>
      </c>
      <c r="P277" s="701"/>
      <c r="Q277" s="712">
        <v>79.666666666666671</v>
      </c>
    </row>
    <row r="278" spans="1:17" ht="14.4" customHeight="1" x14ac:dyDescent="0.3">
      <c r="A278" s="695" t="s">
        <v>5537</v>
      </c>
      <c r="B278" s="696" t="s">
        <v>5538</v>
      </c>
      <c r="C278" s="696" t="s">
        <v>4114</v>
      </c>
      <c r="D278" s="696" t="s">
        <v>5577</v>
      </c>
      <c r="E278" s="696" t="s">
        <v>5578</v>
      </c>
      <c r="F278" s="711">
        <v>24</v>
      </c>
      <c r="G278" s="711">
        <v>3816</v>
      </c>
      <c r="H278" s="711">
        <v>1</v>
      </c>
      <c r="I278" s="711">
        <v>159</v>
      </c>
      <c r="J278" s="711">
        <v>29</v>
      </c>
      <c r="K278" s="711">
        <v>4640</v>
      </c>
      <c r="L278" s="711">
        <v>1.2159329140461217</v>
      </c>
      <c r="M278" s="711">
        <v>160</v>
      </c>
      <c r="N278" s="711">
        <v>5</v>
      </c>
      <c r="O278" s="711">
        <v>806</v>
      </c>
      <c r="P278" s="701">
        <v>0.21121593291404611</v>
      </c>
      <c r="Q278" s="712">
        <v>161.19999999999999</v>
      </c>
    </row>
    <row r="279" spans="1:17" ht="14.4" customHeight="1" x14ac:dyDescent="0.3">
      <c r="A279" s="695" t="s">
        <v>5537</v>
      </c>
      <c r="B279" s="696" t="s">
        <v>5538</v>
      </c>
      <c r="C279" s="696" t="s">
        <v>4114</v>
      </c>
      <c r="D279" s="696" t="s">
        <v>5083</v>
      </c>
      <c r="E279" s="696" t="s">
        <v>5084</v>
      </c>
      <c r="F279" s="711"/>
      <c r="G279" s="711"/>
      <c r="H279" s="711"/>
      <c r="I279" s="711"/>
      <c r="J279" s="711">
        <v>1</v>
      </c>
      <c r="K279" s="711">
        <v>167</v>
      </c>
      <c r="L279" s="711"/>
      <c r="M279" s="711">
        <v>167</v>
      </c>
      <c r="N279" s="711">
        <v>1</v>
      </c>
      <c r="O279" s="711">
        <v>169</v>
      </c>
      <c r="P279" s="701"/>
      <c r="Q279" s="712">
        <v>169</v>
      </c>
    </row>
    <row r="280" spans="1:17" ht="14.4" customHeight="1" x14ac:dyDescent="0.3">
      <c r="A280" s="695" t="s">
        <v>5537</v>
      </c>
      <c r="B280" s="696" t="s">
        <v>5538</v>
      </c>
      <c r="C280" s="696" t="s">
        <v>4114</v>
      </c>
      <c r="D280" s="696" t="s">
        <v>5579</v>
      </c>
      <c r="E280" s="696" t="s">
        <v>5580</v>
      </c>
      <c r="F280" s="711"/>
      <c r="G280" s="711"/>
      <c r="H280" s="711"/>
      <c r="I280" s="711"/>
      <c r="J280" s="711">
        <v>1</v>
      </c>
      <c r="K280" s="711">
        <v>243</v>
      </c>
      <c r="L280" s="711"/>
      <c r="M280" s="711">
        <v>243</v>
      </c>
      <c r="N280" s="711">
        <v>1</v>
      </c>
      <c r="O280" s="711">
        <v>243</v>
      </c>
      <c r="P280" s="701"/>
      <c r="Q280" s="712">
        <v>243</v>
      </c>
    </row>
    <row r="281" spans="1:17" ht="14.4" customHeight="1" x14ac:dyDescent="0.3">
      <c r="A281" s="695" t="s">
        <v>5537</v>
      </c>
      <c r="B281" s="696" t="s">
        <v>5538</v>
      </c>
      <c r="C281" s="696" t="s">
        <v>4114</v>
      </c>
      <c r="D281" s="696" t="s">
        <v>5581</v>
      </c>
      <c r="E281" s="696" t="s">
        <v>5582</v>
      </c>
      <c r="F281" s="711"/>
      <c r="G281" s="711"/>
      <c r="H281" s="711"/>
      <c r="I281" s="711"/>
      <c r="J281" s="711">
        <v>2</v>
      </c>
      <c r="K281" s="711">
        <v>3986</v>
      </c>
      <c r="L281" s="711"/>
      <c r="M281" s="711">
        <v>1993</v>
      </c>
      <c r="N281" s="711"/>
      <c r="O281" s="711"/>
      <c r="P281" s="701"/>
      <c r="Q281" s="712"/>
    </row>
    <row r="282" spans="1:17" ht="14.4" customHeight="1" x14ac:dyDescent="0.3">
      <c r="A282" s="695" t="s">
        <v>5537</v>
      </c>
      <c r="B282" s="696" t="s">
        <v>5538</v>
      </c>
      <c r="C282" s="696" t="s">
        <v>4114</v>
      </c>
      <c r="D282" s="696" t="s">
        <v>5583</v>
      </c>
      <c r="E282" s="696" t="s">
        <v>5584</v>
      </c>
      <c r="F282" s="711"/>
      <c r="G282" s="711"/>
      <c r="H282" s="711"/>
      <c r="I282" s="711"/>
      <c r="J282" s="711"/>
      <c r="K282" s="711"/>
      <c r="L282" s="711"/>
      <c r="M282" s="711"/>
      <c r="N282" s="711">
        <v>1</v>
      </c>
      <c r="O282" s="711">
        <v>223</v>
      </c>
      <c r="P282" s="701"/>
      <c r="Q282" s="712">
        <v>223</v>
      </c>
    </row>
    <row r="283" spans="1:17" ht="14.4" customHeight="1" x14ac:dyDescent="0.3">
      <c r="A283" s="695" t="s">
        <v>5537</v>
      </c>
      <c r="B283" s="696" t="s">
        <v>5538</v>
      </c>
      <c r="C283" s="696" t="s">
        <v>4114</v>
      </c>
      <c r="D283" s="696" t="s">
        <v>5585</v>
      </c>
      <c r="E283" s="696" t="s">
        <v>5586</v>
      </c>
      <c r="F283" s="711">
        <v>29</v>
      </c>
      <c r="G283" s="711">
        <v>11571</v>
      </c>
      <c r="H283" s="711">
        <v>1</v>
      </c>
      <c r="I283" s="711">
        <v>399</v>
      </c>
      <c r="J283" s="711">
        <v>38</v>
      </c>
      <c r="K283" s="711">
        <v>15352</v>
      </c>
      <c r="L283" s="711">
        <v>1.3267651888341543</v>
      </c>
      <c r="M283" s="711">
        <v>404</v>
      </c>
      <c r="N283" s="711">
        <v>11</v>
      </c>
      <c r="O283" s="711">
        <v>4504</v>
      </c>
      <c r="P283" s="701">
        <v>0.38924898453029122</v>
      </c>
      <c r="Q283" s="712">
        <v>409.45454545454544</v>
      </c>
    </row>
    <row r="284" spans="1:17" ht="14.4" customHeight="1" x14ac:dyDescent="0.3">
      <c r="A284" s="695" t="s">
        <v>5537</v>
      </c>
      <c r="B284" s="696" t="s">
        <v>5538</v>
      </c>
      <c r="C284" s="696" t="s">
        <v>4114</v>
      </c>
      <c r="D284" s="696" t="s">
        <v>5587</v>
      </c>
      <c r="E284" s="696" t="s">
        <v>5588</v>
      </c>
      <c r="F284" s="711">
        <v>2</v>
      </c>
      <c r="G284" s="711">
        <v>530</v>
      </c>
      <c r="H284" s="711">
        <v>1</v>
      </c>
      <c r="I284" s="711">
        <v>265</v>
      </c>
      <c r="J284" s="711">
        <v>1</v>
      </c>
      <c r="K284" s="711">
        <v>266</v>
      </c>
      <c r="L284" s="711">
        <v>0.50188679245283019</v>
      </c>
      <c r="M284" s="711">
        <v>266</v>
      </c>
      <c r="N284" s="711"/>
      <c r="O284" s="711"/>
      <c r="P284" s="701"/>
      <c r="Q284" s="712"/>
    </row>
    <row r="285" spans="1:17" ht="14.4" customHeight="1" x14ac:dyDescent="0.3">
      <c r="A285" s="695" t="s">
        <v>5589</v>
      </c>
      <c r="B285" s="696" t="s">
        <v>654</v>
      </c>
      <c r="C285" s="696" t="s">
        <v>4114</v>
      </c>
      <c r="D285" s="696" t="s">
        <v>5590</v>
      </c>
      <c r="E285" s="696" t="s">
        <v>5591</v>
      </c>
      <c r="F285" s="711">
        <v>466</v>
      </c>
      <c r="G285" s="711">
        <v>73628</v>
      </c>
      <c r="H285" s="711">
        <v>1</v>
      </c>
      <c r="I285" s="711">
        <v>158</v>
      </c>
      <c r="J285" s="711">
        <v>652</v>
      </c>
      <c r="K285" s="711">
        <v>103668</v>
      </c>
      <c r="L285" s="711">
        <v>1.4079969576791438</v>
      </c>
      <c r="M285" s="711">
        <v>159</v>
      </c>
      <c r="N285" s="711">
        <v>577</v>
      </c>
      <c r="O285" s="711">
        <v>91979</v>
      </c>
      <c r="P285" s="701">
        <v>1.2492394197859511</v>
      </c>
      <c r="Q285" s="712">
        <v>159.40901213171577</v>
      </c>
    </row>
    <row r="286" spans="1:17" ht="14.4" customHeight="1" x14ac:dyDescent="0.3">
      <c r="A286" s="695" t="s">
        <v>5589</v>
      </c>
      <c r="B286" s="696" t="s">
        <v>654</v>
      </c>
      <c r="C286" s="696" t="s">
        <v>4114</v>
      </c>
      <c r="D286" s="696" t="s">
        <v>5592</v>
      </c>
      <c r="E286" s="696" t="s">
        <v>5593</v>
      </c>
      <c r="F286" s="711">
        <v>3</v>
      </c>
      <c r="G286" s="711">
        <v>3492</v>
      </c>
      <c r="H286" s="711">
        <v>1</v>
      </c>
      <c r="I286" s="711">
        <v>1164</v>
      </c>
      <c r="J286" s="711">
        <v>84</v>
      </c>
      <c r="K286" s="711">
        <v>97860</v>
      </c>
      <c r="L286" s="711">
        <v>28.024054982817869</v>
      </c>
      <c r="M286" s="711">
        <v>1165</v>
      </c>
      <c r="N286" s="711">
        <v>242</v>
      </c>
      <c r="O286" s="711">
        <v>282350</v>
      </c>
      <c r="P286" s="701">
        <v>80.856242840778918</v>
      </c>
      <c r="Q286" s="712">
        <v>1166.7355371900826</v>
      </c>
    </row>
    <row r="287" spans="1:17" ht="14.4" customHeight="1" x14ac:dyDescent="0.3">
      <c r="A287" s="695" t="s">
        <v>5589</v>
      </c>
      <c r="B287" s="696" t="s">
        <v>654</v>
      </c>
      <c r="C287" s="696" t="s">
        <v>4114</v>
      </c>
      <c r="D287" s="696" t="s">
        <v>5594</v>
      </c>
      <c r="E287" s="696" t="s">
        <v>5595</v>
      </c>
      <c r="F287" s="711">
        <v>267</v>
      </c>
      <c r="G287" s="711">
        <v>10413</v>
      </c>
      <c r="H287" s="711">
        <v>1</v>
      </c>
      <c r="I287" s="711">
        <v>39</v>
      </c>
      <c r="J287" s="711">
        <v>283</v>
      </c>
      <c r="K287" s="711">
        <v>11037</v>
      </c>
      <c r="L287" s="711">
        <v>1.0599250936329587</v>
      </c>
      <c r="M287" s="711">
        <v>39</v>
      </c>
      <c r="N287" s="711">
        <v>288</v>
      </c>
      <c r="O287" s="711">
        <v>11344</v>
      </c>
      <c r="P287" s="701">
        <v>1.0894074714299433</v>
      </c>
      <c r="Q287" s="712">
        <v>39.388888888888886</v>
      </c>
    </row>
    <row r="288" spans="1:17" ht="14.4" customHeight="1" x14ac:dyDescent="0.3">
      <c r="A288" s="695" t="s">
        <v>5589</v>
      </c>
      <c r="B288" s="696" t="s">
        <v>654</v>
      </c>
      <c r="C288" s="696" t="s">
        <v>4114</v>
      </c>
      <c r="D288" s="696" t="s">
        <v>5513</v>
      </c>
      <c r="E288" s="696" t="s">
        <v>5514</v>
      </c>
      <c r="F288" s="711">
        <v>4</v>
      </c>
      <c r="G288" s="711">
        <v>1528</v>
      </c>
      <c r="H288" s="711">
        <v>1</v>
      </c>
      <c r="I288" s="711">
        <v>382</v>
      </c>
      <c r="J288" s="711">
        <v>7</v>
      </c>
      <c r="K288" s="711">
        <v>2674</v>
      </c>
      <c r="L288" s="711">
        <v>1.75</v>
      </c>
      <c r="M288" s="711">
        <v>382</v>
      </c>
      <c r="N288" s="711">
        <v>21</v>
      </c>
      <c r="O288" s="711">
        <v>8034</v>
      </c>
      <c r="P288" s="701">
        <v>5.2578534031413611</v>
      </c>
      <c r="Q288" s="712">
        <v>382.57142857142856</v>
      </c>
    </row>
    <row r="289" spans="1:17" ht="14.4" customHeight="1" x14ac:dyDescent="0.3">
      <c r="A289" s="695" t="s">
        <v>5589</v>
      </c>
      <c r="B289" s="696" t="s">
        <v>654</v>
      </c>
      <c r="C289" s="696" t="s">
        <v>4114</v>
      </c>
      <c r="D289" s="696" t="s">
        <v>5596</v>
      </c>
      <c r="E289" s="696" t="s">
        <v>5597</v>
      </c>
      <c r="F289" s="711"/>
      <c r="G289" s="711"/>
      <c r="H289" s="711"/>
      <c r="I289" s="711"/>
      <c r="J289" s="711">
        <v>2</v>
      </c>
      <c r="K289" s="711">
        <v>74</v>
      </c>
      <c r="L289" s="711"/>
      <c r="M289" s="711">
        <v>37</v>
      </c>
      <c r="N289" s="711">
        <v>2</v>
      </c>
      <c r="O289" s="711">
        <v>74</v>
      </c>
      <c r="P289" s="701"/>
      <c r="Q289" s="712">
        <v>37</v>
      </c>
    </row>
    <row r="290" spans="1:17" ht="14.4" customHeight="1" x14ac:dyDescent="0.3">
      <c r="A290" s="695" t="s">
        <v>5589</v>
      </c>
      <c r="B290" s="696" t="s">
        <v>654</v>
      </c>
      <c r="C290" s="696" t="s">
        <v>4114</v>
      </c>
      <c r="D290" s="696" t="s">
        <v>5598</v>
      </c>
      <c r="E290" s="696" t="s">
        <v>5599</v>
      </c>
      <c r="F290" s="711">
        <v>36</v>
      </c>
      <c r="G290" s="711">
        <v>15984</v>
      </c>
      <c r="H290" s="711">
        <v>1</v>
      </c>
      <c r="I290" s="711">
        <v>444</v>
      </c>
      <c r="J290" s="711">
        <v>39</v>
      </c>
      <c r="K290" s="711">
        <v>17316</v>
      </c>
      <c r="L290" s="711">
        <v>1.0833333333333333</v>
      </c>
      <c r="M290" s="711">
        <v>444</v>
      </c>
      <c r="N290" s="711">
        <v>33</v>
      </c>
      <c r="O290" s="711">
        <v>14670</v>
      </c>
      <c r="P290" s="701">
        <v>0.9177927927927928</v>
      </c>
      <c r="Q290" s="712">
        <v>444.54545454545456</v>
      </c>
    </row>
    <row r="291" spans="1:17" ht="14.4" customHeight="1" x14ac:dyDescent="0.3">
      <c r="A291" s="695" t="s">
        <v>5589</v>
      </c>
      <c r="B291" s="696" t="s">
        <v>654</v>
      </c>
      <c r="C291" s="696" t="s">
        <v>4114</v>
      </c>
      <c r="D291" s="696" t="s">
        <v>5600</v>
      </c>
      <c r="E291" s="696" t="s">
        <v>5601</v>
      </c>
      <c r="F291" s="711">
        <v>46</v>
      </c>
      <c r="G291" s="711">
        <v>1840</v>
      </c>
      <c r="H291" s="711">
        <v>1</v>
      </c>
      <c r="I291" s="711">
        <v>40</v>
      </c>
      <c r="J291" s="711">
        <v>64</v>
      </c>
      <c r="K291" s="711">
        <v>2624</v>
      </c>
      <c r="L291" s="711">
        <v>1.4260869565217391</v>
      </c>
      <c r="M291" s="711">
        <v>41</v>
      </c>
      <c r="N291" s="711">
        <v>82</v>
      </c>
      <c r="O291" s="711">
        <v>3362</v>
      </c>
      <c r="P291" s="701">
        <v>1.8271739130434783</v>
      </c>
      <c r="Q291" s="712">
        <v>41</v>
      </c>
    </row>
    <row r="292" spans="1:17" ht="14.4" customHeight="1" x14ac:dyDescent="0.3">
      <c r="A292" s="695" t="s">
        <v>5589</v>
      </c>
      <c r="B292" s="696" t="s">
        <v>654</v>
      </c>
      <c r="C292" s="696" t="s">
        <v>4114</v>
      </c>
      <c r="D292" s="696" t="s">
        <v>5602</v>
      </c>
      <c r="E292" s="696" t="s">
        <v>5603</v>
      </c>
      <c r="F292" s="711">
        <v>13</v>
      </c>
      <c r="G292" s="711">
        <v>6370</v>
      </c>
      <c r="H292" s="711">
        <v>1</v>
      </c>
      <c r="I292" s="711">
        <v>490</v>
      </c>
      <c r="J292" s="711">
        <v>22</v>
      </c>
      <c r="K292" s="711">
        <v>10780</v>
      </c>
      <c r="L292" s="711">
        <v>1.6923076923076923</v>
      </c>
      <c r="M292" s="711">
        <v>490</v>
      </c>
      <c r="N292" s="711">
        <v>44</v>
      </c>
      <c r="O292" s="711">
        <v>21576</v>
      </c>
      <c r="P292" s="701">
        <v>3.3871271585557299</v>
      </c>
      <c r="Q292" s="712">
        <v>490.36363636363637</v>
      </c>
    </row>
    <row r="293" spans="1:17" ht="14.4" customHeight="1" x14ac:dyDescent="0.3">
      <c r="A293" s="695" t="s">
        <v>5589</v>
      </c>
      <c r="B293" s="696" t="s">
        <v>654</v>
      </c>
      <c r="C293" s="696" t="s">
        <v>4114</v>
      </c>
      <c r="D293" s="696" t="s">
        <v>5604</v>
      </c>
      <c r="E293" s="696" t="s">
        <v>5605</v>
      </c>
      <c r="F293" s="711">
        <v>103</v>
      </c>
      <c r="G293" s="711">
        <v>3193</v>
      </c>
      <c r="H293" s="711">
        <v>1</v>
      </c>
      <c r="I293" s="711">
        <v>31</v>
      </c>
      <c r="J293" s="711">
        <v>68</v>
      </c>
      <c r="K293" s="711">
        <v>2108</v>
      </c>
      <c r="L293" s="711">
        <v>0.66019417475728159</v>
      </c>
      <c r="M293" s="711">
        <v>31</v>
      </c>
      <c r="N293" s="711">
        <v>80</v>
      </c>
      <c r="O293" s="711">
        <v>2480</v>
      </c>
      <c r="P293" s="701">
        <v>0.77669902912621358</v>
      </c>
      <c r="Q293" s="712">
        <v>31</v>
      </c>
    </row>
    <row r="294" spans="1:17" ht="14.4" customHeight="1" x14ac:dyDescent="0.3">
      <c r="A294" s="695" t="s">
        <v>5589</v>
      </c>
      <c r="B294" s="696" t="s">
        <v>654</v>
      </c>
      <c r="C294" s="696" t="s">
        <v>4114</v>
      </c>
      <c r="D294" s="696" t="s">
        <v>5606</v>
      </c>
      <c r="E294" s="696" t="s">
        <v>5607</v>
      </c>
      <c r="F294" s="711">
        <v>1</v>
      </c>
      <c r="G294" s="711">
        <v>204</v>
      </c>
      <c r="H294" s="711">
        <v>1</v>
      </c>
      <c r="I294" s="711">
        <v>204</v>
      </c>
      <c r="J294" s="711">
        <v>3</v>
      </c>
      <c r="K294" s="711">
        <v>615</v>
      </c>
      <c r="L294" s="711">
        <v>3.0147058823529411</v>
      </c>
      <c r="M294" s="711">
        <v>205</v>
      </c>
      <c r="N294" s="711">
        <v>5</v>
      </c>
      <c r="O294" s="711">
        <v>1029</v>
      </c>
      <c r="P294" s="701">
        <v>5.0441176470588234</v>
      </c>
      <c r="Q294" s="712">
        <v>205.8</v>
      </c>
    </row>
    <row r="295" spans="1:17" ht="14.4" customHeight="1" x14ac:dyDescent="0.3">
      <c r="A295" s="695" t="s">
        <v>5589</v>
      </c>
      <c r="B295" s="696" t="s">
        <v>654</v>
      </c>
      <c r="C295" s="696" t="s">
        <v>4114</v>
      </c>
      <c r="D295" s="696" t="s">
        <v>5608</v>
      </c>
      <c r="E295" s="696" t="s">
        <v>5609</v>
      </c>
      <c r="F295" s="711">
        <v>1</v>
      </c>
      <c r="G295" s="711">
        <v>376</v>
      </c>
      <c r="H295" s="711">
        <v>1</v>
      </c>
      <c r="I295" s="711">
        <v>376</v>
      </c>
      <c r="J295" s="711">
        <v>5</v>
      </c>
      <c r="K295" s="711">
        <v>1885</v>
      </c>
      <c r="L295" s="711">
        <v>5.0132978723404253</v>
      </c>
      <c r="M295" s="711">
        <v>377</v>
      </c>
      <c r="N295" s="711">
        <v>5</v>
      </c>
      <c r="O295" s="711">
        <v>1895</v>
      </c>
      <c r="P295" s="701">
        <v>5.0398936170212769</v>
      </c>
      <c r="Q295" s="712">
        <v>379</v>
      </c>
    </row>
    <row r="296" spans="1:17" ht="14.4" customHeight="1" x14ac:dyDescent="0.3">
      <c r="A296" s="695" t="s">
        <v>5589</v>
      </c>
      <c r="B296" s="696" t="s">
        <v>654</v>
      </c>
      <c r="C296" s="696" t="s">
        <v>4114</v>
      </c>
      <c r="D296" s="696" t="s">
        <v>5610</v>
      </c>
      <c r="E296" s="696" t="s">
        <v>5611</v>
      </c>
      <c r="F296" s="711">
        <v>860</v>
      </c>
      <c r="G296" s="711">
        <v>96320</v>
      </c>
      <c r="H296" s="711">
        <v>1</v>
      </c>
      <c r="I296" s="711">
        <v>112</v>
      </c>
      <c r="J296" s="711">
        <v>941</v>
      </c>
      <c r="K296" s="711">
        <v>106333</v>
      </c>
      <c r="L296" s="711">
        <v>1.1039555647840531</v>
      </c>
      <c r="M296" s="711">
        <v>113</v>
      </c>
      <c r="N296" s="711">
        <v>995</v>
      </c>
      <c r="O296" s="711">
        <v>113447</v>
      </c>
      <c r="P296" s="701">
        <v>1.17781353820598</v>
      </c>
      <c r="Q296" s="712">
        <v>114.01708542713568</v>
      </c>
    </row>
    <row r="297" spans="1:17" ht="14.4" customHeight="1" x14ac:dyDescent="0.3">
      <c r="A297" s="695" t="s">
        <v>5589</v>
      </c>
      <c r="B297" s="696" t="s">
        <v>654</v>
      </c>
      <c r="C297" s="696" t="s">
        <v>4114</v>
      </c>
      <c r="D297" s="696" t="s">
        <v>5612</v>
      </c>
      <c r="E297" s="696" t="s">
        <v>5613</v>
      </c>
      <c r="F297" s="711">
        <v>322</v>
      </c>
      <c r="G297" s="711">
        <v>26726</v>
      </c>
      <c r="H297" s="711">
        <v>1</v>
      </c>
      <c r="I297" s="711">
        <v>83</v>
      </c>
      <c r="J297" s="711">
        <v>440</v>
      </c>
      <c r="K297" s="711">
        <v>36960</v>
      </c>
      <c r="L297" s="711">
        <v>1.3829229963331586</v>
      </c>
      <c r="M297" s="711">
        <v>84</v>
      </c>
      <c r="N297" s="711">
        <v>375</v>
      </c>
      <c r="O297" s="711">
        <v>31642</v>
      </c>
      <c r="P297" s="701">
        <v>1.1839407318715858</v>
      </c>
      <c r="Q297" s="712">
        <v>84.37866666666666</v>
      </c>
    </row>
    <row r="298" spans="1:17" ht="14.4" customHeight="1" x14ac:dyDescent="0.3">
      <c r="A298" s="695" t="s">
        <v>5589</v>
      </c>
      <c r="B298" s="696" t="s">
        <v>654</v>
      </c>
      <c r="C298" s="696" t="s">
        <v>4114</v>
      </c>
      <c r="D298" s="696" t="s">
        <v>5614</v>
      </c>
      <c r="E298" s="696" t="s">
        <v>5615</v>
      </c>
      <c r="F298" s="711"/>
      <c r="G298" s="711"/>
      <c r="H298" s="711"/>
      <c r="I298" s="711"/>
      <c r="J298" s="711">
        <v>3</v>
      </c>
      <c r="K298" s="711">
        <v>288</v>
      </c>
      <c r="L298" s="711"/>
      <c r="M298" s="711">
        <v>96</v>
      </c>
      <c r="N298" s="711">
        <v>4</v>
      </c>
      <c r="O298" s="711">
        <v>388</v>
      </c>
      <c r="P298" s="701"/>
      <c r="Q298" s="712">
        <v>97</v>
      </c>
    </row>
    <row r="299" spans="1:17" ht="14.4" customHeight="1" x14ac:dyDescent="0.3">
      <c r="A299" s="695" t="s">
        <v>5589</v>
      </c>
      <c r="B299" s="696" t="s">
        <v>654</v>
      </c>
      <c r="C299" s="696" t="s">
        <v>4114</v>
      </c>
      <c r="D299" s="696" t="s">
        <v>5616</v>
      </c>
      <c r="E299" s="696" t="s">
        <v>5617</v>
      </c>
      <c r="F299" s="711">
        <v>53</v>
      </c>
      <c r="G299" s="711">
        <v>1113</v>
      </c>
      <c r="H299" s="711">
        <v>1</v>
      </c>
      <c r="I299" s="711">
        <v>21</v>
      </c>
      <c r="J299" s="711">
        <v>74</v>
      </c>
      <c r="K299" s="711">
        <v>1554</v>
      </c>
      <c r="L299" s="711">
        <v>1.3962264150943395</v>
      </c>
      <c r="M299" s="711">
        <v>21</v>
      </c>
      <c r="N299" s="711">
        <v>64</v>
      </c>
      <c r="O299" s="711">
        <v>1344</v>
      </c>
      <c r="P299" s="701">
        <v>1.2075471698113207</v>
      </c>
      <c r="Q299" s="712">
        <v>21</v>
      </c>
    </row>
    <row r="300" spans="1:17" ht="14.4" customHeight="1" x14ac:dyDescent="0.3">
      <c r="A300" s="695" t="s">
        <v>5589</v>
      </c>
      <c r="B300" s="696" t="s">
        <v>654</v>
      </c>
      <c r="C300" s="696" t="s">
        <v>4114</v>
      </c>
      <c r="D300" s="696" t="s">
        <v>5522</v>
      </c>
      <c r="E300" s="696" t="s">
        <v>5523</v>
      </c>
      <c r="F300" s="711">
        <v>133</v>
      </c>
      <c r="G300" s="711">
        <v>64638</v>
      </c>
      <c r="H300" s="711">
        <v>1</v>
      </c>
      <c r="I300" s="711">
        <v>486</v>
      </c>
      <c r="J300" s="711">
        <v>229</v>
      </c>
      <c r="K300" s="711">
        <v>111294</v>
      </c>
      <c r="L300" s="711">
        <v>1.7218045112781954</v>
      </c>
      <c r="M300" s="711">
        <v>486</v>
      </c>
      <c r="N300" s="711">
        <v>169</v>
      </c>
      <c r="O300" s="711">
        <v>82221</v>
      </c>
      <c r="P300" s="701">
        <v>1.2720226492156317</v>
      </c>
      <c r="Q300" s="712">
        <v>486.51479289940829</v>
      </c>
    </row>
    <row r="301" spans="1:17" ht="14.4" customHeight="1" x14ac:dyDescent="0.3">
      <c r="A301" s="695" t="s">
        <v>5589</v>
      </c>
      <c r="B301" s="696" t="s">
        <v>654</v>
      </c>
      <c r="C301" s="696" t="s">
        <v>4114</v>
      </c>
      <c r="D301" s="696" t="s">
        <v>5618</v>
      </c>
      <c r="E301" s="696" t="s">
        <v>5619</v>
      </c>
      <c r="F301" s="711">
        <v>81</v>
      </c>
      <c r="G301" s="711">
        <v>3240</v>
      </c>
      <c r="H301" s="711">
        <v>1</v>
      </c>
      <c r="I301" s="711">
        <v>40</v>
      </c>
      <c r="J301" s="711">
        <v>99</v>
      </c>
      <c r="K301" s="711">
        <v>3960</v>
      </c>
      <c r="L301" s="711">
        <v>1.2222222222222223</v>
      </c>
      <c r="M301" s="711">
        <v>40</v>
      </c>
      <c r="N301" s="711">
        <v>111</v>
      </c>
      <c r="O301" s="711">
        <v>4491</v>
      </c>
      <c r="P301" s="701">
        <v>1.3861111111111111</v>
      </c>
      <c r="Q301" s="712">
        <v>40.45945945945946</v>
      </c>
    </row>
    <row r="302" spans="1:17" ht="14.4" customHeight="1" x14ac:dyDescent="0.3">
      <c r="A302" s="695" t="s">
        <v>5589</v>
      </c>
      <c r="B302" s="696" t="s">
        <v>654</v>
      </c>
      <c r="C302" s="696" t="s">
        <v>4114</v>
      </c>
      <c r="D302" s="696" t="s">
        <v>5620</v>
      </c>
      <c r="E302" s="696" t="s">
        <v>5621</v>
      </c>
      <c r="F302" s="711">
        <v>1</v>
      </c>
      <c r="G302" s="711">
        <v>761</v>
      </c>
      <c r="H302" s="711">
        <v>1</v>
      </c>
      <c r="I302" s="711">
        <v>761</v>
      </c>
      <c r="J302" s="711">
        <v>1</v>
      </c>
      <c r="K302" s="711">
        <v>761</v>
      </c>
      <c r="L302" s="711">
        <v>1</v>
      </c>
      <c r="M302" s="711">
        <v>761</v>
      </c>
      <c r="N302" s="711"/>
      <c r="O302" s="711"/>
      <c r="P302" s="701"/>
      <c r="Q302" s="712"/>
    </row>
    <row r="303" spans="1:17" ht="14.4" customHeight="1" x14ac:dyDescent="0.3">
      <c r="A303" s="695" t="s">
        <v>5589</v>
      </c>
      <c r="B303" s="696" t="s">
        <v>654</v>
      </c>
      <c r="C303" s="696" t="s">
        <v>4114</v>
      </c>
      <c r="D303" s="696" t="s">
        <v>5622</v>
      </c>
      <c r="E303" s="696" t="s">
        <v>5623</v>
      </c>
      <c r="F303" s="711"/>
      <c r="G303" s="711"/>
      <c r="H303" s="711"/>
      <c r="I303" s="711"/>
      <c r="J303" s="711"/>
      <c r="K303" s="711"/>
      <c r="L303" s="711"/>
      <c r="M303" s="711"/>
      <c r="N303" s="711">
        <v>1</v>
      </c>
      <c r="O303" s="711">
        <v>2059</v>
      </c>
      <c r="P303" s="701"/>
      <c r="Q303" s="712">
        <v>2059</v>
      </c>
    </row>
    <row r="304" spans="1:17" ht="14.4" customHeight="1" x14ac:dyDescent="0.3">
      <c r="A304" s="695" t="s">
        <v>5589</v>
      </c>
      <c r="B304" s="696" t="s">
        <v>654</v>
      </c>
      <c r="C304" s="696" t="s">
        <v>4114</v>
      </c>
      <c r="D304" s="696" t="s">
        <v>5624</v>
      </c>
      <c r="E304" s="696" t="s">
        <v>5625</v>
      </c>
      <c r="F304" s="711">
        <v>7</v>
      </c>
      <c r="G304" s="711">
        <v>4221</v>
      </c>
      <c r="H304" s="711">
        <v>1</v>
      </c>
      <c r="I304" s="711">
        <v>603</v>
      </c>
      <c r="J304" s="711">
        <v>11</v>
      </c>
      <c r="K304" s="711">
        <v>6644</v>
      </c>
      <c r="L304" s="711">
        <v>1.5740345889599621</v>
      </c>
      <c r="M304" s="711">
        <v>604</v>
      </c>
      <c r="N304" s="711">
        <v>14</v>
      </c>
      <c r="O304" s="711">
        <v>8477</v>
      </c>
      <c r="P304" s="701">
        <v>2.0082918739635156</v>
      </c>
      <c r="Q304" s="712">
        <v>605.5</v>
      </c>
    </row>
    <row r="305" spans="1:17" ht="14.4" customHeight="1" x14ac:dyDescent="0.3">
      <c r="A305" s="695" t="s">
        <v>5589</v>
      </c>
      <c r="B305" s="696" t="s">
        <v>654</v>
      </c>
      <c r="C305" s="696" t="s">
        <v>4114</v>
      </c>
      <c r="D305" s="696" t="s">
        <v>5626</v>
      </c>
      <c r="E305" s="696" t="s">
        <v>5627</v>
      </c>
      <c r="F305" s="711">
        <v>2</v>
      </c>
      <c r="G305" s="711">
        <v>302</v>
      </c>
      <c r="H305" s="711">
        <v>1</v>
      </c>
      <c r="I305" s="711">
        <v>151</v>
      </c>
      <c r="J305" s="711">
        <v>2</v>
      </c>
      <c r="K305" s="711">
        <v>304</v>
      </c>
      <c r="L305" s="711">
        <v>1.0066225165562914</v>
      </c>
      <c r="M305" s="711">
        <v>152</v>
      </c>
      <c r="N305" s="711"/>
      <c r="O305" s="711"/>
      <c r="P305" s="701"/>
      <c r="Q305" s="712"/>
    </row>
    <row r="306" spans="1:17" ht="14.4" customHeight="1" x14ac:dyDescent="0.3">
      <c r="A306" s="695" t="s">
        <v>5589</v>
      </c>
      <c r="B306" s="696" t="s">
        <v>654</v>
      </c>
      <c r="C306" s="696" t="s">
        <v>4114</v>
      </c>
      <c r="D306" s="696" t="s">
        <v>5628</v>
      </c>
      <c r="E306" s="696" t="s">
        <v>5629</v>
      </c>
      <c r="F306" s="711">
        <v>1</v>
      </c>
      <c r="G306" s="711">
        <v>327</v>
      </c>
      <c r="H306" s="711">
        <v>1</v>
      </c>
      <c r="I306" s="711">
        <v>327</v>
      </c>
      <c r="J306" s="711">
        <v>1</v>
      </c>
      <c r="K306" s="711">
        <v>327</v>
      </c>
      <c r="L306" s="711">
        <v>1</v>
      </c>
      <c r="M306" s="711">
        <v>327</v>
      </c>
      <c r="N306" s="711">
        <v>1</v>
      </c>
      <c r="O306" s="711">
        <v>327</v>
      </c>
      <c r="P306" s="701">
        <v>1</v>
      </c>
      <c r="Q306" s="712">
        <v>327</v>
      </c>
    </row>
    <row r="307" spans="1:17" ht="14.4" customHeight="1" x14ac:dyDescent="0.3">
      <c r="A307" s="695" t="s">
        <v>5630</v>
      </c>
      <c r="B307" s="696" t="s">
        <v>5341</v>
      </c>
      <c r="C307" s="696" t="s">
        <v>4114</v>
      </c>
      <c r="D307" s="696" t="s">
        <v>5631</v>
      </c>
      <c r="E307" s="696" t="s">
        <v>5632</v>
      </c>
      <c r="F307" s="711"/>
      <c r="G307" s="711"/>
      <c r="H307" s="711"/>
      <c r="I307" s="711"/>
      <c r="J307" s="711">
        <v>1</v>
      </c>
      <c r="K307" s="711">
        <v>1609</v>
      </c>
      <c r="L307" s="711"/>
      <c r="M307" s="711">
        <v>1609</v>
      </c>
      <c r="N307" s="711"/>
      <c r="O307" s="711"/>
      <c r="P307" s="701"/>
      <c r="Q307" s="712"/>
    </row>
    <row r="308" spans="1:17" ht="14.4" customHeight="1" x14ac:dyDescent="0.3">
      <c r="A308" s="695" t="s">
        <v>5630</v>
      </c>
      <c r="B308" s="696" t="s">
        <v>5341</v>
      </c>
      <c r="C308" s="696" t="s">
        <v>4114</v>
      </c>
      <c r="D308" s="696" t="s">
        <v>5633</v>
      </c>
      <c r="E308" s="696" t="s">
        <v>5634</v>
      </c>
      <c r="F308" s="711"/>
      <c r="G308" s="711"/>
      <c r="H308" s="711"/>
      <c r="I308" s="711"/>
      <c r="J308" s="711">
        <v>2</v>
      </c>
      <c r="K308" s="711">
        <v>3240</v>
      </c>
      <c r="L308" s="711"/>
      <c r="M308" s="711">
        <v>1620</v>
      </c>
      <c r="N308" s="711"/>
      <c r="O308" s="711"/>
      <c r="P308" s="701"/>
      <c r="Q308" s="712"/>
    </row>
    <row r="309" spans="1:17" ht="14.4" customHeight="1" x14ac:dyDescent="0.3">
      <c r="A309" s="695" t="s">
        <v>5630</v>
      </c>
      <c r="B309" s="696" t="s">
        <v>5341</v>
      </c>
      <c r="C309" s="696" t="s">
        <v>4114</v>
      </c>
      <c r="D309" s="696" t="s">
        <v>5635</v>
      </c>
      <c r="E309" s="696" t="s">
        <v>5636</v>
      </c>
      <c r="F309" s="711"/>
      <c r="G309" s="711"/>
      <c r="H309" s="711"/>
      <c r="I309" s="711"/>
      <c r="J309" s="711">
        <v>7</v>
      </c>
      <c r="K309" s="711">
        <v>27048</v>
      </c>
      <c r="L309" s="711"/>
      <c r="M309" s="711">
        <v>3864</v>
      </c>
      <c r="N309" s="711"/>
      <c r="O309" s="711"/>
      <c r="P309" s="701"/>
      <c r="Q309" s="712"/>
    </row>
    <row r="310" spans="1:17" ht="14.4" customHeight="1" x14ac:dyDescent="0.3">
      <c r="A310" s="695" t="s">
        <v>5630</v>
      </c>
      <c r="B310" s="696" t="s">
        <v>5341</v>
      </c>
      <c r="C310" s="696" t="s">
        <v>4114</v>
      </c>
      <c r="D310" s="696" t="s">
        <v>5637</v>
      </c>
      <c r="E310" s="696" t="s">
        <v>5638</v>
      </c>
      <c r="F310" s="711"/>
      <c r="G310" s="711"/>
      <c r="H310" s="711"/>
      <c r="I310" s="711"/>
      <c r="J310" s="711">
        <v>4</v>
      </c>
      <c r="K310" s="711">
        <v>3304</v>
      </c>
      <c r="L310" s="711"/>
      <c r="M310" s="711">
        <v>826</v>
      </c>
      <c r="N310" s="711"/>
      <c r="O310" s="711"/>
      <c r="P310" s="701"/>
      <c r="Q310" s="712"/>
    </row>
    <row r="311" spans="1:17" ht="14.4" customHeight="1" x14ac:dyDescent="0.3">
      <c r="A311" s="695" t="s">
        <v>5630</v>
      </c>
      <c r="B311" s="696" t="s">
        <v>5341</v>
      </c>
      <c r="C311" s="696" t="s">
        <v>4114</v>
      </c>
      <c r="D311" s="696" t="s">
        <v>5639</v>
      </c>
      <c r="E311" s="696" t="s">
        <v>5640</v>
      </c>
      <c r="F311" s="711">
        <v>1</v>
      </c>
      <c r="G311" s="711">
        <v>807</v>
      </c>
      <c r="H311" s="711">
        <v>1</v>
      </c>
      <c r="I311" s="711">
        <v>807</v>
      </c>
      <c r="J311" s="711"/>
      <c r="K311" s="711"/>
      <c r="L311" s="711"/>
      <c r="M311" s="711"/>
      <c r="N311" s="711"/>
      <c r="O311" s="711"/>
      <c r="P311" s="701"/>
      <c r="Q311" s="712"/>
    </row>
    <row r="312" spans="1:17" ht="14.4" customHeight="1" x14ac:dyDescent="0.3">
      <c r="A312" s="695" t="s">
        <v>5630</v>
      </c>
      <c r="B312" s="696" t="s">
        <v>5341</v>
      </c>
      <c r="C312" s="696" t="s">
        <v>4114</v>
      </c>
      <c r="D312" s="696" t="s">
        <v>5641</v>
      </c>
      <c r="E312" s="696" t="s">
        <v>5642</v>
      </c>
      <c r="F312" s="711">
        <v>1</v>
      </c>
      <c r="G312" s="711">
        <v>807</v>
      </c>
      <c r="H312" s="711">
        <v>1</v>
      </c>
      <c r="I312" s="711">
        <v>807</v>
      </c>
      <c r="J312" s="711"/>
      <c r="K312" s="711"/>
      <c r="L312" s="711"/>
      <c r="M312" s="711"/>
      <c r="N312" s="711"/>
      <c r="O312" s="711"/>
      <c r="P312" s="701"/>
      <c r="Q312" s="712"/>
    </row>
    <row r="313" spans="1:17" ht="14.4" customHeight="1" x14ac:dyDescent="0.3">
      <c r="A313" s="695" t="s">
        <v>5630</v>
      </c>
      <c r="B313" s="696" t="s">
        <v>5341</v>
      </c>
      <c r="C313" s="696" t="s">
        <v>4114</v>
      </c>
      <c r="D313" s="696" t="s">
        <v>5643</v>
      </c>
      <c r="E313" s="696" t="s">
        <v>5644</v>
      </c>
      <c r="F313" s="711">
        <v>11</v>
      </c>
      <c r="G313" s="711">
        <v>1826</v>
      </c>
      <c r="H313" s="711">
        <v>1</v>
      </c>
      <c r="I313" s="711">
        <v>166</v>
      </c>
      <c r="J313" s="711">
        <v>12</v>
      </c>
      <c r="K313" s="711">
        <v>1992</v>
      </c>
      <c r="L313" s="711">
        <v>1.0909090909090908</v>
      </c>
      <c r="M313" s="711">
        <v>166</v>
      </c>
      <c r="N313" s="711">
        <v>3</v>
      </c>
      <c r="O313" s="711">
        <v>498</v>
      </c>
      <c r="P313" s="701">
        <v>0.27272727272727271</v>
      </c>
      <c r="Q313" s="712">
        <v>166</v>
      </c>
    </row>
    <row r="314" spans="1:17" ht="14.4" customHeight="1" x14ac:dyDescent="0.3">
      <c r="A314" s="695" t="s">
        <v>5630</v>
      </c>
      <c r="B314" s="696" t="s">
        <v>5341</v>
      </c>
      <c r="C314" s="696" t="s">
        <v>4114</v>
      </c>
      <c r="D314" s="696" t="s">
        <v>5645</v>
      </c>
      <c r="E314" s="696" t="s">
        <v>5646</v>
      </c>
      <c r="F314" s="711">
        <v>11</v>
      </c>
      <c r="G314" s="711">
        <v>1892</v>
      </c>
      <c r="H314" s="711">
        <v>1</v>
      </c>
      <c r="I314" s="711">
        <v>172</v>
      </c>
      <c r="J314" s="711">
        <v>10</v>
      </c>
      <c r="K314" s="711">
        <v>1720</v>
      </c>
      <c r="L314" s="711">
        <v>0.90909090909090906</v>
      </c>
      <c r="M314" s="711">
        <v>172</v>
      </c>
      <c r="N314" s="711">
        <v>5</v>
      </c>
      <c r="O314" s="711">
        <v>861</v>
      </c>
      <c r="P314" s="701">
        <v>0.45507399577167018</v>
      </c>
      <c r="Q314" s="712">
        <v>172.2</v>
      </c>
    </row>
    <row r="315" spans="1:17" ht="14.4" customHeight="1" x14ac:dyDescent="0.3">
      <c r="A315" s="695" t="s">
        <v>5630</v>
      </c>
      <c r="B315" s="696" t="s">
        <v>5341</v>
      </c>
      <c r="C315" s="696" t="s">
        <v>4114</v>
      </c>
      <c r="D315" s="696" t="s">
        <v>5647</v>
      </c>
      <c r="E315" s="696" t="s">
        <v>5648</v>
      </c>
      <c r="F315" s="711">
        <v>1</v>
      </c>
      <c r="G315" s="711">
        <v>544</v>
      </c>
      <c r="H315" s="711">
        <v>1</v>
      </c>
      <c r="I315" s="711">
        <v>544</v>
      </c>
      <c r="J315" s="711">
        <v>2</v>
      </c>
      <c r="K315" s="711">
        <v>1090</v>
      </c>
      <c r="L315" s="711">
        <v>2.0036764705882355</v>
      </c>
      <c r="M315" s="711">
        <v>545</v>
      </c>
      <c r="N315" s="711"/>
      <c r="O315" s="711"/>
      <c r="P315" s="701"/>
      <c r="Q315" s="712"/>
    </row>
    <row r="316" spans="1:17" ht="14.4" customHeight="1" x14ac:dyDescent="0.3">
      <c r="A316" s="695" t="s">
        <v>5630</v>
      </c>
      <c r="B316" s="696" t="s">
        <v>5341</v>
      </c>
      <c r="C316" s="696" t="s">
        <v>4114</v>
      </c>
      <c r="D316" s="696" t="s">
        <v>5649</v>
      </c>
      <c r="E316" s="696" t="s">
        <v>5650</v>
      </c>
      <c r="F316" s="711">
        <v>1</v>
      </c>
      <c r="G316" s="711">
        <v>673</v>
      </c>
      <c r="H316" s="711">
        <v>1</v>
      </c>
      <c r="I316" s="711">
        <v>673</v>
      </c>
      <c r="J316" s="711">
        <v>1</v>
      </c>
      <c r="K316" s="711">
        <v>674</v>
      </c>
      <c r="L316" s="711">
        <v>1.0014858841010401</v>
      </c>
      <c r="M316" s="711">
        <v>674</v>
      </c>
      <c r="N316" s="711"/>
      <c r="O316" s="711"/>
      <c r="P316" s="701"/>
      <c r="Q316" s="712"/>
    </row>
    <row r="317" spans="1:17" ht="14.4" customHeight="1" x14ac:dyDescent="0.3">
      <c r="A317" s="695" t="s">
        <v>5630</v>
      </c>
      <c r="B317" s="696" t="s">
        <v>5341</v>
      </c>
      <c r="C317" s="696" t="s">
        <v>4114</v>
      </c>
      <c r="D317" s="696" t="s">
        <v>5651</v>
      </c>
      <c r="E317" s="696" t="s">
        <v>5652</v>
      </c>
      <c r="F317" s="711">
        <v>6</v>
      </c>
      <c r="G317" s="711">
        <v>2058</v>
      </c>
      <c r="H317" s="711">
        <v>1</v>
      </c>
      <c r="I317" s="711">
        <v>343</v>
      </c>
      <c r="J317" s="711">
        <v>3</v>
      </c>
      <c r="K317" s="711">
        <v>1032</v>
      </c>
      <c r="L317" s="711">
        <v>0.50145772594752192</v>
      </c>
      <c r="M317" s="711">
        <v>344</v>
      </c>
      <c r="N317" s="711"/>
      <c r="O317" s="711"/>
      <c r="P317" s="701"/>
      <c r="Q317" s="712"/>
    </row>
    <row r="318" spans="1:17" ht="14.4" customHeight="1" x14ac:dyDescent="0.3">
      <c r="A318" s="695" t="s">
        <v>5630</v>
      </c>
      <c r="B318" s="696" t="s">
        <v>5341</v>
      </c>
      <c r="C318" s="696" t="s">
        <v>4114</v>
      </c>
      <c r="D318" s="696" t="s">
        <v>5108</v>
      </c>
      <c r="E318" s="696" t="s">
        <v>5109</v>
      </c>
      <c r="F318" s="711"/>
      <c r="G318" s="711"/>
      <c r="H318" s="711"/>
      <c r="I318" s="711"/>
      <c r="J318" s="711">
        <v>7</v>
      </c>
      <c r="K318" s="711">
        <v>1519</v>
      </c>
      <c r="L318" s="711"/>
      <c r="M318" s="711">
        <v>217</v>
      </c>
      <c r="N318" s="711"/>
      <c r="O318" s="711"/>
      <c r="P318" s="701"/>
      <c r="Q318" s="712"/>
    </row>
    <row r="319" spans="1:17" ht="14.4" customHeight="1" x14ac:dyDescent="0.3">
      <c r="A319" s="695" t="s">
        <v>5630</v>
      </c>
      <c r="B319" s="696" t="s">
        <v>5341</v>
      </c>
      <c r="C319" s="696" t="s">
        <v>4114</v>
      </c>
      <c r="D319" s="696" t="s">
        <v>5110</v>
      </c>
      <c r="E319" s="696" t="s">
        <v>5111</v>
      </c>
      <c r="F319" s="711">
        <v>8</v>
      </c>
      <c r="G319" s="711">
        <v>3952</v>
      </c>
      <c r="H319" s="711">
        <v>1</v>
      </c>
      <c r="I319" s="711">
        <v>494</v>
      </c>
      <c r="J319" s="711">
        <v>4</v>
      </c>
      <c r="K319" s="711">
        <v>1988</v>
      </c>
      <c r="L319" s="711">
        <v>0.50303643724696356</v>
      </c>
      <c r="M319" s="711">
        <v>497</v>
      </c>
      <c r="N319" s="711"/>
      <c r="O319" s="711"/>
      <c r="P319" s="701"/>
      <c r="Q319" s="712"/>
    </row>
    <row r="320" spans="1:17" ht="14.4" customHeight="1" x14ac:dyDescent="0.3">
      <c r="A320" s="695" t="s">
        <v>5630</v>
      </c>
      <c r="B320" s="696" t="s">
        <v>5341</v>
      </c>
      <c r="C320" s="696" t="s">
        <v>4114</v>
      </c>
      <c r="D320" s="696" t="s">
        <v>5653</v>
      </c>
      <c r="E320" s="696" t="s">
        <v>5654</v>
      </c>
      <c r="F320" s="711">
        <v>1</v>
      </c>
      <c r="G320" s="711">
        <v>144</v>
      </c>
      <c r="H320" s="711">
        <v>1</v>
      </c>
      <c r="I320" s="711">
        <v>144</v>
      </c>
      <c r="J320" s="711">
        <v>1</v>
      </c>
      <c r="K320" s="711">
        <v>145</v>
      </c>
      <c r="L320" s="711">
        <v>1.0069444444444444</v>
      </c>
      <c r="M320" s="711">
        <v>145</v>
      </c>
      <c r="N320" s="711"/>
      <c r="O320" s="711"/>
      <c r="P320" s="701"/>
      <c r="Q320" s="712"/>
    </row>
    <row r="321" spans="1:17" ht="14.4" customHeight="1" x14ac:dyDescent="0.3">
      <c r="A321" s="695" t="s">
        <v>5630</v>
      </c>
      <c r="B321" s="696" t="s">
        <v>5341</v>
      </c>
      <c r="C321" s="696" t="s">
        <v>4114</v>
      </c>
      <c r="D321" s="696" t="s">
        <v>5655</v>
      </c>
      <c r="E321" s="696" t="s">
        <v>5656</v>
      </c>
      <c r="F321" s="711">
        <v>3</v>
      </c>
      <c r="G321" s="711">
        <v>330</v>
      </c>
      <c r="H321" s="711">
        <v>1</v>
      </c>
      <c r="I321" s="711">
        <v>110</v>
      </c>
      <c r="J321" s="711">
        <v>2</v>
      </c>
      <c r="K321" s="711">
        <v>220</v>
      </c>
      <c r="L321" s="711">
        <v>0.66666666666666663</v>
      </c>
      <c r="M321" s="711">
        <v>110</v>
      </c>
      <c r="N321" s="711"/>
      <c r="O321" s="711"/>
      <c r="P321" s="701"/>
      <c r="Q321" s="712"/>
    </row>
    <row r="322" spans="1:17" ht="14.4" customHeight="1" x14ac:dyDescent="0.3">
      <c r="A322" s="695" t="s">
        <v>5630</v>
      </c>
      <c r="B322" s="696" t="s">
        <v>5341</v>
      </c>
      <c r="C322" s="696" t="s">
        <v>4114</v>
      </c>
      <c r="D322" s="696" t="s">
        <v>5657</v>
      </c>
      <c r="E322" s="696" t="s">
        <v>5658</v>
      </c>
      <c r="F322" s="711"/>
      <c r="G322" s="711"/>
      <c r="H322" s="711"/>
      <c r="I322" s="711"/>
      <c r="J322" s="711">
        <v>2</v>
      </c>
      <c r="K322" s="711">
        <v>656</v>
      </c>
      <c r="L322" s="711"/>
      <c r="M322" s="711">
        <v>328</v>
      </c>
      <c r="N322" s="711"/>
      <c r="O322" s="711"/>
      <c r="P322" s="701"/>
      <c r="Q322" s="712"/>
    </row>
    <row r="323" spans="1:17" ht="14.4" customHeight="1" x14ac:dyDescent="0.3">
      <c r="A323" s="695" t="s">
        <v>5630</v>
      </c>
      <c r="B323" s="696" t="s">
        <v>5341</v>
      </c>
      <c r="C323" s="696" t="s">
        <v>4114</v>
      </c>
      <c r="D323" s="696" t="s">
        <v>5659</v>
      </c>
      <c r="E323" s="696" t="s">
        <v>5660</v>
      </c>
      <c r="F323" s="711"/>
      <c r="G323" s="711"/>
      <c r="H323" s="711"/>
      <c r="I323" s="711"/>
      <c r="J323" s="711">
        <v>20</v>
      </c>
      <c r="K323" s="711">
        <v>460</v>
      </c>
      <c r="L323" s="711"/>
      <c r="M323" s="711">
        <v>23</v>
      </c>
      <c r="N323" s="711"/>
      <c r="O323" s="711"/>
      <c r="P323" s="701"/>
      <c r="Q323" s="712"/>
    </row>
    <row r="324" spans="1:17" ht="14.4" customHeight="1" x14ac:dyDescent="0.3">
      <c r="A324" s="695" t="s">
        <v>5630</v>
      </c>
      <c r="B324" s="696" t="s">
        <v>5341</v>
      </c>
      <c r="C324" s="696" t="s">
        <v>4114</v>
      </c>
      <c r="D324" s="696" t="s">
        <v>5136</v>
      </c>
      <c r="E324" s="696" t="s">
        <v>5137</v>
      </c>
      <c r="F324" s="711">
        <v>47</v>
      </c>
      <c r="G324" s="711">
        <v>16309</v>
      </c>
      <c r="H324" s="711">
        <v>1</v>
      </c>
      <c r="I324" s="711">
        <v>347</v>
      </c>
      <c r="J324" s="711">
        <v>36</v>
      </c>
      <c r="K324" s="711">
        <v>12528</v>
      </c>
      <c r="L324" s="711">
        <v>0.76816481697222394</v>
      </c>
      <c r="M324" s="711">
        <v>348</v>
      </c>
      <c r="N324" s="711">
        <v>9</v>
      </c>
      <c r="O324" s="711">
        <v>3132</v>
      </c>
      <c r="P324" s="701">
        <v>0.19204120424305599</v>
      </c>
      <c r="Q324" s="712">
        <v>348</v>
      </c>
    </row>
    <row r="325" spans="1:17" ht="14.4" customHeight="1" x14ac:dyDescent="0.3">
      <c r="A325" s="695" t="s">
        <v>5630</v>
      </c>
      <c r="B325" s="696" t="s">
        <v>5341</v>
      </c>
      <c r="C325" s="696" t="s">
        <v>4114</v>
      </c>
      <c r="D325" s="696" t="s">
        <v>5097</v>
      </c>
      <c r="E325" s="696" t="s">
        <v>5098</v>
      </c>
      <c r="F325" s="711"/>
      <c r="G325" s="711"/>
      <c r="H325" s="711"/>
      <c r="I325" s="711"/>
      <c r="J325" s="711">
        <v>7</v>
      </c>
      <c r="K325" s="711">
        <v>8715</v>
      </c>
      <c r="L325" s="711"/>
      <c r="M325" s="711">
        <v>1245</v>
      </c>
      <c r="N325" s="711"/>
      <c r="O325" s="711"/>
      <c r="P325" s="701"/>
      <c r="Q325" s="712"/>
    </row>
    <row r="326" spans="1:17" ht="14.4" customHeight="1" x14ac:dyDescent="0.3">
      <c r="A326" s="695" t="s">
        <v>5630</v>
      </c>
      <c r="B326" s="696" t="s">
        <v>5341</v>
      </c>
      <c r="C326" s="696" t="s">
        <v>4114</v>
      </c>
      <c r="D326" s="696" t="s">
        <v>5245</v>
      </c>
      <c r="E326" s="696" t="s">
        <v>5246</v>
      </c>
      <c r="F326" s="711">
        <v>2</v>
      </c>
      <c r="G326" s="711">
        <v>294</v>
      </c>
      <c r="H326" s="711">
        <v>1</v>
      </c>
      <c r="I326" s="711">
        <v>147</v>
      </c>
      <c r="J326" s="711">
        <v>1</v>
      </c>
      <c r="K326" s="711">
        <v>147</v>
      </c>
      <c r="L326" s="711">
        <v>0.5</v>
      </c>
      <c r="M326" s="711">
        <v>147</v>
      </c>
      <c r="N326" s="711"/>
      <c r="O326" s="711"/>
      <c r="P326" s="701"/>
      <c r="Q326" s="712"/>
    </row>
    <row r="327" spans="1:17" ht="14.4" customHeight="1" x14ac:dyDescent="0.3">
      <c r="A327" s="695" t="s">
        <v>5630</v>
      </c>
      <c r="B327" s="696" t="s">
        <v>5341</v>
      </c>
      <c r="C327" s="696" t="s">
        <v>4114</v>
      </c>
      <c r="D327" s="696" t="s">
        <v>5661</v>
      </c>
      <c r="E327" s="696" t="s">
        <v>5662</v>
      </c>
      <c r="F327" s="711">
        <v>5</v>
      </c>
      <c r="G327" s="711">
        <v>1015</v>
      </c>
      <c r="H327" s="711">
        <v>1</v>
      </c>
      <c r="I327" s="711">
        <v>203</v>
      </c>
      <c r="J327" s="711">
        <v>2</v>
      </c>
      <c r="K327" s="711">
        <v>408</v>
      </c>
      <c r="L327" s="711">
        <v>0.40197044334975368</v>
      </c>
      <c r="M327" s="711">
        <v>204</v>
      </c>
      <c r="N327" s="711"/>
      <c r="O327" s="711"/>
      <c r="P327" s="701"/>
      <c r="Q327" s="712"/>
    </row>
    <row r="328" spans="1:17" ht="14.4" customHeight="1" x14ac:dyDescent="0.3">
      <c r="A328" s="695" t="s">
        <v>5630</v>
      </c>
      <c r="B328" s="696" t="s">
        <v>5341</v>
      </c>
      <c r="C328" s="696" t="s">
        <v>4114</v>
      </c>
      <c r="D328" s="696" t="s">
        <v>5663</v>
      </c>
      <c r="E328" s="696" t="s">
        <v>5664</v>
      </c>
      <c r="F328" s="711">
        <v>9</v>
      </c>
      <c r="G328" s="711">
        <v>342</v>
      </c>
      <c r="H328" s="711">
        <v>1</v>
      </c>
      <c r="I328" s="711">
        <v>38</v>
      </c>
      <c r="J328" s="711">
        <v>2</v>
      </c>
      <c r="K328" s="711">
        <v>76</v>
      </c>
      <c r="L328" s="711">
        <v>0.22222222222222221</v>
      </c>
      <c r="M328" s="711">
        <v>38</v>
      </c>
      <c r="N328" s="711">
        <v>2</v>
      </c>
      <c r="O328" s="711">
        <v>76</v>
      </c>
      <c r="P328" s="701">
        <v>0.22222222222222221</v>
      </c>
      <c r="Q328" s="712">
        <v>38</v>
      </c>
    </row>
    <row r="329" spans="1:17" ht="14.4" customHeight="1" x14ac:dyDescent="0.3">
      <c r="A329" s="695" t="s">
        <v>5630</v>
      </c>
      <c r="B329" s="696" t="s">
        <v>5341</v>
      </c>
      <c r="C329" s="696" t="s">
        <v>4114</v>
      </c>
      <c r="D329" s="696" t="s">
        <v>5665</v>
      </c>
      <c r="E329" s="696" t="s">
        <v>5666</v>
      </c>
      <c r="F329" s="711">
        <v>11</v>
      </c>
      <c r="G329" s="711">
        <v>1859</v>
      </c>
      <c r="H329" s="711">
        <v>1</v>
      </c>
      <c r="I329" s="711">
        <v>169</v>
      </c>
      <c r="J329" s="711">
        <v>11</v>
      </c>
      <c r="K329" s="711">
        <v>1859</v>
      </c>
      <c r="L329" s="711">
        <v>1</v>
      </c>
      <c r="M329" s="711">
        <v>169</v>
      </c>
      <c r="N329" s="711">
        <v>3</v>
      </c>
      <c r="O329" s="711">
        <v>507</v>
      </c>
      <c r="P329" s="701">
        <v>0.27272727272727271</v>
      </c>
      <c r="Q329" s="712">
        <v>169</v>
      </c>
    </row>
    <row r="330" spans="1:17" ht="14.4" customHeight="1" x14ac:dyDescent="0.3">
      <c r="A330" s="695" t="s">
        <v>5630</v>
      </c>
      <c r="B330" s="696" t="s">
        <v>5341</v>
      </c>
      <c r="C330" s="696" t="s">
        <v>4114</v>
      </c>
      <c r="D330" s="696" t="s">
        <v>5667</v>
      </c>
      <c r="E330" s="696" t="s">
        <v>5668</v>
      </c>
      <c r="F330" s="711">
        <v>6</v>
      </c>
      <c r="G330" s="711">
        <v>2082</v>
      </c>
      <c r="H330" s="711">
        <v>1</v>
      </c>
      <c r="I330" s="711">
        <v>347</v>
      </c>
      <c r="J330" s="711">
        <v>2</v>
      </c>
      <c r="K330" s="711">
        <v>694</v>
      </c>
      <c r="L330" s="711">
        <v>0.33333333333333331</v>
      </c>
      <c r="M330" s="711">
        <v>347</v>
      </c>
      <c r="N330" s="711">
        <v>1</v>
      </c>
      <c r="O330" s="711">
        <v>347</v>
      </c>
      <c r="P330" s="701">
        <v>0.16666666666666666</v>
      </c>
      <c r="Q330" s="712">
        <v>347</v>
      </c>
    </row>
    <row r="331" spans="1:17" ht="14.4" customHeight="1" x14ac:dyDescent="0.3">
      <c r="A331" s="695" t="s">
        <v>5630</v>
      </c>
      <c r="B331" s="696" t="s">
        <v>5341</v>
      </c>
      <c r="C331" s="696" t="s">
        <v>4114</v>
      </c>
      <c r="D331" s="696" t="s">
        <v>5297</v>
      </c>
      <c r="E331" s="696" t="s">
        <v>5298</v>
      </c>
      <c r="F331" s="711">
        <v>11</v>
      </c>
      <c r="G331" s="711">
        <v>1892</v>
      </c>
      <c r="H331" s="711">
        <v>1</v>
      </c>
      <c r="I331" s="711">
        <v>172</v>
      </c>
      <c r="J331" s="711">
        <v>11</v>
      </c>
      <c r="K331" s="711">
        <v>1892</v>
      </c>
      <c r="L331" s="711">
        <v>1</v>
      </c>
      <c r="M331" s="711">
        <v>172</v>
      </c>
      <c r="N331" s="711">
        <v>3</v>
      </c>
      <c r="O331" s="711">
        <v>516</v>
      </c>
      <c r="P331" s="701">
        <v>0.27272727272727271</v>
      </c>
      <c r="Q331" s="712">
        <v>172</v>
      </c>
    </row>
    <row r="332" spans="1:17" ht="14.4" customHeight="1" x14ac:dyDescent="0.3">
      <c r="A332" s="695" t="s">
        <v>5630</v>
      </c>
      <c r="B332" s="696" t="s">
        <v>5341</v>
      </c>
      <c r="C332" s="696" t="s">
        <v>4114</v>
      </c>
      <c r="D332" s="696" t="s">
        <v>5669</v>
      </c>
      <c r="E332" s="696" t="s">
        <v>5670</v>
      </c>
      <c r="F332" s="711">
        <v>8</v>
      </c>
      <c r="G332" s="711">
        <v>3192</v>
      </c>
      <c r="H332" s="711">
        <v>1</v>
      </c>
      <c r="I332" s="711">
        <v>399</v>
      </c>
      <c r="J332" s="711"/>
      <c r="K332" s="711"/>
      <c r="L332" s="711"/>
      <c r="M332" s="711"/>
      <c r="N332" s="711"/>
      <c r="O332" s="711"/>
      <c r="P332" s="701"/>
      <c r="Q332" s="712"/>
    </row>
    <row r="333" spans="1:17" ht="14.4" customHeight="1" x14ac:dyDescent="0.3">
      <c r="A333" s="695" t="s">
        <v>5630</v>
      </c>
      <c r="B333" s="696" t="s">
        <v>5341</v>
      </c>
      <c r="C333" s="696" t="s">
        <v>4114</v>
      </c>
      <c r="D333" s="696" t="s">
        <v>5671</v>
      </c>
      <c r="E333" s="696" t="s">
        <v>5672</v>
      </c>
      <c r="F333" s="711"/>
      <c r="G333" s="711"/>
      <c r="H333" s="711"/>
      <c r="I333" s="711"/>
      <c r="J333" s="711">
        <v>146</v>
      </c>
      <c r="K333" s="711">
        <v>61904</v>
      </c>
      <c r="L333" s="711"/>
      <c r="M333" s="711">
        <v>424</v>
      </c>
      <c r="N333" s="711"/>
      <c r="O333" s="711"/>
      <c r="P333" s="701"/>
      <c r="Q333" s="712"/>
    </row>
    <row r="334" spans="1:17" ht="14.4" customHeight="1" x14ac:dyDescent="0.3">
      <c r="A334" s="695" t="s">
        <v>5630</v>
      </c>
      <c r="B334" s="696" t="s">
        <v>5341</v>
      </c>
      <c r="C334" s="696" t="s">
        <v>4114</v>
      </c>
      <c r="D334" s="696" t="s">
        <v>5673</v>
      </c>
      <c r="E334" s="696" t="s">
        <v>5674</v>
      </c>
      <c r="F334" s="711">
        <v>5</v>
      </c>
      <c r="G334" s="711">
        <v>520</v>
      </c>
      <c r="H334" s="711">
        <v>1</v>
      </c>
      <c r="I334" s="711">
        <v>104</v>
      </c>
      <c r="J334" s="711"/>
      <c r="K334" s="711"/>
      <c r="L334" s="711"/>
      <c r="M334" s="711"/>
      <c r="N334" s="711"/>
      <c r="O334" s="711"/>
      <c r="P334" s="701"/>
      <c r="Q334" s="712"/>
    </row>
    <row r="335" spans="1:17" ht="14.4" customHeight="1" x14ac:dyDescent="0.3">
      <c r="A335" s="695" t="s">
        <v>5630</v>
      </c>
      <c r="B335" s="696" t="s">
        <v>5341</v>
      </c>
      <c r="C335" s="696" t="s">
        <v>4114</v>
      </c>
      <c r="D335" s="696" t="s">
        <v>5675</v>
      </c>
      <c r="E335" s="696" t="s">
        <v>5676</v>
      </c>
      <c r="F335" s="711">
        <v>1</v>
      </c>
      <c r="G335" s="711">
        <v>673</v>
      </c>
      <c r="H335" s="711">
        <v>1</v>
      </c>
      <c r="I335" s="711">
        <v>673</v>
      </c>
      <c r="J335" s="711">
        <v>1</v>
      </c>
      <c r="K335" s="711">
        <v>674</v>
      </c>
      <c r="L335" s="711">
        <v>1.0014858841010401</v>
      </c>
      <c r="M335" s="711">
        <v>674</v>
      </c>
      <c r="N335" s="711"/>
      <c r="O335" s="711"/>
      <c r="P335" s="701"/>
      <c r="Q335" s="712"/>
    </row>
    <row r="336" spans="1:17" ht="14.4" customHeight="1" x14ac:dyDescent="0.3">
      <c r="A336" s="695" t="s">
        <v>5630</v>
      </c>
      <c r="B336" s="696" t="s">
        <v>5341</v>
      </c>
      <c r="C336" s="696" t="s">
        <v>4114</v>
      </c>
      <c r="D336" s="696" t="s">
        <v>5677</v>
      </c>
      <c r="E336" s="696" t="s">
        <v>5678</v>
      </c>
      <c r="F336" s="711">
        <v>1</v>
      </c>
      <c r="G336" s="711">
        <v>807</v>
      </c>
      <c r="H336" s="711">
        <v>1</v>
      </c>
      <c r="I336" s="711">
        <v>807</v>
      </c>
      <c r="J336" s="711"/>
      <c r="K336" s="711"/>
      <c r="L336" s="711"/>
      <c r="M336" s="711"/>
      <c r="N336" s="711"/>
      <c r="O336" s="711"/>
      <c r="P336" s="701"/>
      <c r="Q336" s="712"/>
    </row>
    <row r="337" spans="1:17" ht="14.4" customHeight="1" x14ac:dyDescent="0.3">
      <c r="A337" s="695" t="s">
        <v>5630</v>
      </c>
      <c r="B337" s="696" t="s">
        <v>5341</v>
      </c>
      <c r="C337" s="696" t="s">
        <v>4114</v>
      </c>
      <c r="D337" s="696" t="s">
        <v>5101</v>
      </c>
      <c r="E337" s="696" t="s">
        <v>5102</v>
      </c>
      <c r="F337" s="711"/>
      <c r="G337" s="711"/>
      <c r="H337" s="711"/>
      <c r="I337" s="711"/>
      <c r="J337" s="711">
        <v>146</v>
      </c>
      <c r="K337" s="711">
        <v>146292</v>
      </c>
      <c r="L337" s="711"/>
      <c r="M337" s="711">
        <v>1002</v>
      </c>
      <c r="N337" s="711"/>
      <c r="O337" s="711"/>
      <c r="P337" s="701"/>
      <c r="Q337" s="712"/>
    </row>
    <row r="338" spans="1:17" ht="14.4" customHeight="1" x14ac:dyDescent="0.3">
      <c r="A338" s="695" t="s">
        <v>5630</v>
      </c>
      <c r="B338" s="696" t="s">
        <v>5341</v>
      </c>
      <c r="C338" s="696" t="s">
        <v>4114</v>
      </c>
      <c r="D338" s="696" t="s">
        <v>5679</v>
      </c>
      <c r="E338" s="696" t="s">
        <v>5680</v>
      </c>
      <c r="F338" s="711">
        <v>11</v>
      </c>
      <c r="G338" s="711">
        <v>1826</v>
      </c>
      <c r="H338" s="711">
        <v>1</v>
      </c>
      <c r="I338" s="711">
        <v>166</v>
      </c>
      <c r="J338" s="711">
        <v>10</v>
      </c>
      <c r="K338" s="711">
        <v>1660</v>
      </c>
      <c r="L338" s="711">
        <v>0.90909090909090906</v>
      </c>
      <c r="M338" s="711">
        <v>166</v>
      </c>
      <c r="N338" s="711">
        <v>5</v>
      </c>
      <c r="O338" s="711">
        <v>831</v>
      </c>
      <c r="P338" s="701">
        <v>0.45509309967141293</v>
      </c>
      <c r="Q338" s="712">
        <v>166.2</v>
      </c>
    </row>
    <row r="339" spans="1:17" ht="14.4" customHeight="1" x14ac:dyDescent="0.3">
      <c r="A339" s="695" t="s">
        <v>5630</v>
      </c>
      <c r="B339" s="696" t="s">
        <v>5341</v>
      </c>
      <c r="C339" s="696" t="s">
        <v>4114</v>
      </c>
      <c r="D339" s="696" t="s">
        <v>5681</v>
      </c>
      <c r="E339" s="696" t="s">
        <v>5682</v>
      </c>
      <c r="F339" s="711">
        <v>2</v>
      </c>
      <c r="G339" s="711">
        <v>1144</v>
      </c>
      <c r="H339" s="711">
        <v>1</v>
      </c>
      <c r="I339" s="711">
        <v>572</v>
      </c>
      <c r="J339" s="711"/>
      <c r="K339" s="711"/>
      <c r="L339" s="711"/>
      <c r="M339" s="711"/>
      <c r="N339" s="711"/>
      <c r="O339" s="711"/>
      <c r="P339" s="701"/>
      <c r="Q339" s="712"/>
    </row>
    <row r="340" spans="1:17" ht="14.4" customHeight="1" x14ac:dyDescent="0.3">
      <c r="A340" s="695" t="s">
        <v>5630</v>
      </c>
      <c r="B340" s="696" t="s">
        <v>5341</v>
      </c>
      <c r="C340" s="696" t="s">
        <v>4114</v>
      </c>
      <c r="D340" s="696" t="s">
        <v>5683</v>
      </c>
      <c r="E340" s="696" t="s">
        <v>5684</v>
      </c>
      <c r="F340" s="711">
        <v>1</v>
      </c>
      <c r="G340" s="711">
        <v>807</v>
      </c>
      <c r="H340" s="711">
        <v>1</v>
      </c>
      <c r="I340" s="711">
        <v>807</v>
      </c>
      <c r="J340" s="711"/>
      <c r="K340" s="711"/>
      <c r="L340" s="711"/>
      <c r="M340" s="711"/>
      <c r="N340" s="711"/>
      <c r="O340" s="711"/>
      <c r="P340" s="701"/>
      <c r="Q340" s="712"/>
    </row>
    <row r="341" spans="1:17" ht="14.4" customHeight="1" x14ac:dyDescent="0.3">
      <c r="A341" s="695" t="s">
        <v>5630</v>
      </c>
      <c r="B341" s="696" t="s">
        <v>5341</v>
      </c>
      <c r="C341" s="696" t="s">
        <v>4114</v>
      </c>
      <c r="D341" s="696" t="s">
        <v>5685</v>
      </c>
      <c r="E341" s="696" t="s">
        <v>5686</v>
      </c>
      <c r="F341" s="711"/>
      <c r="G341" s="711"/>
      <c r="H341" s="711"/>
      <c r="I341" s="711"/>
      <c r="J341" s="711"/>
      <c r="K341" s="711"/>
      <c r="L341" s="711"/>
      <c r="M341" s="711"/>
      <c r="N341" s="711">
        <v>1</v>
      </c>
      <c r="O341" s="711">
        <v>250</v>
      </c>
      <c r="P341" s="701"/>
      <c r="Q341" s="712">
        <v>250</v>
      </c>
    </row>
    <row r="342" spans="1:17" ht="14.4" customHeight="1" x14ac:dyDescent="0.3">
      <c r="A342" s="695" t="s">
        <v>5630</v>
      </c>
      <c r="B342" s="696" t="s">
        <v>5341</v>
      </c>
      <c r="C342" s="696" t="s">
        <v>4114</v>
      </c>
      <c r="D342" s="696" t="s">
        <v>5687</v>
      </c>
      <c r="E342" s="696" t="s">
        <v>5688</v>
      </c>
      <c r="F342" s="711"/>
      <c r="G342" s="711"/>
      <c r="H342" s="711"/>
      <c r="I342" s="711"/>
      <c r="J342" s="711"/>
      <c r="K342" s="711"/>
      <c r="L342" s="711"/>
      <c r="M342" s="711"/>
      <c r="N342" s="711">
        <v>1</v>
      </c>
      <c r="O342" s="711">
        <v>423</v>
      </c>
      <c r="P342" s="701"/>
      <c r="Q342" s="712">
        <v>423</v>
      </c>
    </row>
    <row r="343" spans="1:17" ht="14.4" customHeight="1" x14ac:dyDescent="0.3">
      <c r="A343" s="695" t="s">
        <v>5630</v>
      </c>
      <c r="B343" s="696" t="s">
        <v>5341</v>
      </c>
      <c r="C343" s="696" t="s">
        <v>4114</v>
      </c>
      <c r="D343" s="696" t="s">
        <v>5689</v>
      </c>
      <c r="E343" s="696" t="s">
        <v>5690</v>
      </c>
      <c r="F343" s="711"/>
      <c r="G343" s="711"/>
      <c r="H343" s="711"/>
      <c r="I343" s="711"/>
      <c r="J343" s="711">
        <v>3</v>
      </c>
      <c r="K343" s="711">
        <v>4950</v>
      </c>
      <c r="L343" s="711"/>
      <c r="M343" s="711">
        <v>1650</v>
      </c>
      <c r="N343" s="711"/>
      <c r="O343" s="711"/>
      <c r="P343" s="701"/>
      <c r="Q343" s="712"/>
    </row>
    <row r="344" spans="1:17" ht="14.4" customHeight="1" x14ac:dyDescent="0.3">
      <c r="A344" s="695" t="s">
        <v>5691</v>
      </c>
      <c r="B344" s="696" t="s">
        <v>5092</v>
      </c>
      <c r="C344" s="696" t="s">
        <v>4114</v>
      </c>
      <c r="D344" s="696" t="s">
        <v>5097</v>
      </c>
      <c r="E344" s="696" t="s">
        <v>5098</v>
      </c>
      <c r="F344" s="711"/>
      <c r="G344" s="711"/>
      <c r="H344" s="711"/>
      <c r="I344" s="711"/>
      <c r="J344" s="711"/>
      <c r="K344" s="711"/>
      <c r="L344" s="711"/>
      <c r="M344" s="711"/>
      <c r="N344" s="711">
        <v>1</v>
      </c>
      <c r="O344" s="711">
        <v>1245</v>
      </c>
      <c r="P344" s="701"/>
      <c r="Q344" s="712">
        <v>1245</v>
      </c>
    </row>
    <row r="345" spans="1:17" ht="14.4" customHeight="1" x14ac:dyDescent="0.3">
      <c r="A345" s="695" t="s">
        <v>5691</v>
      </c>
      <c r="B345" s="696" t="s">
        <v>5092</v>
      </c>
      <c r="C345" s="696" t="s">
        <v>4114</v>
      </c>
      <c r="D345" s="696" t="s">
        <v>5692</v>
      </c>
      <c r="E345" s="696" t="s">
        <v>5693</v>
      </c>
      <c r="F345" s="711"/>
      <c r="G345" s="711"/>
      <c r="H345" s="711"/>
      <c r="I345" s="711"/>
      <c r="J345" s="711"/>
      <c r="K345" s="711"/>
      <c r="L345" s="711"/>
      <c r="M345" s="711"/>
      <c r="N345" s="711">
        <v>3</v>
      </c>
      <c r="O345" s="711">
        <v>28011</v>
      </c>
      <c r="P345" s="701"/>
      <c r="Q345" s="712">
        <v>9337</v>
      </c>
    </row>
    <row r="346" spans="1:17" ht="14.4" customHeight="1" thickBot="1" x14ac:dyDescent="0.35">
      <c r="A346" s="703" t="s">
        <v>5691</v>
      </c>
      <c r="B346" s="704" t="s">
        <v>5092</v>
      </c>
      <c r="C346" s="704" t="s">
        <v>4114</v>
      </c>
      <c r="D346" s="704" t="s">
        <v>5103</v>
      </c>
      <c r="E346" s="704" t="s">
        <v>5104</v>
      </c>
      <c r="F346" s="713"/>
      <c r="G346" s="713"/>
      <c r="H346" s="713"/>
      <c r="I346" s="713"/>
      <c r="J346" s="713"/>
      <c r="K346" s="713"/>
      <c r="L346" s="713"/>
      <c r="M346" s="713"/>
      <c r="N346" s="713">
        <v>6</v>
      </c>
      <c r="O346" s="713">
        <v>13398</v>
      </c>
      <c r="P346" s="709"/>
      <c r="Q346" s="714">
        <v>2233</v>
      </c>
    </row>
  </sheetData>
  <autoFilter ref="A5:Q5"/>
  <mergeCells count="11">
    <mergeCell ref="P4:P5"/>
    <mergeCell ref="Q4:Q5"/>
    <mergeCell ref="A1:Q1"/>
    <mergeCell ref="A4:A5"/>
    <mergeCell ref="B4:B5"/>
    <mergeCell ref="C4:C5"/>
    <mergeCell ref="D4:D5"/>
    <mergeCell ref="E4:E5"/>
    <mergeCell ref="F4:G4"/>
    <mergeCell ref="J4:K4"/>
    <mergeCell ref="N4:O4"/>
  </mergeCells>
  <conditionalFormatting sqref="P3">
    <cfRule type="cellIs" dxfId="3" priority="1" stopIfTrue="1" operator="greaterThan">
      <formula>1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5">
    <tabColor theme="0" tint="-0.249977111117893"/>
    <pageSetUpPr fitToPage="1"/>
  </sheetPr>
  <dimension ref="A1:N10"/>
  <sheetViews>
    <sheetView showGridLines="0" showRowColHeaders="0" zoomScaleNormal="100" workbookViewId="0">
      <pane ySplit="5" topLeftCell="A6" activePane="bottomLeft" state="frozen"/>
      <selection pane="bottomLeft" sqref="A1:N1"/>
    </sheetView>
  </sheetViews>
  <sheetFormatPr defaultRowHeight="14.4" customHeight="1" x14ac:dyDescent="0.3"/>
  <cols>
    <col min="1" max="1" width="14.33203125" style="192" bestFit="1" customWidth="1"/>
    <col min="2" max="2" width="15.6640625" style="192" bestFit="1" customWidth="1"/>
    <col min="3" max="5" width="8.33203125" style="202" customWidth="1"/>
    <col min="6" max="6" width="6.109375" style="203" customWidth="1"/>
    <col min="7" max="9" width="8.33203125" style="204" customWidth="1"/>
    <col min="10" max="10" width="6.109375" style="203" customWidth="1"/>
    <col min="11" max="13" width="8.33203125" style="204" customWidth="1"/>
    <col min="14" max="14" width="8.33203125" style="202" customWidth="1"/>
    <col min="15" max="16384" width="8.88671875" style="192"/>
  </cols>
  <sheetData>
    <row r="1" spans="1:14" ht="18.600000000000001" customHeight="1" thickBot="1" x14ac:dyDescent="0.4">
      <c r="A1" s="577" t="s">
        <v>182</v>
      </c>
      <c r="B1" s="578"/>
      <c r="C1" s="578"/>
      <c r="D1" s="578"/>
      <c r="E1" s="578"/>
      <c r="F1" s="578"/>
      <c r="G1" s="578"/>
      <c r="H1" s="578"/>
      <c r="I1" s="578"/>
      <c r="J1" s="578"/>
      <c r="K1" s="578"/>
      <c r="L1" s="578"/>
      <c r="M1" s="578"/>
      <c r="N1" s="578"/>
    </row>
    <row r="2" spans="1:14" ht="14.4" customHeight="1" thickBot="1" x14ac:dyDescent="0.35">
      <c r="A2" s="386" t="s">
        <v>321</v>
      </c>
      <c r="B2" s="193"/>
      <c r="C2" s="193"/>
      <c r="D2" s="193"/>
      <c r="E2" s="193"/>
      <c r="F2" s="193"/>
      <c r="G2" s="193"/>
      <c r="H2" s="193"/>
      <c r="I2" s="193"/>
      <c r="J2" s="193"/>
      <c r="K2" s="193"/>
      <c r="L2" s="193"/>
      <c r="M2" s="193"/>
      <c r="N2" s="193"/>
    </row>
    <row r="3" spans="1:14" ht="14.4" customHeight="1" thickBot="1" x14ac:dyDescent="0.35">
      <c r="A3" s="194"/>
      <c r="B3" s="195" t="s">
        <v>160</v>
      </c>
      <c r="C3" s="196">
        <f>SUBTOTAL(9,C6:C1048576)</f>
        <v>1002</v>
      </c>
      <c r="D3" s="197">
        <f>SUBTOTAL(9,D6:D1048576)</f>
        <v>1113</v>
      </c>
      <c r="E3" s="197">
        <f>SUBTOTAL(9,E6:E1048576)</f>
        <v>1125</v>
      </c>
      <c r="F3" s="198">
        <f>IF(OR(E3=0,C3=0),"",E3/C3)</f>
        <v>1.1227544910179641</v>
      </c>
      <c r="G3" s="199">
        <f>SUBTOTAL(9,G6:G1048576)</f>
        <v>24140597</v>
      </c>
      <c r="H3" s="200">
        <f>SUBTOTAL(9,H6:H1048576)</f>
        <v>26230483</v>
      </c>
      <c r="I3" s="200">
        <f>SUBTOTAL(9,I6:I1048576)</f>
        <v>26871965</v>
      </c>
      <c r="J3" s="198">
        <f>IF(OR(I3=0,G3=0),"",I3/G3)</f>
        <v>1.1131441778345414</v>
      </c>
      <c r="K3" s="199">
        <f>SUBTOTAL(9,K6:K1048576)</f>
        <v>8477000</v>
      </c>
      <c r="L3" s="200">
        <f>SUBTOTAL(9,L6:L1048576)</f>
        <v>9105000</v>
      </c>
      <c r="M3" s="200">
        <f>SUBTOTAL(9,M6:M1048576)</f>
        <v>9393000</v>
      </c>
      <c r="N3" s="201">
        <f>IF(OR(M3=0,E3=0),"",M3/E3)</f>
        <v>8349.3333333333339</v>
      </c>
    </row>
    <row r="4" spans="1:14" ht="14.4" customHeight="1" x14ac:dyDescent="0.3">
      <c r="A4" s="579" t="s">
        <v>90</v>
      </c>
      <c r="B4" s="580" t="s">
        <v>11</v>
      </c>
      <c r="C4" s="581" t="s">
        <v>91</v>
      </c>
      <c r="D4" s="581"/>
      <c r="E4" s="581"/>
      <c r="F4" s="582"/>
      <c r="G4" s="583" t="s">
        <v>14</v>
      </c>
      <c r="H4" s="581"/>
      <c r="I4" s="581"/>
      <c r="J4" s="582"/>
      <c r="K4" s="583" t="s">
        <v>92</v>
      </c>
      <c r="L4" s="581"/>
      <c r="M4" s="581"/>
      <c r="N4" s="584"/>
    </row>
    <row r="5" spans="1:14" ht="14.4" customHeight="1" thickBot="1" x14ac:dyDescent="0.35">
      <c r="A5" s="869"/>
      <c r="B5" s="870"/>
      <c r="C5" s="877">
        <v>2012</v>
      </c>
      <c r="D5" s="877">
        <v>2013</v>
      </c>
      <c r="E5" s="877">
        <v>2014</v>
      </c>
      <c r="F5" s="878" t="s">
        <v>2</v>
      </c>
      <c r="G5" s="888">
        <v>2012</v>
      </c>
      <c r="H5" s="877">
        <v>2013</v>
      </c>
      <c r="I5" s="877">
        <v>2014</v>
      </c>
      <c r="J5" s="878" t="s">
        <v>2</v>
      </c>
      <c r="K5" s="888">
        <v>2012</v>
      </c>
      <c r="L5" s="877">
        <v>2013</v>
      </c>
      <c r="M5" s="877">
        <v>2014</v>
      </c>
      <c r="N5" s="895" t="s">
        <v>93</v>
      </c>
    </row>
    <row r="6" spans="1:14" ht="14.4" customHeight="1" x14ac:dyDescent="0.3">
      <c r="A6" s="871" t="s">
        <v>4855</v>
      </c>
      <c r="B6" s="874" t="s">
        <v>5695</v>
      </c>
      <c r="C6" s="879">
        <v>186</v>
      </c>
      <c r="D6" s="880">
        <v>143</v>
      </c>
      <c r="E6" s="880">
        <v>176</v>
      </c>
      <c r="F6" s="885">
        <v>0.94623655913978499</v>
      </c>
      <c r="G6" s="889">
        <v>5350212</v>
      </c>
      <c r="H6" s="890">
        <v>4114002</v>
      </c>
      <c r="I6" s="890">
        <v>5063414</v>
      </c>
      <c r="J6" s="885">
        <v>0.94639502135616305</v>
      </c>
      <c r="K6" s="889">
        <v>2046000</v>
      </c>
      <c r="L6" s="890">
        <v>1573000</v>
      </c>
      <c r="M6" s="890">
        <v>1936000</v>
      </c>
      <c r="N6" s="896">
        <v>11000</v>
      </c>
    </row>
    <row r="7" spans="1:14" ht="14.4" customHeight="1" x14ac:dyDescent="0.3">
      <c r="A7" s="872" t="s">
        <v>4882</v>
      </c>
      <c r="B7" s="875" t="s">
        <v>5695</v>
      </c>
      <c r="C7" s="881">
        <v>490</v>
      </c>
      <c r="D7" s="882">
        <v>513</v>
      </c>
      <c r="E7" s="882">
        <v>566</v>
      </c>
      <c r="F7" s="886">
        <v>1.1551020408163266</v>
      </c>
      <c r="G7" s="891">
        <v>12330108</v>
      </c>
      <c r="H7" s="892">
        <v>12911738</v>
      </c>
      <c r="I7" s="892">
        <v>14245880</v>
      </c>
      <c r="J7" s="886">
        <v>1.1553734971340073</v>
      </c>
      <c r="K7" s="891">
        <v>4410000</v>
      </c>
      <c r="L7" s="892">
        <v>4617000</v>
      </c>
      <c r="M7" s="892">
        <v>5094000</v>
      </c>
      <c r="N7" s="897">
        <v>9000</v>
      </c>
    </row>
    <row r="8" spans="1:14" ht="14.4" customHeight="1" x14ac:dyDescent="0.3">
      <c r="A8" s="872" t="s">
        <v>4877</v>
      </c>
      <c r="B8" s="875" t="s">
        <v>5695</v>
      </c>
      <c r="C8" s="881">
        <v>274</v>
      </c>
      <c r="D8" s="882">
        <v>403</v>
      </c>
      <c r="E8" s="882">
        <v>320</v>
      </c>
      <c r="F8" s="886">
        <v>1.167883211678832</v>
      </c>
      <c r="G8" s="891">
        <v>5908464</v>
      </c>
      <c r="H8" s="892">
        <v>8692356</v>
      </c>
      <c r="I8" s="892">
        <v>6902208</v>
      </c>
      <c r="J8" s="886">
        <v>1.168189905193634</v>
      </c>
      <c r="K8" s="891">
        <v>1918000</v>
      </c>
      <c r="L8" s="892">
        <v>2821000</v>
      </c>
      <c r="M8" s="892">
        <v>2240000</v>
      </c>
      <c r="N8" s="897">
        <v>7000</v>
      </c>
    </row>
    <row r="9" spans="1:14" ht="14.4" customHeight="1" x14ac:dyDescent="0.3">
      <c r="A9" s="872" t="s">
        <v>4857</v>
      </c>
      <c r="B9" s="875" t="s">
        <v>5695</v>
      </c>
      <c r="C9" s="881">
        <v>51</v>
      </c>
      <c r="D9" s="882">
        <v>40</v>
      </c>
      <c r="E9" s="882">
        <v>60</v>
      </c>
      <c r="F9" s="886">
        <v>1.1764705882352942</v>
      </c>
      <c r="G9" s="891">
        <v>545814</v>
      </c>
      <c r="H9" s="892">
        <v>428286</v>
      </c>
      <c r="I9" s="892">
        <v>642438</v>
      </c>
      <c r="J9" s="886">
        <v>1.1770273389836099</v>
      </c>
      <c r="K9" s="891">
        <v>102000</v>
      </c>
      <c r="L9" s="892">
        <v>80000</v>
      </c>
      <c r="M9" s="892">
        <v>120000</v>
      </c>
      <c r="N9" s="897">
        <v>2000</v>
      </c>
    </row>
    <row r="10" spans="1:14" ht="14.4" customHeight="1" thickBot="1" x14ac:dyDescent="0.35">
      <c r="A10" s="873" t="s">
        <v>4879</v>
      </c>
      <c r="B10" s="876" t="s">
        <v>5695</v>
      </c>
      <c r="C10" s="883">
        <v>1</v>
      </c>
      <c r="D10" s="884">
        <v>14</v>
      </c>
      <c r="E10" s="884">
        <v>3</v>
      </c>
      <c r="F10" s="887">
        <v>3</v>
      </c>
      <c r="G10" s="893">
        <v>5999</v>
      </c>
      <c r="H10" s="894">
        <v>84101</v>
      </c>
      <c r="I10" s="894">
        <v>18025</v>
      </c>
      <c r="J10" s="887">
        <v>3.0046674445740957</v>
      </c>
      <c r="K10" s="893">
        <v>1000</v>
      </c>
      <c r="L10" s="894">
        <v>14000</v>
      </c>
      <c r="M10" s="894">
        <v>3000</v>
      </c>
      <c r="N10" s="898">
        <v>1000</v>
      </c>
    </row>
  </sheetData>
  <autoFilter ref="A5:N5"/>
  <mergeCells count="6">
    <mergeCell ref="A1:N1"/>
    <mergeCell ref="A4:A5"/>
    <mergeCell ref="B4:B5"/>
    <mergeCell ref="C4:F4"/>
    <mergeCell ref="G4:J4"/>
    <mergeCell ref="K4:N4"/>
  </mergeCells>
  <conditionalFormatting sqref="F6:F65531 J6:J65531">
    <cfRule type="cellIs" dxfId="2" priority="6" stopIfTrue="1" operator="greaterThanOrEqual">
      <formula>1</formula>
    </cfRule>
  </conditionalFormatting>
  <conditionalFormatting sqref="F3">
    <cfRule type="cellIs" dxfId="1" priority="5" stopIfTrue="1" operator="greaterThanOrEqual">
      <formula>1</formula>
    </cfRule>
  </conditionalFormatting>
  <conditionalFormatting sqref="J3">
    <cfRule type="cellIs" dxfId="0" priority="4" stopIfTrue="1" operator="greaterThanOrEqual">
      <formula>1</formula>
    </cfRule>
  </conditionalFormatting>
  <conditionalFormatting sqref="E6:E1048576">
    <cfRule type="dataBar" priority="3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{F41FDF36-4DF6-49C1-AEE2-A4734489E57F}</x14:id>
        </ext>
      </extLst>
    </cfRule>
  </conditionalFormatting>
  <conditionalFormatting sqref="I6:I1048576">
    <cfRule type="dataBar" priority="2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{22F00197-2BD7-493E-BC02-3906F6130DA3}</x14:id>
        </ext>
      </extLst>
    </cfRule>
  </conditionalFormatting>
  <conditionalFormatting sqref="M6:M1048576">
    <cfRule type="dataBar" priority="1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{E60DB86E-BB07-4CC2-A6CD-752208150D74}</x14:id>
        </ext>
      </extLs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  <headerFooter alignWithMargins="0"/>
  <ignoredErrors>
    <ignoredError sqref="K3:M3 C3:E3 G3:I3" formulaRange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F41FDF36-4DF6-49C1-AEE2-A4734489E57F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E6:E1048576</xm:sqref>
        </x14:conditionalFormatting>
        <x14:conditionalFormatting xmlns:xm="http://schemas.microsoft.com/office/excel/2006/main">
          <x14:cfRule type="dataBar" id="{22F00197-2BD7-493E-BC02-3906F6130DA3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I6:I1048576</xm:sqref>
        </x14:conditionalFormatting>
        <x14:conditionalFormatting xmlns:xm="http://schemas.microsoft.com/office/excel/2006/main">
          <x14:cfRule type="dataBar" id="{E60DB86E-BB07-4CC2-A6CD-752208150D74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M6:M1048576</xm:sqref>
        </x14:conditionalFormatting>
      </x14:conditionalFormatting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29</vt:i4>
      </vt:variant>
      <vt:variant>
        <vt:lpstr>Pojmenované oblasti</vt:lpstr>
      </vt:variant>
      <vt:variant>
        <vt:i4>3</vt:i4>
      </vt:variant>
    </vt:vector>
  </HeadingPairs>
  <TitlesOfParts>
    <vt:vector size="32" baseType="lpstr">
      <vt:lpstr>Obsah</vt:lpstr>
      <vt:lpstr>Motivace</vt:lpstr>
      <vt:lpstr>HI</vt:lpstr>
      <vt:lpstr>HI Graf</vt:lpstr>
      <vt:lpstr>Man Tab</vt:lpstr>
      <vt:lpstr>HV</vt:lpstr>
      <vt:lpstr>Léky Žádanky</vt:lpstr>
      <vt:lpstr>LŽ Detail</vt:lpstr>
      <vt:lpstr>LŽ PL</vt:lpstr>
      <vt:lpstr>LŽ PL Detail</vt:lpstr>
      <vt:lpstr>Léky Recepty</vt:lpstr>
      <vt:lpstr>LRp Lékaři</vt:lpstr>
      <vt:lpstr>LRp Detail</vt:lpstr>
      <vt:lpstr>LRp PL</vt:lpstr>
      <vt:lpstr>LRp PL Detail</vt:lpstr>
      <vt:lpstr>Materiál Žádanky</vt:lpstr>
      <vt:lpstr>MŽ Detail</vt:lpstr>
      <vt:lpstr>Osobní náklady</vt:lpstr>
      <vt:lpstr>ON Data</vt:lpstr>
      <vt:lpstr>ZV Vykáz.-A</vt:lpstr>
      <vt:lpstr>ZV Vykáz.-A Detail</vt:lpstr>
      <vt:lpstr>ZV Vykáz.-H</vt:lpstr>
      <vt:lpstr>ZV Vykáz.-H Detail</vt:lpstr>
      <vt:lpstr>CaseMix</vt:lpstr>
      <vt:lpstr>ALOS</vt:lpstr>
      <vt:lpstr>Total</vt:lpstr>
      <vt:lpstr>ZV Vyžád.</vt:lpstr>
      <vt:lpstr>ZV Vyžád. Detail</vt:lpstr>
      <vt:lpstr>OD TISS</vt:lpstr>
      <vt:lpstr>doměsíce</vt:lpstr>
      <vt:lpstr>ALOS!Oblast_tisku</vt:lpstr>
      <vt:lpstr>CaseMix!Oblast_tisku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62361</dc:creator>
  <cp:lastModifiedBy>62361</cp:lastModifiedBy>
  <cp:lastPrinted>2014-04-11T12:47:33Z</cp:lastPrinted>
  <dcterms:created xsi:type="dcterms:W3CDTF">2013-04-17T20:15:29Z</dcterms:created>
  <dcterms:modified xsi:type="dcterms:W3CDTF">2014-06-18T09:34:54Z</dcterms:modified>
</cp:coreProperties>
</file>