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ZV Vykáz.-H" sheetId="410" r:id="rId13"/>
    <sheet name="ZV Vykáz.-H Detail" sheetId="377" r:id="rId14"/>
    <sheet name="CaseMix" sheetId="370" r:id="rId15"/>
    <sheet name="ALOS" sheetId="374" r:id="rId16"/>
    <sheet name="Total" sheetId="371" r:id="rId17"/>
    <sheet name="ZV Vyžád." sheetId="342" r:id="rId18"/>
    <sheet name="ZV Vyžád. Detail" sheetId="343" r:id="rId19"/>
    <sheet name="OD TISS" sheetId="372" r:id="rId20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19" hidden="1">'OD TISS'!$A$5:$N$5</definedName>
    <definedName name="_xlnm._FilterDatabase" localSheetId="16" hidden="1">Total!$A$4:$W$4</definedName>
    <definedName name="_xlnm._FilterDatabase" localSheetId="13" hidden="1">'ZV Vykáz.-H Detail'!$A$5:$Q$5</definedName>
    <definedName name="_xlnm._FilterDatabase" localSheetId="17" hidden="1">'ZV Vyžád.'!$A$5:$M$5</definedName>
    <definedName name="_xlnm._FilterDatabase" localSheetId="18" hidden="1">'ZV Vyžád. Detail'!$A$5:$Q$5</definedName>
    <definedName name="doměsíce">'HI Graf'!$C$11</definedName>
    <definedName name="_xlnm.Print_Area" localSheetId="15">ALOS!$A$1:$M$45</definedName>
    <definedName name="_xlnm.Print_Area" localSheetId="14">CaseMix!$A$1:$M$48</definedName>
  </definedNames>
  <calcPr calcId="145621"/>
</workbook>
</file>

<file path=xl/calcChain.xml><?xml version="1.0" encoding="utf-8"?>
<calcChain xmlns="http://schemas.openxmlformats.org/spreadsheetml/2006/main">
  <c r="T51" i="371" l="1"/>
  <c r="U51" i="371" s="1"/>
  <c r="S51" i="371"/>
  <c r="V51" i="371" s="1"/>
  <c r="R51" i="371"/>
  <c r="Q51" i="371"/>
  <c r="U50" i="371"/>
  <c r="T50" i="371"/>
  <c r="V50" i="371" s="1"/>
  <c r="S50" i="371"/>
  <c r="R50" i="371"/>
  <c r="Q50" i="371"/>
  <c r="T49" i="371"/>
  <c r="S49" i="371"/>
  <c r="V49" i="371" s="1"/>
  <c r="R49" i="371"/>
  <c r="Q49" i="371"/>
  <c r="V48" i="371"/>
  <c r="U48" i="371"/>
  <c r="T48" i="371"/>
  <c r="S48" i="371"/>
  <c r="R48" i="371"/>
  <c r="Q48" i="371"/>
  <c r="T47" i="371"/>
  <c r="U47" i="371" s="1"/>
  <c r="S47" i="371"/>
  <c r="V47" i="371" s="1"/>
  <c r="R47" i="371"/>
  <c r="Q47" i="371"/>
  <c r="U46" i="371"/>
  <c r="T46" i="371"/>
  <c r="V46" i="371" s="1"/>
  <c r="S46" i="371"/>
  <c r="R46" i="371"/>
  <c r="Q46" i="371"/>
  <c r="T45" i="371"/>
  <c r="U45" i="371" s="1"/>
  <c r="S45" i="371"/>
  <c r="V45" i="371" s="1"/>
  <c r="R45" i="371"/>
  <c r="Q45" i="371"/>
  <c r="U44" i="371"/>
  <c r="T44" i="371"/>
  <c r="V44" i="371" s="1"/>
  <c r="S44" i="371"/>
  <c r="R44" i="371"/>
  <c r="Q44" i="371"/>
  <c r="T43" i="371"/>
  <c r="U43" i="371" s="1"/>
  <c r="S43" i="371"/>
  <c r="V43" i="371" s="1"/>
  <c r="R43" i="371"/>
  <c r="Q43" i="371"/>
  <c r="U42" i="371"/>
  <c r="T42" i="371"/>
  <c r="V42" i="371" s="1"/>
  <c r="S42" i="371"/>
  <c r="R42" i="371"/>
  <c r="Q42" i="371"/>
  <c r="V41" i="371"/>
  <c r="U41" i="371"/>
  <c r="T41" i="371"/>
  <c r="S41" i="371"/>
  <c r="R41" i="371"/>
  <c r="Q41" i="371"/>
  <c r="U40" i="371"/>
  <c r="T40" i="371"/>
  <c r="V40" i="371" s="1"/>
  <c r="S40" i="371"/>
  <c r="R40" i="371"/>
  <c r="Q40" i="371"/>
  <c r="T39" i="371"/>
  <c r="U39" i="371" s="1"/>
  <c r="S39" i="371"/>
  <c r="V39" i="371" s="1"/>
  <c r="R39" i="371"/>
  <c r="Q39" i="371"/>
  <c r="V38" i="371"/>
  <c r="U38" i="371"/>
  <c r="T38" i="371"/>
  <c r="S38" i="371"/>
  <c r="R38" i="371"/>
  <c r="Q38" i="371"/>
  <c r="T37" i="371"/>
  <c r="U37" i="371" s="1"/>
  <c r="S37" i="371"/>
  <c r="V37" i="371" s="1"/>
  <c r="R37" i="371"/>
  <c r="Q37" i="371"/>
  <c r="U36" i="371"/>
  <c r="T36" i="371"/>
  <c r="V36" i="371" s="1"/>
  <c r="S36" i="371"/>
  <c r="R36" i="371"/>
  <c r="Q36" i="371"/>
  <c r="T35" i="371"/>
  <c r="S35" i="371"/>
  <c r="V35" i="371" s="1"/>
  <c r="R35" i="371"/>
  <c r="Q35" i="371"/>
  <c r="U34" i="371"/>
  <c r="T34" i="371"/>
  <c r="V34" i="371" s="1"/>
  <c r="S34" i="371"/>
  <c r="R34" i="371"/>
  <c r="Q34" i="371"/>
  <c r="T33" i="371"/>
  <c r="S33" i="371"/>
  <c r="V33" i="371" s="1"/>
  <c r="R33" i="371"/>
  <c r="Q33" i="371"/>
  <c r="U32" i="371"/>
  <c r="T32" i="371"/>
  <c r="V32" i="371" s="1"/>
  <c r="S32" i="371"/>
  <c r="R32" i="371"/>
  <c r="Q32" i="371"/>
  <c r="T31" i="371"/>
  <c r="U31" i="371" s="1"/>
  <c r="S31" i="371"/>
  <c r="V31" i="371" s="1"/>
  <c r="R31" i="371"/>
  <c r="Q31" i="371"/>
  <c r="U30" i="371"/>
  <c r="T30" i="371"/>
  <c r="V30" i="371" s="1"/>
  <c r="S30" i="371"/>
  <c r="R30" i="371"/>
  <c r="Q30" i="371"/>
  <c r="T29" i="371"/>
  <c r="U29" i="371" s="1"/>
  <c r="S29" i="371"/>
  <c r="V29" i="371" s="1"/>
  <c r="R29" i="371"/>
  <c r="Q29" i="371"/>
  <c r="U28" i="371"/>
  <c r="T28" i="371"/>
  <c r="V28" i="371" s="1"/>
  <c r="S28" i="371"/>
  <c r="R28" i="371"/>
  <c r="Q28" i="371"/>
  <c r="V27" i="371"/>
  <c r="U27" i="371"/>
  <c r="T27" i="371"/>
  <c r="S27" i="371"/>
  <c r="R27" i="371"/>
  <c r="Q27" i="371"/>
  <c r="U26" i="371"/>
  <c r="T26" i="371"/>
  <c r="V26" i="371" s="1"/>
  <c r="S26" i="371"/>
  <c r="R26" i="371"/>
  <c r="Q26" i="371"/>
  <c r="T25" i="371"/>
  <c r="U25" i="371" s="1"/>
  <c r="S25" i="371"/>
  <c r="V25" i="371" s="1"/>
  <c r="R25" i="371"/>
  <c r="Q25" i="371"/>
  <c r="V24" i="371"/>
  <c r="U24" i="371"/>
  <c r="T24" i="371"/>
  <c r="S24" i="371"/>
  <c r="R24" i="371"/>
  <c r="Q24" i="371"/>
  <c r="T23" i="371"/>
  <c r="U23" i="371" s="1"/>
  <c r="S23" i="371"/>
  <c r="V23" i="371" s="1"/>
  <c r="R23" i="371"/>
  <c r="Q23" i="371"/>
  <c r="U22" i="371"/>
  <c r="T22" i="371"/>
  <c r="V22" i="371" s="1"/>
  <c r="S22" i="371"/>
  <c r="R22" i="371"/>
  <c r="Q22" i="371"/>
  <c r="V21" i="371"/>
  <c r="U21" i="371"/>
  <c r="T21" i="371"/>
  <c r="S21" i="371"/>
  <c r="R21" i="371"/>
  <c r="Q21" i="371"/>
  <c r="U20" i="371"/>
  <c r="T20" i="371"/>
  <c r="V20" i="371" s="1"/>
  <c r="S20" i="371"/>
  <c r="R20" i="371"/>
  <c r="Q20" i="371"/>
  <c r="T19" i="371"/>
  <c r="U19" i="371" s="1"/>
  <c r="S19" i="371"/>
  <c r="V19" i="371" s="1"/>
  <c r="R19" i="371"/>
  <c r="Q19" i="371"/>
  <c r="U18" i="371"/>
  <c r="T18" i="371"/>
  <c r="V18" i="371" s="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U14" i="371"/>
  <c r="T14" i="371"/>
  <c r="V14" i="371" s="1"/>
  <c r="S14" i="371"/>
  <c r="R14" i="371"/>
  <c r="Q14" i="371"/>
  <c r="T13" i="371"/>
  <c r="U13" i="371" s="1"/>
  <c r="S13" i="371"/>
  <c r="V13" i="371" s="1"/>
  <c r="R13" i="371"/>
  <c r="Q13" i="371"/>
  <c r="U12" i="371"/>
  <c r="T12" i="371"/>
  <c r="V12" i="371" s="1"/>
  <c r="S12" i="371"/>
  <c r="R12" i="371"/>
  <c r="Q12" i="371"/>
  <c r="T11" i="371"/>
  <c r="U11" i="371" s="1"/>
  <c r="S11" i="371"/>
  <c r="V11" i="371" s="1"/>
  <c r="R11" i="371"/>
  <c r="Q11" i="371"/>
  <c r="U10" i="371"/>
  <c r="T10" i="371"/>
  <c r="V10" i="371" s="1"/>
  <c r="S10" i="371"/>
  <c r="R10" i="371"/>
  <c r="Q10" i="371"/>
  <c r="T9" i="371"/>
  <c r="U9" i="371" s="1"/>
  <c r="S9" i="371"/>
  <c r="V9" i="371" s="1"/>
  <c r="R9" i="371"/>
  <c r="Q9" i="371"/>
  <c r="U8" i="371"/>
  <c r="T8" i="371"/>
  <c r="V8" i="371" s="1"/>
  <c r="S8" i="371"/>
  <c r="R8" i="371"/>
  <c r="Q8" i="371"/>
  <c r="T7" i="371"/>
  <c r="U7" i="371" s="1"/>
  <c r="S7" i="371"/>
  <c r="V7" i="371" s="1"/>
  <c r="R7" i="371"/>
  <c r="Q7" i="371"/>
  <c r="U6" i="371"/>
  <c r="T6" i="371"/>
  <c r="V6" i="371" s="1"/>
  <c r="S6" i="371"/>
  <c r="R6" i="371"/>
  <c r="Q6" i="371"/>
  <c r="T5" i="371"/>
  <c r="U5" i="371" s="1"/>
  <c r="S5" i="371"/>
  <c r="V5" i="371" s="1"/>
  <c r="R5" i="371"/>
  <c r="Q5" i="371"/>
  <c r="U33" i="371" l="1"/>
  <c r="U35" i="371"/>
  <c r="U49" i="371"/>
  <c r="D11" i="339"/>
  <c r="C11" i="339"/>
  <c r="B11" i="339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A25" i="414" l="1"/>
  <c r="A24" i="414"/>
  <c r="A23" i="414"/>
  <c r="A22" i="414"/>
  <c r="A21" i="414"/>
  <c r="A20" i="414"/>
  <c r="A19" i="414"/>
  <c r="A17" i="414"/>
  <c r="A12" i="414"/>
  <c r="A8" i="414"/>
  <c r="A7" i="414"/>
  <c r="A18" i="414"/>
  <c r="A16" i="414"/>
  <c r="A13" i="414"/>
  <c r="A15" i="414"/>
  <c r="A4" i="414"/>
  <c r="D13" i="414"/>
  <c r="C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22" i="414" l="1"/>
  <c r="E21" i="414"/>
  <c r="E17" i="414"/>
  <c r="E12" i="414"/>
  <c r="E7" i="414"/>
  <c r="E8" i="414"/>
  <c r="C4" i="414"/>
  <c r="D4" i="414"/>
  <c r="E4" i="414" l="1"/>
  <c r="A14" i="383" l="1"/>
  <c r="D16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K36" i="370"/>
  <c r="J36" i="370"/>
  <c r="H48" i="370"/>
  <c r="M48" i="370" s="1"/>
  <c r="G48" i="370"/>
  <c r="F48" i="370"/>
  <c r="I48" i="370" s="1"/>
  <c r="D48" i="370"/>
  <c r="L48" i="370" s="1"/>
  <c r="C48" i="370"/>
  <c r="B48" i="370"/>
  <c r="E48" i="370" s="1"/>
  <c r="D22" i="414" s="1"/>
  <c r="H36" i="370"/>
  <c r="I36" i="370" s="1"/>
  <c r="G36" i="370"/>
  <c r="F36" i="370"/>
  <c r="D36" i="370"/>
  <c r="C36" i="370"/>
  <c r="B36" i="370"/>
  <c r="E36" i="370" s="1"/>
  <c r="H24" i="370"/>
  <c r="G24" i="370"/>
  <c r="F24" i="370"/>
  <c r="D24" i="370"/>
  <c r="E24" i="370" s="1"/>
  <c r="D20" i="414" s="1"/>
  <c r="E20" i="414" s="1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D18" i="414"/>
  <c r="M36" i="370" l="1"/>
  <c r="D21" i="414" s="1"/>
  <c r="I24" i="370"/>
  <c r="E12" i="370"/>
  <c r="D19" i="414" s="1"/>
  <c r="E19" i="414" s="1"/>
  <c r="L12" i="370"/>
  <c r="I12" i="370"/>
  <c r="D23" i="414" s="1"/>
  <c r="E23" i="414" s="1"/>
  <c r="M3" i="372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H3" i="387"/>
  <c r="G3" i="387"/>
  <c r="F3" i="387"/>
  <c r="N3" i="220"/>
  <c r="L3" i="220" s="1"/>
  <c r="N3" i="372" l="1"/>
  <c r="J3" i="372"/>
  <c r="C25" i="414"/>
  <c r="E25" i="414" s="1"/>
  <c r="G5" i="339"/>
  <c r="G6" i="339"/>
  <c r="G7" i="339"/>
  <c r="G8" i="339"/>
  <c r="G9" i="339"/>
  <c r="A11" i="383"/>
  <c r="A4" i="383"/>
  <c r="A26" i="383"/>
  <c r="A25" i="383"/>
  <c r="A24" i="383"/>
  <c r="A23" i="383"/>
  <c r="A22" i="383"/>
  <c r="A21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24" i="414" s="1"/>
  <c r="E24" i="414" s="1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E10" i="340"/>
  <c r="F10" i="340"/>
  <c r="G10" i="340"/>
  <c r="H10" i="340"/>
  <c r="I10" i="340"/>
  <c r="J10" i="340"/>
  <c r="K10" i="340"/>
  <c r="L10" i="340"/>
  <c r="M10" i="340"/>
  <c r="C18" i="414"/>
  <c r="C16" i="414"/>
  <c r="D15" i="414"/>
  <c r="E18" i="414" l="1"/>
  <c r="E16" i="414"/>
  <c r="G11" i="339"/>
  <c r="C6" i="340"/>
  <c r="C4" i="340" s="1"/>
  <c r="B4" i="340"/>
  <c r="F13" i="339"/>
  <c r="F15" i="339" s="1"/>
  <c r="G12" i="339"/>
  <c r="C15" i="414"/>
  <c r="B13" i="340" l="1"/>
  <c r="B12" i="340"/>
  <c r="D6" i="340"/>
  <c r="E15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<sst xmlns="http://schemas.openxmlformats.org/spreadsheetml/2006/main" count="9653" uniqueCount="2583">
  <si>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</si>
  <si>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</si>
  <si>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</si>
  <si>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</si>
  <si>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</si>
  <si>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</si>
  <si>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</si>
  <si>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</si>
  <si>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</si>
  <si>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</si>
  <si>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</si>
  <si>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</si>
  <si>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</si>
  <si>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</si>
  <si>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</si>
  <si>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</si>
  <si>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</si>
  <si>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</si>
  <si>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</si>
  <si>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</si>
  <si>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</si>
  <si>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</si>
  <si>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</si>
  <si>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</si>
  <si>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</si>
  <si>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</si>
  <si>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</si>
  <si>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</si>
  <si>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</si>
  <si>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</si>
  <si>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</si>
  <si>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</si>
  <si>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</si>
  <si>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</si>
  <si>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</si>
  <si>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</si>
  <si>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</si>
  <si>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</si>
  <si>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</si>
  <si>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</si>
  <si>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</si>
  <si>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</si>
  <si>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</si>
  <si>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</si>
  <si>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</si>
  <si>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</si>
  <si>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</si>
  <si>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</si>
  <si>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</si>
  <si>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</si>
  <si>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</si>
  <si>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</si>
  <si>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</si>
  <si>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</si>
  <si>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</si>
  <si>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</si>
  <si>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</si>
  <si>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</si>
  <si>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</si>
  <si>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</si>
  <si>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</si>
  <si>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</si>
  <si>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</si>
  <si>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</si>
  <si>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</si>
  <si>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</si>
  <si>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</si>
  <si>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</si>
  <si>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</si>
  <si>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</si>
  <si>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</si>
  <si>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</si>
  <si>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</si>
  <si>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</si>
  <si>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</si>
  <si>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</si>
  <si>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</si>
  <si>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měsíc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</si>
  <si>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</si>
  <si>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</si>
  <si>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</si>
  <si>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</si>
  <si>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</si>
  <si>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</si>
  <si>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</si>
  <si>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</si>
  <si>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</si>
  <si>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</si>
  <si>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</si>
  <si>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</si>
  <si>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</si>
  <si>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</si>
  <si>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</si>
  <si>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</si>
  <si>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</si>
  <si>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</si>
  <si>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</si>
  <si>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</si>
  <si>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</si>
  <si>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</si>
  <si>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</si>
  <si>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</si>
  <si>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</si>
  <si>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</si>
  <si>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</si>
  <si>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</si>
  <si>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</si>
  <si>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</si>
  <si>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</si>
  <si>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</si>
  <si>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</si>
  <si>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</si>
  <si>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</si>
  <si>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</si>
  <si>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</si>
  <si>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</si>
  <si>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</si>
  <si>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</si>
  <si>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</si>
  <si>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</si>
  <si>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</si>
  <si>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</si>
  <si>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</si>
  <si>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</si>
  <si>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</si>
  <si>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</si>
  <si>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</si>
  <si>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</si>
  <si>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</si>
  <si>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</si>
  <si>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</si>
  <si>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</si>
  <si>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</si>
  <si>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</si>
  <si>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</si>
  <si>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</si>
  <si>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</si>
  <si>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</si>
  <si>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</si>
  <si>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</si>
  <si>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</si>
  <si>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</si>
  <si>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</si>
  <si>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</si>
  <si>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</si>
  <si>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</si>
  <si>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</si>
  <si>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</si>
  <si>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</si>
  <si>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</si>
  <si>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</si>
  <si>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</si>
  <si>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</si>
  <si>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</si>
  <si>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</si>
  <si>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</si>
  <si>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</si>
  <si>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</si>
  <si>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</si>
  <si>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</si>
  <si>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</si>
  <si>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</si>
  <si>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</si>
  <si>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</si>
  <si>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</si>
  <si>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</si>
  <si>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</si>
  <si>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</si>
  <si>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</si>
  <si>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</si>
  <si>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</si>
  <si>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</si>
  <si>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</si>
  <si>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</si>
  <si>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</si>
  <si>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</si>
  <si>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</si>
  <si>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</si>
  <si>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</si>
  <si>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</si>
  <si>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</si>
  <si>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</si>
  <si>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</si>
  <si>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</si>
  <si>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</si>
  <si>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</si>
  <si>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</si>
  <si>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</si>
  <si>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</si>
  <si>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</si>
  <si>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</si>
  <si>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</si>
  <si>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</si>
  <si>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</si>
  <si>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</si>
  <si>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</si>
  <si>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</si>
  <si>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</si>
  <si>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</si>
  <si>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</si>
  <si>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</si>
  <si>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</si>
  <si>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</si>
  <si>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</si>
  <si>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</si>
  <si>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</si>
  <si>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</si>
  <si>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</si>
  <si>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</si>
  <si>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</si>
  <si>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</si>
  <si>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</si>
  <si>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</si>
  <si>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</si>
  <si>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</si>
  <si>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Novorozenecké oddělení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</si>
  <si>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</si>
  <si>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</si>
  <si>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</si>
  <si>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</si>
  <si>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</si>
  <si>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</si>
  <si>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</si>
  <si>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</si>
  <si>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</si>
  <si>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</si>
  <si>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</si>
  <si>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</si>
  <si>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</si>
  <si>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</si>
  <si>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50113016     léky - spotřeba v centrech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</si>
  <si>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</si>
  <si>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</si>
  <si>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</si>
  <si>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</si>
  <si>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</si>
  <si>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</si>
  <si>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</si>
  <si>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</si>
  <si>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</si>
  <si>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</si>
  <si>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</si>
  <si>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</si>
  <si>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</si>
  <si>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</si>
  <si>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</si>
  <si>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</si>
  <si>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</si>
  <si>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</si>
  <si>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50116004     výživa kojenců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</si>
  <si>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</si>
  <si>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</si>
  <si>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</si>
  <si>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</si>
  <si>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</si>
  <si>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</si>
  <si>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</si>
  <si>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</si>
  <si>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</si>
  <si>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</si>
  <si>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</si>
  <si>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</si>
  <si>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</si>
  <si>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</si>
  <si>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</si>
  <si>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</si>
  <si>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</si>
  <si>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</si>
  <si>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</si>
  <si>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</si>
  <si>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</si>
  <si>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</si>
  <si>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</si>
  <si>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</si>
  <si>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</si>
  <si>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</si>
  <si>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</si>
  <si>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</si>
  <si>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</si>
  <si>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</si>
  <si>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</si>
  <si>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</si>
  <si>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</si>
  <si>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</si>
  <si>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</si>
  <si>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novorozenecké odd. - pomůcky pro rodičky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</si>
  <si>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</si>
  <si>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</si>
  <si>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</si>
  <si>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</si>
  <si>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</si>
  <si>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</si>
  <si>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</si>
  <si>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</si>
  <si>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</si>
  <si>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</si>
  <si>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</si>
  <si>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</si>
  <si>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</si>
  <si>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</si>
  <si>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</si>
  <si>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</si>
  <si>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</si>
  <si>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</si>
  <si>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</si>
  <si>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</si>
  <si>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</si>
  <si>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</si>
  <si>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</si>
  <si>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</si>
  <si>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</si>
  <si>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</si>
  <si>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</si>
  <si>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</si>
  <si>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</si>
  <si>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</si>
  <si>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</si>
  <si>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</si>
  <si>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</si>
  <si>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</si>
  <si>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</si>
  <si>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</si>
  <si>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</si>
  <si>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</si>
  <si>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</si>
  <si>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</si>
  <si>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</si>
  <si>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</si>
  <si>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</si>
  <si>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</si>
  <si>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</si>
  <si>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</si>
  <si>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</si>
  <si>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</si>
  <si>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</si>
  <si>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</si>
  <si>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</si>
  <si>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</si>
  <si>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</si>
  <si>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</si>
  <si>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</si>
  <si>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</si>
  <si>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</si>
  <si>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</si>
  <si>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</si>
  <si>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</si>
  <si>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</si>
  <si>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</si>
  <si>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</si>
  <si>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</si>
  <si>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</si>
  <si>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</si>
  <si>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</si>
  <si>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</si>
  <si>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</si>
  <si>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</si>
  <si>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</si>
  <si>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</si>
  <si>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55802     DDHM - provozní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</si>
  <si>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</si>
  <si>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</si>
  <si>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</si>
  <si>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</si>
  <si>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</si>
  <si>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</si>
  <si>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</si>
  <si>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55806080     DDHM ostatní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</si>
  <si>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</si>
  <si>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</si>
  <si>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</si>
  <si>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</si>
  <si>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</si>
  <si>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</si>
  <si>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</si>
  <si>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</si>
  <si>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</si>
  <si>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</si>
  <si>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</si>
  <si>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</si>
  <si>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</si>
  <si>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</si>
  <si>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</si>
  <si>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</si>
  <si>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</si>
  <si>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</si>
  <si>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</si>
  <si>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</si>
  <si>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</si>
  <si>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</si>
  <si>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</si>
  <si>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</si>
  <si>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</si>
  <si>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</si>
  <si>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novorozenecké odd.- pomůcky pro rodičky</t>
  </si>
  <si>
    <t>64     Jiné provozní výnosy</t>
  </si>
  <si>
    <t>648     Čerpání fondů</t>
  </si>
  <si>
    <t>64804     Čerpání FRM</t>
  </si>
  <si>
    <t>64804000     čerpání FRM - na opravy a udržování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</si>
  <si>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</si>
  <si>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</si>
  <si>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</si>
  <si>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</si>
  <si>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</si>
  <si>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</si>
  <si>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</si>
  <si>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</si>
  <si>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</si>
  <si>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</si>
  <si>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</si>
  <si>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64924439     klinické hodnocení - tuzemci (81xx)</t>
  </si>
  <si>
    <t>64924440     klinické hodnocení - EU (81xx)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</si>
  <si>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</si>
  <si>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</si>
  <si>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</si>
  <si>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</si>
  <si>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</si>
  <si>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</si>
  <si>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</si>
  <si>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</si>
  <si>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</si>
  <si>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</si>
  <si>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</si>
  <si>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</si>
  <si>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</si>
  <si>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</si>
  <si>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</si>
  <si>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</si>
  <si>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</si>
  <si>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</si>
  <si>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</si>
  <si>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</si>
  <si>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</si>
  <si>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</si>
  <si>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</si>
  <si>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79920001     převody - agregované výkony laboratoří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</si>
  <si>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</si>
  <si>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</si>
  <si>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</si>
  <si>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</si>
  <si>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</si>
  <si>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</si>
  <si>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</si>
  <si>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</si>
  <si>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09</t>
  </si>
  <si>
    <t/>
  </si>
  <si>
    <t>Novorozenecké oddělení</t>
  </si>
  <si>
    <t>50113001</t>
  </si>
  <si>
    <t>Lékárna - léčiva</t>
  </si>
  <si>
    <t>50113006</t>
  </si>
  <si>
    <t>Lékárna - enterární výživa</t>
  </si>
  <si>
    <t>50113008</t>
  </si>
  <si>
    <t>393 TO krevní deriváty IVLP (112 01 003)</t>
  </si>
  <si>
    <t>50113013</t>
  </si>
  <si>
    <t>Lékárna - antibiotika</t>
  </si>
  <si>
    <t>50113014</t>
  </si>
  <si>
    <t>Lékárna - antimykotika</t>
  </si>
  <si>
    <t>50113016</t>
  </si>
  <si>
    <t>Lékárna - centrové léky</t>
  </si>
  <si>
    <t>SumaKL</t>
  </si>
  <si>
    <t>0911</t>
  </si>
  <si>
    <t>Novorozenecké oddělení, lůžkové oddělení 16C</t>
  </si>
  <si>
    <t>SumaNS</t>
  </si>
  <si>
    <t>mezeraNS</t>
  </si>
  <si>
    <t>0912</t>
  </si>
  <si>
    <t>Novorozenecké oddělení, lůžkové oddělení 16B + 16D</t>
  </si>
  <si>
    <t>0931</t>
  </si>
  <si>
    <t>Novorozenecké oddělení, JIP 16A</t>
  </si>
  <si>
    <t>0994</t>
  </si>
  <si>
    <t>Novorozenecké oddělení, centrum - novorozenecké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</si>
  <si>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</si>
  <si>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</si>
  <si>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</si>
  <si>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</si>
  <si>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</si>
  <si>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</si>
  <si>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</si>
  <si>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</si>
  <si>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</si>
  <si>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</si>
  <si>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</si>
  <si>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</si>
  <si>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</si>
  <si>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</si>
  <si>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</si>
  <si>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</si>
  <si>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</si>
  <si>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</si>
  <si>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</si>
  <si>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</si>
  <si>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103575</t>
  </si>
  <si>
    <t>3575</t>
  </si>
  <si>
    <t>HEPAROID LECIVA</t>
  </si>
  <si>
    <t>152266</t>
  </si>
  <si>
    <t>52266</t>
  </si>
  <si>
    <t>INFADOLAN</t>
  </si>
  <si>
    <t>DRM UNG 1X30GM</t>
  </si>
  <si>
    <t>395997</t>
  </si>
  <si>
    <t>0</t>
  </si>
  <si>
    <t>DZ SOFTASEPT N BEZBARVÝ 250 ml</t>
  </si>
  <si>
    <t>840220</t>
  </si>
  <si>
    <t>Lactobacillus acidophil.cps.75 bez laktózy</t>
  </si>
  <si>
    <t>847974</t>
  </si>
  <si>
    <t>125525</t>
  </si>
  <si>
    <t>APO-IBUPROFEN 400 MG</t>
  </si>
  <si>
    <t>POR TBL FLM 30X400MG</t>
  </si>
  <si>
    <t>905097</t>
  </si>
  <si>
    <t>23987</t>
  </si>
  <si>
    <t>DZ OCTENISEPT 250 ml</t>
  </si>
  <si>
    <t>DPH 15%</t>
  </si>
  <si>
    <t>930444</t>
  </si>
  <si>
    <t>KL AQUA PURIF. KULICH 1 kg</t>
  </si>
  <si>
    <t>102684</t>
  </si>
  <si>
    <t>2684</t>
  </si>
  <si>
    <t>MESOCAIN</t>
  </si>
  <si>
    <t>GEL 1X20GM</t>
  </si>
  <si>
    <t>900321</t>
  </si>
  <si>
    <t>KL PRIPRAVEK</t>
  </si>
  <si>
    <t>122629</t>
  </si>
  <si>
    <t>SAB SIMPLEX</t>
  </si>
  <si>
    <t>POR SUS 1X30ML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</si>
  <si>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</si>
  <si>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</si>
  <si>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</si>
  <si>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</si>
  <si>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</si>
  <si>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</si>
  <si>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</si>
  <si>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841560</t>
  </si>
  <si>
    <t>KL SOL.HYD.PEROX.30% 20kg</t>
  </si>
  <si>
    <t>921017</t>
  </si>
  <si>
    <t>KL KAL.PERMANGANAS 2G</t>
  </si>
  <si>
    <t>162189</t>
  </si>
  <si>
    <t>62189</t>
  </si>
  <si>
    <t>NASIVIN</t>
  </si>
  <si>
    <t>GTT NAS 1X5ML 0.01%</t>
  </si>
  <si>
    <t>152456</t>
  </si>
  <si>
    <t>52456</t>
  </si>
  <si>
    <t>LEFAX</t>
  </si>
  <si>
    <t>POR SUS 1X50ML</t>
  </si>
  <si>
    <t>156171</t>
  </si>
  <si>
    <t>56171</t>
  </si>
  <si>
    <t>ENGERIX-B 20RG(VE STRIKACCE)</t>
  </si>
  <si>
    <t>INJ 1X1ML/20RG</t>
  </si>
  <si>
    <t>189996</t>
  </si>
  <si>
    <t>89996</t>
  </si>
  <si>
    <t>LINOLA-FETT OLBAD</t>
  </si>
  <si>
    <t>OLE 1X200ML</t>
  </si>
  <si>
    <t>394627</t>
  </si>
  <si>
    <t>KL BARVA NA  DETI 20 g</t>
  </si>
  <si>
    <t>395557</t>
  </si>
  <si>
    <t>Bepanthen ung. 1x3,5</t>
  </si>
  <si>
    <t>501097</t>
  </si>
  <si>
    <t>KL CR.NEOAQUASORBI, 30G</t>
  </si>
  <si>
    <t>610039</t>
  </si>
  <si>
    <t>Rouška z plic do plic resuscitační</t>
  </si>
  <si>
    <t>841417</t>
  </si>
  <si>
    <t>Rukavice Dona chir.</t>
  </si>
  <si>
    <t>844879</t>
  </si>
  <si>
    <t>KL HELIANTHI OLEUM 45g</t>
  </si>
  <si>
    <t>848241</t>
  </si>
  <si>
    <t>107854</t>
  </si>
  <si>
    <t>NEOHEPATECT</t>
  </si>
  <si>
    <t>INF SOL 1X2ML/100UT</t>
  </si>
  <si>
    <t>920352</t>
  </si>
  <si>
    <t>KL HELIANTHI OLEUM 180G</t>
  </si>
  <si>
    <t>921326</t>
  </si>
  <si>
    <t>KL SOL.NOVIKOV SINE V.N. 20G</t>
  </si>
  <si>
    <t>921412</t>
  </si>
  <si>
    <t>KL UNG.LENIENS, 30G</t>
  </si>
  <si>
    <t>930332</t>
  </si>
  <si>
    <t>KL BENZINUM 20g</t>
  </si>
  <si>
    <t>930676</t>
  </si>
  <si>
    <t>KL SACCHAROSUM  24 %  65 g</t>
  </si>
  <si>
    <t>133491</t>
  </si>
  <si>
    <t>33491</t>
  </si>
  <si>
    <t>PRE BEBA DISCHARGE</t>
  </si>
  <si>
    <t>POR SOL 1X400GM</t>
  </si>
  <si>
    <t>841583</t>
  </si>
  <si>
    <t>33218</t>
  </si>
  <si>
    <t>Nutriton 135g</t>
  </si>
  <si>
    <t>161451</t>
  </si>
  <si>
    <t>NUTRILON 1 800g</t>
  </si>
  <si>
    <t>394317</t>
  </si>
  <si>
    <t>NESTLÉ Beba H.A.1 400g</t>
  </si>
  <si>
    <t>395700</t>
  </si>
  <si>
    <t>NESTLÉ PreBEBA Discharge 32x90ml</t>
  </si>
  <si>
    <t>500708</t>
  </si>
  <si>
    <t>Nutrilon 0 Nenatal 24 x 70ml</t>
  </si>
  <si>
    <t>843230</t>
  </si>
  <si>
    <t>NESTLÉ Beba HA 1 Premium tekutá</t>
  </si>
  <si>
    <t>32x90ml</t>
  </si>
  <si>
    <t>845564</t>
  </si>
  <si>
    <t>Nutrilon 1  24x90ml RTF</t>
  </si>
  <si>
    <t>24 x 90 ml</t>
  </si>
  <si>
    <t>850713</t>
  </si>
  <si>
    <t>Nutrilon 0 Nenatal (Premature) 400g</t>
  </si>
  <si>
    <t>987826</t>
  </si>
  <si>
    <t>NESTLÉ PreBEBA FM85 200g</t>
  </si>
  <si>
    <t>101066</t>
  </si>
  <si>
    <t>1066</t>
  </si>
  <si>
    <t>FRAMYKOIN</t>
  </si>
  <si>
    <t>UNG 1X10GM</t>
  </si>
  <si>
    <t>190778</t>
  </si>
  <si>
    <t>90778</t>
  </si>
  <si>
    <t>BACTROBAN</t>
  </si>
  <si>
    <t>DRM UNG 1X15GM</t>
  </si>
  <si>
    <t>168999</t>
  </si>
  <si>
    <t>68999</t>
  </si>
  <si>
    <t>AMPICILIN BIOTIKA</t>
  </si>
  <si>
    <t>INJ 10X500MG</t>
  </si>
  <si>
    <t>196413</t>
  </si>
  <si>
    <t>96413</t>
  </si>
  <si>
    <t>GENTAMICIN 40MG LEK</t>
  </si>
  <si>
    <t>INJ 10X2ML/40MG</t>
  </si>
  <si>
    <t>155759</t>
  </si>
  <si>
    <t>55759</t>
  </si>
  <si>
    <t>PAMYCON NA PRIPRAVU KAPEK</t>
  </si>
  <si>
    <t>PLV 1X1LAHV</t>
  </si>
  <si>
    <t>166366</t>
  </si>
  <si>
    <t>66366</t>
  </si>
  <si>
    <t>OSPAMOX 250MG/5ML</t>
  </si>
  <si>
    <t>GRA SUS 1X60ML</t>
  </si>
  <si>
    <t>186264</t>
  </si>
  <si>
    <t>86264</t>
  </si>
  <si>
    <t>TOBREX</t>
  </si>
  <si>
    <t>GTT OPH 5ML 3MG/1ML</t>
  </si>
  <si>
    <t>P</t>
  </si>
  <si>
    <t>72973</t>
  </si>
  <si>
    <t>AMOKSIKLAV 600 MG</t>
  </si>
  <si>
    <t>INJ PLV SOL 5X600MG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</si>
  <si>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</si>
  <si>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</si>
  <si>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</si>
  <si>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</si>
  <si>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</si>
  <si>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</si>
  <si>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</si>
  <si>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</si>
  <si>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159074</t>
  </si>
  <si>
    <t>59074</t>
  </si>
  <si>
    <t>PEVARYL</t>
  </si>
  <si>
    <t>DRM CRM 1X30GM 1%</t>
  </si>
  <si>
    <t>47256</t>
  </si>
  <si>
    <t>GLUKÓZA 5 BRAUN</t>
  </si>
  <si>
    <t>INF SOL 20X100ML-PE</t>
  </si>
  <si>
    <t>151365</t>
  </si>
  <si>
    <t>51365</t>
  </si>
  <si>
    <t>CHLORID SODNÝ 0.9% BRAUN, REF. 395120</t>
  </si>
  <si>
    <t>INFSOL1X100ML-PELAH</t>
  </si>
  <si>
    <t>847713</t>
  </si>
  <si>
    <t>125526</t>
  </si>
  <si>
    <t>POR TBL FLM 100X400MG</t>
  </si>
  <si>
    <t>900503</t>
  </si>
  <si>
    <t>KL AQUA PURIF. 1000G</t>
  </si>
  <si>
    <t>162315</t>
  </si>
  <si>
    <t>62315</t>
  </si>
  <si>
    <t>BETADINE</t>
  </si>
  <si>
    <t>LIQ 1X30ML</t>
  </si>
  <si>
    <t>110555</t>
  </si>
  <si>
    <t>10555</t>
  </si>
  <si>
    <t>INJ SOL 20X100ML-PE</t>
  </si>
  <si>
    <t>147252</t>
  </si>
  <si>
    <t>47252</t>
  </si>
  <si>
    <t>GLUKÓZA 5 BRAUN, REF.450074</t>
  </si>
  <si>
    <t>INF SOL 1X100ML-PE</t>
  </si>
  <si>
    <t>930638</t>
  </si>
  <si>
    <t>KL ETHANOLUM 60 % 45 g KUL., FAG.</t>
  </si>
  <si>
    <t>500701</t>
  </si>
  <si>
    <t>IR  AQUA STERILE OPLACH 1000 ml Pour Bottle Prom.</t>
  </si>
  <si>
    <t>199138</t>
  </si>
  <si>
    <t>99138</t>
  </si>
  <si>
    <t>AKTIFERRIN</t>
  </si>
  <si>
    <t>GTT 1X30ML</t>
  </si>
  <si>
    <t>840987</t>
  </si>
  <si>
    <t>IR  AQUA STERILE OPLACH.6x1000 ml</t>
  </si>
  <si>
    <t>IR OPLACH-FR</t>
  </si>
  <si>
    <t>850308</t>
  </si>
  <si>
    <t>130719</t>
  </si>
  <si>
    <t>Espumisan kapky 100mg/ml por. gtt.30ml</t>
  </si>
  <si>
    <t>112023</t>
  </si>
  <si>
    <t>12023</t>
  </si>
  <si>
    <t>VIGANTOL</t>
  </si>
  <si>
    <t>POR GTT SOL 1x10ML</t>
  </si>
  <si>
    <t>189997</t>
  </si>
  <si>
    <t>89997</t>
  </si>
  <si>
    <t>OLE 1X400ML</t>
  </si>
  <si>
    <t>394072</t>
  </si>
  <si>
    <t>1000</t>
  </si>
  <si>
    <t>KL KAPSLE</t>
  </si>
  <si>
    <t>900071</t>
  </si>
  <si>
    <t>KL TBL MAGN.LACT 0,5G+B6 0,02G, 100TBL</t>
  </si>
  <si>
    <t>133152</t>
  </si>
  <si>
    <t>33152</t>
  </si>
  <si>
    <t>FANTOMALT</t>
  </si>
  <si>
    <t>POR PLV SOL 1X400GMenterar.</t>
  </si>
  <si>
    <t>920064</t>
  </si>
  <si>
    <t>KL SOL.METHYLROS.CHL.1% 10G</t>
  </si>
  <si>
    <t>120053</t>
  </si>
  <si>
    <t>20053</t>
  </si>
  <si>
    <t>BENOXI 0.4 % UNIMED PHARMA</t>
  </si>
  <si>
    <t>OPH GTT SOL 1X10ML</t>
  </si>
  <si>
    <t>156675</t>
  </si>
  <si>
    <t>56675</t>
  </si>
  <si>
    <t>FLOXAL</t>
  </si>
  <si>
    <t>GTT OPH 1X5ML</t>
  </si>
  <si>
    <t>501121</t>
  </si>
  <si>
    <t>KL CR.NEOAQUASORBI, 60G</t>
  </si>
  <si>
    <t>845628</t>
  </si>
  <si>
    <t>KL COLL.PHENYLEPHRINI 10g</t>
  </si>
  <si>
    <t>846941</t>
  </si>
  <si>
    <t>Swiss Laktobacilky baby 30 cps</t>
  </si>
  <si>
    <t>920020</t>
  </si>
  <si>
    <t>KL COLL.HOMAT.HYDROBROM.1%10G</t>
  </si>
  <si>
    <t>920367</t>
  </si>
  <si>
    <t>KL EREVIT GTT. 18G</t>
  </si>
  <si>
    <t>921342</t>
  </si>
  <si>
    <t>KL SOL.COFFEINI 1% 50G</t>
  </si>
  <si>
    <t>921416</t>
  </si>
  <si>
    <t>KL CPS CALC.GLUC.+KAL.DIH. 100CPS</t>
  </si>
  <si>
    <t>921543</t>
  </si>
  <si>
    <t>KL SUSP.NYSTATIN 2 000 000 IU, 20G</t>
  </si>
  <si>
    <t>930224</t>
  </si>
  <si>
    <t>KL BENZINUM 900 ml</t>
  </si>
  <si>
    <t>UN 3295</t>
  </si>
  <si>
    <t>930317</t>
  </si>
  <si>
    <t>KL ETHANOLUM 60% 802 g FAGRON, KULICH</t>
  </si>
  <si>
    <t>UN 1170</t>
  </si>
  <si>
    <t>930362</t>
  </si>
  <si>
    <t>KL BENZINUM 30g (50ml)</t>
  </si>
  <si>
    <t>930435</t>
  </si>
  <si>
    <t>MO LEKOVKA RD 130 ml</t>
  </si>
  <si>
    <t>132090</t>
  </si>
  <si>
    <t>32090</t>
  </si>
  <si>
    <t>TRALGIT 50 INJ</t>
  </si>
  <si>
    <t>INJ SOL 5X1ML/50MG</t>
  </si>
  <si>
    <t>129767</t>
  </si>
  <si>
    <t>IMIPENEM/CILASTATIN KABI 500 MG/500 MG</t>
  </si>
  <si>
    <t>INF PLV SOL 10LAH/20ML</t>
  </si>
  <si>
    <t>142463</t>
  </si>
  <si>
    <t>42463</t>
  </si>
  <si>
    <t>FLIXOTIDE 125 INHALER N</t>
  </si>
  <si>
    <t>INH SUS PSS60X125RG</t>
  </si>
  <si>
    <t>195604</t>
  </si>
  <si>
    <t>95604</t>
  </si>
  <si>
    <t>FLIXOTIDE 50 INHALER N</t>
  </si>
  <si>
    <t>INH SUS PSS120X50RG</t>
  </si>
  <si>
    <t>33153</t>
  </si>
  <si>
    <t>ALFARÉ</t>
  </si>
  <si>
    <t>POR PLV SOL 1X400GM</t>
  </si>
  <si>
    <t>840778</t>
  </si>
  <si>
    <t>NESTLÉ Neml.kaše rýžová 250g (č.v.0240)</t>
  </si>
  <si>
    <t>188740</t>
  </si>
  <si>
    <t>88740</t>
  </si>
  <si>
    <t>FUCITHALMIC</t>
  </si>
  <si>
    <t>GTT OPH 1X5GM/50MG</t>
  </si>
  <si>
    <t>117810</t>
  </si>
  <si>
    <t>17810</t>
  </si>
  <si>
    <t>TAZOCIN 4.5 G</t>
  </si>
  <si>
    <t>INJ PLV SOL12X4.5GM</t>
  </si>
  <si>
    <t>174991</t>
  </si>
  <si>
    <t>74991</t>
  </si>
  <si>
    <t>AMOKSIKLAV</t>
  </si>
  <si>
    <t>PLV SUS 1X100ML</t>
  </si>
  <si>
    <t>105114</t>
  </si>
  <si>
    <t>5114</t>
  </si>
  <si>
    <t>TARGOCID 200MG</t>
  </si>
  <si>
    <t>INJ SIC 1X200MG+SOL</t>
  </si>
  <si>
    <t>142845</t>
  </si>
  <si>
    <t>42845</t>
  </si>
  <si>
    <t>ZINNAT 125 MG</t>
  </si>
  <si>
    <t>GRA SUS 1X50ML</t>
  </si>
  <si>
    <t>844851</t>
  </si>
  <si>
    <t>107135</t>
  </si>
  <si>
    <t>DALACIN C 150 MG</t>
  </si>
  <si>
    <t>POR CPS DUR 16x150mg</t>
  </si>
  <si>
    <t>131739</t>
  </si>
  <si>
    <t>31739</t>
  </si>
  <si>
    <t>HELICID « 40 INF. LYOF.1X40MG</t>
  </si>
  <si>
    <t>130187</t>
  </si>
  <si>
    <t>30187</t>
  </si>
  <si>
    <t>MIDAZOLAM TORREX 5MG/ML</t>
  </si>
  <si>
    <t>INJ 10X1ML/5MG</t>
  </si>
  <si>
    <t>31915</t>
  </si>
  <si>
    <t>GLUKÓZA 10 BRAUN</t>
  </si>
  <si>
    <t>INF SOL 10X500ML-PE</t>
  </si>
  <si>
    <t>51367</t>
  </si>
  <si>
    <t>INF SOL 10X250MLPELAH</t>
  </si>
  <si>
    <t>100168</t>
  </si>
  <si>
    <t>168</t>
  </si>
  <si>
    <t>HYDROCHLOROTHIAZID LECIVA</t>
  </si>
  <si>
    <t>TBL 20X25MG</t>
  </si>
  <si>
    <t>100498</t>
  </si>
  <si>
    <t>498</t>
  </si>
  <si>
    <t>MAGNESIUM SULFURICUM BIOTIKA</t>
  </si>
  <si>
    <t>INJ 5X10ML 10%</t>
  </si>
  <si>
    <t>100502</t>
  </si>
  <si>
    <t>502</t>
  </si>
  <si>
    <t>INJ 10X10ML 1%</t>
  </si>
  <si>
    <t>100843</t>
  </si>
  <si>
    <t>843</t>
  </si>
  <si>
    <t>DERMAZULEN</t>
  </si>
  <si>
    <t>100876</t>
  </si>
  <si>
    <t>876</t>
  </si>
  <si>
    <t>UNG OPH 1X5GM</t>
  </si>
  <si>
    <t>100889</t>
  </si>
  <si>
    <t>889</t>
  </si>
  <si>
    <t>PITYOL</t>
  </si>
  <si>
    <t>102133</t>
  </si>
  <si>
    <t>2133</t>
  </si>
  <si>
    <t>FUROSEMID BIOTIKA</t>
  </si>
  <si>
    <t>INJ 5X2ML/20MG</t>
  </si>
  <si>
    <t>102486</t>
  </si>
  <si>
    <t>2486</t>
  </si>
  <si>
    <t>KALIUM CHLORATUM LECIVA 7.5%</t>
  </si>
  <si>
    <t>INJ 5X10ML 7.5%</t>
  </si>
  <si>
    <t>115390</t>
  </si>
  <si>
    <t>15390</t>
  </si>
  <si>
    <t>FENISTIL</t>
  </si>
  <si>
    <t>DRM GEL 1X30GM/30MG</t>
  </si>
  <si>
    <t>122134</t>
  </si>
  <si>
    <t>22134</t>
  </si>
  <si>
    <t>PERFALGAN 10 MG/ML</t>
  </si>
  <si>
    <t>INFSOL12X50ML/500MG</t>
  </si>
  <si>
    <t>124067</t>
  </si>
  <si>
    <t>HYDROCORTISON VUAB 100 MG</t>
  </si>
  <si>
    <t>INJ PLV SOL 1X100MG</t>
  </si>
  <si>
    <t>131654</t>
  </si>
  <si>
    <t>CEFTAZIDIM KABI 1 GM</t>
  </si>
  <si>
    <t>INJ PLV SOL 10X1GM</t>
  </si>
  <si>
    <t>140122</t>
  </si>
  <si>
    <t>40122</t>
  </si>
  <si>
    <t>HYDROCORTISON VALEANT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</si>
  <si>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</si>
  <si>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</si>
  <si>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</si>
  <si>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</si>
  <si>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</si>
  <si>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</si>
  <si>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</si>
  <si>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</si>
  <si>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156804</t>
  </si>
  <si>
    <t>56804</t>
  </si>
  <si>
    <t>FURORESE 40</t>
  </si>
  <si>
    <t>TBL 50X40MG</t>
  </si>
  <si>
    <t>162316</t>
  </si>
  <si>
    <t>62316</t>
  </si>
  <si>
    <t>LIQ 1X120ML</t>
  </si>
  <si>
    <t>162320</t>
  </si>
  <si>
    <t>62320</t>
  </si>
  <si>
    <t>UNG 1X20GM</t>
  </si>
  <si>
    <t>164881</t>
  </si>
  <si>
    <t>64881</t>
  </si>
  <si>
    <t>BEROTEC N 100 MCG</t>
  </si>
  <si>
    <t>INH SOL PSS200 DAV</t>
  </si>
  <si>
    <t>184090</t>
  </si>
  <si>
    <t>84090</t>
  </si>
  <si>
    <t>DEXAMED</t>
  </si>
  <si>
    <t>INJ 10X2ML/8MG</t>
  </si>
  <si>
    <t>192351</t>
  </si>
  <si>
    <t>92351</t>
  </si>
  <si>
    <t>ATROVENT 0.025%</t>
  </si>
  <si>
    <t>INH SOL 1X20ML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</si>
  <si>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</si>
  <si>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</si>
  <si>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</si>
  <si>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</si>
  <si>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</si>
  <si>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</si>
  <si>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</si>
  <si>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</si>
  <si>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197682</t>
  </si>
  <si>
    <t>97682</t>
  </si>
  <si>
    <t>CHLORID SODNY 0.9% BRAUN, REF.3500381</t>
  </si>
  <si>
    <t>INFSOL1X250ML-PELAH</t>
  </si>
  <si>
    <t>394281</t>
  </si>
  <si>
    <t>14813</t>
  </si>
  <si>
    <t xml:space="preserve">KREON 10 000 </t>
  </si>
  <si>
    <t xml:space="preserve">POR CPS ETD 20 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</si>
  <si>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</si>
  <si>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</si>
  <si>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</si>
  <si>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</si>
  <si>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</si>
  <si>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</si>
  <si>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</si>
  <si>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100489</t>
  </si>
  <si>
    <t>489</t>
  </si>
  <si>
    <t>INJ 5X1ML/10MG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</si>
  <si>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</si>
  <si>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</si>
  <si>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</si>
  <si>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</si>
  <si>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</si>
  <si>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</si>
  <si>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</si>
  <si>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102546</t>
  </si>
  <si>
    <t>2546</t>
  </si>
  <si>
    <t>MAXITROL</t>
  </si>
  <si>
    <t>SUS OPH 1X5ML</t>
  </si>
  <si>
    <t>104380</t>
  </si>
  <si>
    <t>4380</t>
  </si>
  <si>
    <t>TENSAMIN</t>
  </si>
  <si>
    <t>INJ 10X5ML</t>
  </si>
  <si>
    <t>125361</t>
  </si>
  <si>
    <t>25361</t>
  </si>
  <si>
    <t>HELICID 10 ZENTIVA</t>
  </si>
  <si>
    <t>POR CPS ETD 14X10MG</t>
  </si>
  <si>
    <t>196877</t>
  </si>
  <si>
    <t>96877</t>
  </si>
  <si>
    <t>GLUCOSE 10 BRAUN (PLASCO LAHV.)</t>
  </si>
  <si>
    <t>INF 1X500ML 10%</t>
  </si>
  <si>
    <t>47706</t>
  </si>
  <si>
    <t>GLUKÓZA 20 BRAUN</t>
  </si>
  <si>
    <t>100874</t>
  </si>
  <si>
    <t>874</t>
  </si>
  <si>
    <t>OPHTHALMO-AZULEN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</si>
  <si>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</si>
  <si>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</si>
  <si>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</si>
  <si>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</si>
  <si>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</si>
  <si>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</si>
  <si>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</si>
  <si>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</si>
  <si>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</si>
  <si>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</si>
  <si>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</si>
  <si>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</si>
  <si>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116551</t>
  </si>
  <si>
    <t>16551</t>
  </si>
  <si>
    <t>ANEXATE</t>
  </si>
  <si>
    <t>INJ 5X5ML/0.5MG</t>
  </si>
  <si>
    <t>198876</t>
  </si>
  <si>
    <t>98876</t>
  </si>
  <si>
    <t>FYZIOLOGICKÝ ROZTOK VIAFLO</t>
  </si>
  <si>
    <t>INF SOL 20X500ML</t>
  </si>
  <si>
    <t>100512</t>
  </si>
  <si>
    <t>512</t>
  </si>
  <si>
    <t>NATRIUM CHLORATUM BIOTIKA 10%</t>
  </si>
  <si>
    <t>INJ 10X5ML 10%</t>
  </si>
  <si>
    <t>176205</t>
  </si>
  <si>
    <t>76205</t>
  </si>
  <si>
    <t>HYDROCORTISON 10MG</t>
  </si>
  <si>
    <t>TBL 20X10MG</t>
  </si>
  <si>
    <t>102668</t>
  </si>
  <si>
    <t>2668</t>
  </si>
  <si>
    <t>OPHTHALMO-HYDROCORTISON LECIVA</t>
  </si>
  <si>
    <t>UNG OPH 1X5GM 0.5%</t>
  </si>
  <si>
    <t>119372</t>
  </si>
  <si>
    <t>19372</t>
  </si>
  <si>
    <t>OFTAQUIX 5MG/ML OČNÍ KAPKY</t>
  </si>
  <si>
    <t>OPH GTT SOL 5X5MG</t>
  </si>
  <si>
    <t>169724</t>
  </si>
  <si>
    <t>69724</t>
  </si>
  <si>
    <t>ARDEAELYTOSOL NA.HYDR.CARB.4.2%</t>
  </si>
  <si>
    <t>INF 1X80ML</t>
  </si>
  <si>
    <t>169755</t>
  </si>
  <si>
    <t>69755</t>
  </si>
  <si>
    <t>ARDEANUTRISOL G 40</t>
  </si>
  <si>
    <t>185266</t>
  </si>
  <si>
    <t>FLUDROCORTISON SQUIBB</t>
  </si>
  <si>
    <t>POR TBL NOB 100X0.1MG</t>
  </si>
  <si>
    <t>187764</t>
  </si>
  <si>
    <t>87764</t>
  </si>
  <si>
    <t>INF 1X200ML</t>
  </si>
  <si>
    <t>117996</t>
  </si>
  <si>
    <t>17996</t>
  </si>
  <si>
    <t>KINEDRYL</t>
  </si>
  <si>
    <t>TBL 10</t>
  </si>
  <si>
    <t>921184</t>
  </si>
  <si>
    <t>KL UNGUENTUM</t>
  </si>
  <si>
    <t>169667</t>
  </si>
  <si>
    <t>69667</t>
  </si>
  <si>
    <t>ARDEAELYTOSOL NA.HYDR.FOSF.8.7%</t>
  </si>
  <si>
    <t>186970</t>
  </si>
  <si>
    <t>86970</t>
  </si>
  <si>
    <t>ARDEANUTRISOL G 20</t>
  </si>
  <si>
    <t>INF SOL 1X250ML</t>
  </si>
  <si>
    <t>848783</t>
  </si>
  <si>
    <t>115400</t>
  </si>
  <si>
    <t>CLEXANE</t>
  </si>
  <si>
    <t>INJ SOL 10X0.2ML/2KU</t>
  </si>
  <si>
    <t>185256</t>
  </si>
  <si>
    <t>85256</t>
  </si>
  <si>
    <t>RIVOTRIL 2.5MG/ML</t>
  </si>
  <si>
    <t>186968</t>
  </si>
  <si>
    <t>86968</t>
  </si>
  <si>
    <t>ARDEANUTRISOL G 10</t>
  </si>
  <si>
    <t>INF 1X250ML</t>
  </si>
  <si>
    <t>846113</t>
  </si>
  <si>
    <t>107712</t>
  </si>
  <si>
    <t>EPANUTIN PARENTERAL</t>
  </si>
  <si>
    <t>INJ SOL 5X5ML/250MG</t>
  </si>
  <si>
    <t>92305</t>
  </si>
  <si>
    <t>ALPROSTAN</t>
  </si>
  <si>
    <t>INF CNC SOL 10X0.2ML</t>
  </si>
  <si>
    <t>114989</t>
  </si>
  <si>
    <t>14989</t>
  </si>
  <si>
    <t>RIVOTRIL</t>
  </si>
  <si>
    <t>INJ 5X1ML/1MG+SOLV.</t>
  </si>
  <si>
    <t>142495</t>
  </si>
  <si>
    <t>42495</t>
  </si>
  <si>
    <t>GLUCOSE-1-PHOSPH.FRESENIUS 1MO</t>
  </si>
  <si>
    <t>INF CNC SOL 5X10ML</t>
  </si>
  <si>
    <t>142594</t>
  </si>
  <si>
    <t>42594</t>
  </si>
  <si>
    <t>VITALIPID N INFANT</t>
  </si>
  <si>
    <t>INF CNC SOL 10X10ML</t>
  </si>
  <si>
    <t>147462</t>
  </si>
  <si>
    <t>EUTHYROX 200 MIKROGRAMŮ</t>
  </si>
  <si>
    <t>POR TBL NOB 100X200RG II</t>
  </si>
  <si>
    <t>167679</t>
  </si>
  <si>
    <t>PEYONA 20 MG/ML</t>
  </si>
  <si>
    <t>IVN+POR SOL 10X1ML</t>
  </si>
  <si>
    <t>169747</t>
  </si>
  <si>
    <t>69747</t>
  </si>
  <si>
    <t>169751</t>
  </si>
  <si>
    <t>69751</t>
  </si>
  <si>
    <t>INF SOL 1X80ML</t>
  </si>
  <si>
    <t>184449</t>
  </si>
  <si>
    <t>84449</t>
  </si>
  <si>
    <t>LUMINAL</t>
  </si>
  <si>
    <t>INJ 5X1ML/219MG</t>
  </si>
  <si>
    <t>187226</t>
  </si>
  <si>
    <t>87226</t>
  </si>
  <si>
    <t>CUROSURF</t>
  </si>
  <si>
    <t>SUS 2X1.5ML/120MG</t>
  </si>
  <si>
    <t>191249</t>
  </si>
  <si>
    <t>91249</t>
  </si>
  <si>
    <t>PARALEN PRO INFANTIBUS</t>
  </si>
  <si>
    <t>SUP 5X100MG</t>
  </si>
  <si>
    <t>196023</t>
  </si>
  <si>
    <t>2693</t>
  </si>
  <si>
    <t>PENTAGLOBIN</t>
  </si>
  <si>
    <t>INJ 1X10ML</t>
  </si>
  <si>
    <t>199814</t>
  </si>
  <si>
    <t>99814</t>
  </si>
  <si>
    <t>VODA NA INJEKCI VIAFLO</t>
  </si>
  <si>
    <t>PAR LQF 20X500ML</t>
  </si>
  <si>
    <t>501001</t>
  </si>
  <si>
    <t>RP MESOCAIN GEL STERILNÍ V TUBĚ 20G</t>
  </si>
  <si>
    <t>řidší konzistence</t>
  </si>
  <si>
    <t>501062</t>
  </si>
  <si>
    <t>KL MORPHINI HYDROCHL. 0,008 AQ.P. AD 20G</t>
  </si>
  <si>
    <t>Novoroz. odd.</t>
  </si>
  <si>
    <t>840064</t>
  </si>
  <si>
    <t>KL SUPP.DIAZEPAMI 0,0005G  20KS</t>
  </si>
  <si>
    <t>844978</t>
  </si>
  <si>
    <t>107475</t>
  </si>
  <si>
    <t>PRIMENE 10%</t>
  </si>
  <si>
    <t>INF SOL 10X250ML 10%</t>
  </si>
  <si>
    <t>849252</t>
  </si>
  <si>
    <t>141762</t>
  </si>
  <si>
    <t>NASIVIN Sensitive 0,01%</t>
  </si>
  <si>
    <t>nas.gtt.sol.1x5ml</t>
  </si>
  <si>
    <t>900892</t>
  </si>
  <si>
    <t>KL SUPP.DIAZEPAMI 0,0005G  10KS</t>
  </si>
  <si>
    <t>920368</t>
  </si>
  <si>
    <t>KL EREVIT GTT. 30G</t>
  </si>
  <si>
    <t>921190</t>
  </si>
  <si>
    <t>KL SOL.AMILORIDI 0,03%, 20G</t>
  </si>
  <si>
    <t>921231</t>
  </si>
  <si>
    <t>KL MAST NA SPALENINY, 20G</t>
  </si>
  <si>
    <t>921296</t>
  </si>
  <si>
    <t>KL SUPP.GLYCEROLI  30KS, pro novorozence</t>
  </si>
  <si>
    <t>921335</t>
  </si>
  <si>
    <t>KL DETSKA MAST 20G</t>
  </si>
  <si>
    <t>921404</t>
  </si>
  <si>
    <t>KL SUPP.IBUPROFENI 0,05G  20KS</t>
  </si>
  <si>
    <t>921573</t>
  </si>
  <si>
    <t>KL SUPP.PARACETAMOLI 0,02G  30KS</t>
  </si>
  <si>
    <t>930095</t>
  </si>
  <si>
    <t>KL VASELINUM ALBUM, 30G</t>
  </si>
  <si>
    <t>930608</t>
  </si>
  <si>
    <t>KL CHLORAL.HYDRATUM 50 g</t>
  </si>
  <si>
    <t>988186</t>
  </si>
  <si>
    <t>MedPharma Biotin 300mcg tbl.107</t>
  </si>
  <si>
    <t>125034</t>
  </si>
  <si>
    <t>25034</t>
  </si>
  <si>
    <t>DORMICUM</t>
  </si>
  <si>
    <t>INJ SOL 10X1ML/5MG</t>
  </si>
  <si>
    <t>193969</t>
  </si>
  <si>
    <t>93969</t>
  </si>
  <si>
    <t>RANITAL</t>
  </si>
  <si>
    <t>INJ 5X2ML/50MG</t>
  </si>
  <si>
    <t>131934</t>
  </si>
  <si>
    <t>31934</t>
  </si>
  <si>
    <t>VENTOLIN INHALER N</t>
  </si>
  <si>
    <t>INHSUSPSS200X100RG</t>
  </si>
  <si>
    <t>132059</t>
  </si>
  <si>
    <t>32059</t>
  </si>
  <si>
    <t>FRAXIPARINE</t>
  </si>
  <si>
    <t>INJ SOL 10X0.4ML</t>
  </si>
  <si>
    <t>849266</t>
  </si>
  <si>
    <t>162444</t>
  </si>
  <si>
    <t xml:space="preserve">SUFENTANIL TORREX 5 MCG/ML </t>
  </si>
  <si>
    <t>INJ SOL 5X2ML/10RG</t>
  </si>
  <si>
    <t>140361</t>
  </si>
  <si>
    <t>40361</t>
  </si>
  <si>
    <t>NIMBEX</t>
  </si>
  <si>
    <t>INJ SOL 5X2.5ML/5MG</t>
  </si>
  <si>
    <t>133401</t>
  </si>
  <si>
    <t>33401</t>
  </si>
  <si>
    <t>NUTRILON 1 ALLERGY DIGESTIVE CARE</t>
  </si>
  <si>
    <t>POR SOL 1X450GM</t>
  </si>
  <si>
    <t>840010</t>
  </si>
  <si>
    <t>Nutrilon 1 A.R. plv.1x400g</t>
  </si>
  <si>
    <t>116336</t>
  </si>
  <si>
    <t>16336</t>
  </si>
  <si>
    <t>LIPOPLUS 20%</t>
  </si>
  <si>
    <t>INFEML10X100ML-SKLO</t>
  </si>
  <si>
    <t>116337</t>
  </si>
  <si>
    <t>16337</t>
  </si>
  <si>
    <t>INFEML10X250ML-SKLO</t>
  </si>
  <si>
    <t>845045</t>
  </si>
  <si>
    <t>107472</t>
  </si>
  <si>
    <t>INF SOL 20X100ML 10%</t>
  </si>
  <si>
    <t>900584</t>
  </si>
  <si>
    <t>IR  PRIMENE 10% 100 ML</t>
  </si>
  <si>
    <t xml:space="preserve">INF SOL 20X100ML 10% </t>
  </si>
  <si>
    <t>158943</t>
  </si>
  <si>
    <t>58943</t>
  </si>
  <si>
    <t>NEOCATE</t>
  </si>
  <si>
    <t>83050</t>
  </si>
  <si>
    <t>198192</t>
  </si>
  <si>
    <t>SEFOTAK 1 G</t>
  </si>
  <si>
    <t>INJ PLV SOL 1X1GM</t>
  </si>
  <si>
    <t>192206</t>
  </si>
  <si>
    <t>92206</t>
  </si>
  <si>
    <t>AUGMENTIN 600MG</t>
  </si>
  <si>
    <t>INJ SIC 10X600MG</t>
  </si>
  <si>
    <t>101076</t>
  </si>
  <si>
    <t>1076</t>
  </si>
  <si>
    <t>OPHTHALMO-FRAMYKOIN</t>
  </si>
  <si>
    <t>111592</t>
  </si>
  <si>
    <t>11592</t>
  </si>
  <si>
    <t>METRONIDAZOL 500MG BRAUN</t>
  </si>
  <si>
    <t>INJ 10X100ML(LDPE)</t>
  </si>
  <si>
    <t>183487</t>
  </si>
  <si>
    <t>83487</t>
  </si>
  <si>
    <t>MERONEM 500MG I.V.</t>
  </si>
  <si>
    <t>INJ SIC 10X500MG</t>
  </si>
  <si>
    <t>197000</t>
  </si>
  <si>
    <t>97000</t>
  </si>
  <si>
    <t>METRONIDAZOLE 0.5% POLFA</t>
  </si>
  <si>
    <t>INJ 1X100ML 5MG/1ML</t>
  </si>
  <si>
    <t>103952</t>
  </si>
  <si>
    <t>3952</t>
  </si>
  <si>
    <t>AMIKIN</t>
  </si>
  <si>
    <t>INJ 1X2ML/500MG</t>
  </si>
  <si>
    <t>156801</t>
  </si>
  <si>
    <t>56801</t>
  </si>
  <si>
    <t>KLACID I.V.</t>
  </si>
  <si>
    <t>PLV INF 1X500MG</t>
  </si>
  <si>
    <t>172972</t>
  </si>
  <si>
    <t>72972</t>
  </si>
  <si>
    <t>AMOKSIKLAV 1.2GM</t>
  </si>
  <si>
    <t>INJ SIC 5X1.2GM</t>
  </si>
  <si>
    <t>192289</t>
  </si>
  <si>
    <t>92289</t>
  </si>
  <si>
    <t>EDICIN 0,5GM</t>
  </si>
  <si>
    <t>INJ.SICC.1X500MG</t>
  </si>
  <si>
    <t>177044</t>
  </si>
  <si>
    <t>77044</t>
  </si>
  <si>
    <t>ZINACEF AD INJ.</t>
  </si>
  <si>
    <t>INJ SIC 1X750MG</t>
  </si>
  <si>
    <t>115273</t>
  </si>
  <si>
    <t>15273</t>
  </si>
  <si>
    <t>SULPERAZON 2 G IM/IV</t>
  </si>
  <si>
    <t>INJ 1X(1GM+1GM)</t>
  </si>
  <si>
    <t>116896</t>
  </si>
  <si>
    <t>16896</t>
  </si>
  <si>
    <t>IMAZOL PLUS</t>
  </si>
  <si>
    <t>DRM CRM 1X30GM</t>
  </si>
  <si>
    <t>165989</t>
  </si>
  <si>
    <t>65989</t>
  </si>
  <si>
    <t>MYCOMAX « INF. INFUZ</t>
  </si>
  <si>
    <t>127635</t>
  </si>
  <si>
    <t>27635</t>
  </si>
  <si>
    <t>SYNAGIS 50 MG</t>
  </si>
  <si>
    <t>INJ PSO LQF 1X50MG</t>
  </si>
  <si>
    <t>137484</t>
  </si>
  <si>
    <t>ANBINEX 500 I.U. Grifols</t>
  </si>
  <si>
    <t>26039</t>
  </si>
  <si>
    <t>KIOVIG 1 g CZ Baxter</t>
  </si>
  <si>
    <t>42144</t>
  </si>
  <si>
    <t>Human Albumin 20% 10 ml GRIFOLS</t>
  </si>
  <si>
    <t>0931 - Novorozenecké oddělení, JIP 16A</t>
  </si>
  <si>
    <t>0912 - Novorozenecké oddělení, lůžkové oddělení 16B + 16D</t>
  </si>
  <si>
    <t>0911 - Novorozenecké oddělení, lůžkové oddělení 16C</t>
  </si>
  <si>
    <t>Přehled plnění PL - Spotřeba léčivých přípravků dle objemu Kč mimo PL</t>
  </si>
  <si>
    <t>V06XX - Potraviny pro zvláštní lékařské účely (PZLÚ)</t>
  </si>
  <si>
    <t>A02BC01 - Omeprazol</t>
  </si>
  <si>
    <t>B01AB05 - Enoxaparin</t>
  </si>
  <si>
    <t>J01CR02 - Amoxicilin a enzymový inhibitor</t>
  </si>
  <si>
    <t>J01DD01 - Cefotaxim</t>
  </si>
  <si>
    <t>N05CD08 - Midazolam</t>
  </si>
  <si>
    <t>J01FF01 - Klindamycin</t>
  </si>
  <si>
    <t>M03AC11 - Cisatrakurium</t>
  </si>
  <si>
    <t>J01XA02 - Teikoplanin</t>
  </si>
  <si>
    <t>B01AB06 - Nadroparin</t>
  </si>
  <si>
    <t>J01DC02 - Cefuroxim</t>
  </si>
  <si>
    <t>J01DD02 - Ceftazidim</t>
  </si>
  <si>
    <t>J01XA01 - Vankomycin</t>
  </si>
  <si>
    <t>N02AX02 - Tramadol</t>
  </si>
  <si>
    <t>J02AC01 - Flukonazol</t>
  </si>
  <si>
    <t>R03AC02 - Salbutamol</t>
  </si>
  <si>
    <t>N01AH03 - Sufentanyl</t>
  </si>
  <si>
    <t>J01CR05 - Piperacilin a enzymový inhibitor</t>
  </si>
  <si>
    <t>J01FA09 - Klarithromycin</t>
  </si>
  <si>
    <t>J01DD62 - Cefoperazon, kombinace</t>
  </si>
  <si>
    <t>R03BA05 - Flutikason</t>
  </si>
  <si>
    <t>J01DH02 - Meropenem</t>
  </si>
  <si>
    <t>A02BA02 - Ranitidin</t>
  </si>
  <si>
    <t>J01DH51 - Imipenem a enzymový inhibitor</t>
  </si>
  <si>
    <t>J01CR02</t>
  </si>
  <si>
    <t>V06XX</t>
  </si>
  <si>
    <t>NUTRITON</t>
  </si>
  <si>
    <t>POR SOL 1X135GM</t>
  </si>
  <si>
    <t>AMOKSIKLAV 156,25 MG/5 ML SUSPENZE</t>
  </si>
  <si>
    <t>POR PLV SUS 100 ML</t>
  </si>
  <si>
    <t>J01CR05</t>
  </si>
  <si>
    <t>TAZOCIN 4,5 G</t>
  </si>
  <si>
    <t>INJ PLV SOL 12X4.5GM</t>
  </si>
  <si>
    <t>J01DC02</t>
  </si>
  <si>
    <t>POR GRA SUS 1X50ML</t>
  </si>
  <si>
    <t>J01DH51</t>
  </si>
  <si>
    <t>J01FF01</t>
  </si>
  <si>
    <t>POR CPS DUR 16X150MG</t>
  </si>
  <si>
    <t>J01XA02</t>
  </si>
  <si>
    <t>TARGOCID 200 MG</t>
  </si>
  <si>
    <t>INJ PSO LQF 1X200MG</t>
  </si>
  <si>
    <t>N02AX02</t>
  </si>
  <si>
    <t>R03BA05</t>
  </si>
  <si>
    <t>INH SUS PSS 60X125RG</t>
  </si>
  <si>
    <t>INH SUS PSS 120X50RG</t>
  </si>
  <si>
    <t>A02BA02</t>
  </si>
  <si>
    <t>RANITAL 50 MG/2 ML</t>
  </si>
  <si>
    <t>INJ SOL 5X2ML/50MG</t>
  </si>
  <si>
    <t>A02BC01</t>
  </si>
  <si>
    <t>HELICID 40 INF</t>
  </si>
  <si>
    <t>INF PLV SOL 1X40MG</t>
  </si>
  <si>
    <t>B01AB05</t>
  </si>
  <si>
    <t>B01AB06</t>
  </si>
  <si>
    <t>AMOKSIKLAV 1,2 G</t>
  </si>
  <si>
    <t>INJ PLV SOL 5X1.2GM</t>
  </si>
  <si>
    <t>AUGMENTIN 600 MG</t>
  </si>
  <si>
    <t>INJ PLV SOL 10X600MG</t>
  </si>
  <si>
    <t>ZINACEF 750 MG</t>
  </si>
  <si>
    <t>INJ PLV SOL 1X750MG</t>
  </si>
  <si>
    <t>J01DD01</t>
  </si>
  <si>
    <t>J01DD02</t>
  </si>
  <si>
    <t>J01DD62</t>
  </si>
  <si>
    <t>INJ PLV SOL 1X(1GM+1GM)</t>
  </si>
  <si>
    <t>J01DH02</t>
  </si>
  <si>
    <t>MERONEM 500 MG</t>
  </si>
  <si>
    <t>INJ+INF PLV SOL 10X500MG</t>
  </si>
  <si>
    <t>J01FA09</t>
  </si>
  <si>
    <t>INF PLV SOL 1X500MG</t>
  </si>
  <si>
    <t>J01XA01</t>
  </si>
  <si>
    <t>EDICIN 0,5 G</t>
  </si>
  <si>
    <t>INJ PLV SOL 1X500MG</t>
  </si>
  <si>
    <t>J02AC01</t>
  </si>
  <si>
    <t>MYCOMAX INF</t>
  </si>
  <si>
    <t>INF SOL 100ML/200MG</t>
  </si>
  <si>
    <t>M03AC11</t>
  </si>
  <si>
    <t>N01AH03</t>
  </si>
  <si>
    <t>SUFENTANIL TORREX 5 MCG/ML</t>
  </si>
  <si>
    <t>N05CD08</t>
  </si>
  <si>
    <t>MIDAZOLAM TORREX 5 MG/ML</t>
  </si>
  <si>
    <t>R03AC02</t>
  </si>
  <si>
    <t>INH SUS PSS 200X100RG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</si>
  <si>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</si>
  <si>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</si>
  <si>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</si>
  <si>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</si>
  <si>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</si>
  <si>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</si>
  <si>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</si>
  <si>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</si>
  <si>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</si>
  <si>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</si>
  <si>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</si>
  <si>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</si>
  <si>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</si>
  <si>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</si>
  <si>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</si>
  <si>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</si>
  <si>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</si>
  <si>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</si>
  <si>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</si>
  <si>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</si>
  <si>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ZA318</t>
  </si>
  <si>
    <t>Náplast transpore 1,25 x 9,15 1527-0</t>
  </si>
  <si>
    <t>ZA444</t>
  </si>
  <si>
    <t>Tampon 20 x 19 cm nesterilní stáčený 1320300404</t>
  </si>
  <si>
    <t>ZA446</t>
  </si>
  <si>
    <t>Vata buničitá přířezy 20 x 30 cm 1230200129</t>
  </si>
  <si>
    <t>ZA467</t>
  </si>
  <si>
    <t>Tyčinka vatová nesterilní 15 cm 967936</t>
  </si>
  <si>
    <t>ZA570</t>
  </si>
  <si>
    <t>Náplast tegaderm 4,4 x 4,4 cm 1622W</t>
  </si>
  <si>
    <t>ZF225</t>
  </si>
  <si>
    <t>Náplast hypoalergenní á 250 ks 535381</t>
  </si>
  <si>
    <t>ZK522</t>
  </si>
  <si>
    <t xml:space="preserve">Tampon sterilní z buničité vaty / 20 ks karton á 2400 ks 1230213120 </t>
  </si>
  <si>
    <t>ZA898</t>
  </si>
  <si>
    <t>Set pro novorozence 1230111171</t>
  </si>
  <si>
    <t>ZA674</t>
  </si>
  <si>
    <t>Cévka CN-01 646959</t>
  </si>
  <si>
    <t>ZA737</t>
  </si>
  <si>
    <t>Filtr mini spike modrý 4550234</t>
  </si>
  <si>
    <t>ZA743</t>
  </si>
  <si>
    <t>Zkumavka odběrová 0,5 ml tapval fialová 11170</t>
  </si>
  <si>
    <t>ZA744</t>
  </si>
  <si>
    <t>Kanyla neoflon 24G žlutá BED:391350</t>
  </si>
  <si>
    <t>ZA746</t>
  </si>
  <si>
    <t>Stříkačka omnifix 1 ml 9161406V</t>
  </si>
  <si>
    <t>ZA775</t>
  </si>
  <si>
    <t>Sáček močový lepicí dětský pro novoroz. 710977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</si>
  <si>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</si>
  <si>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</si>
  <si>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</si>
  <si>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</si>
  <si>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</si>
  <si>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</si>
  <si>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</si>
  <si>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</si>
  <si>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ZA888</t>
  </si>
  <si>
    <t>Zkumavka odběrová s gelem tapval bílá 19860</t>
  </si>
  <si>
    <t>ZB117</t>
  </si>
  <si>
    <t>Lanceta haemolance modrá, á 150 ks, DIS7575</t>
  </si>
  <si>
    <t>ZB199</t>
  </si>
  <si>
    <t>Kanyla neoflon 26G fialová BED:391349</t>
  </si>
  <si>
    <t>ZB299</t>
  </si>
  <si>
    <t>Konektor bezjehlový s prodl.hadičkou 4097154</t>
  </si>
  <si>
    <t>ZB338</t>
  </si>
  <si>
    <t>Hadička spojovací tlaková unicath pr. 1,0 mm x 200 cm PB 3120 M</t>
  </si>
  <si>
    <t>ZB384</t>
  </si>
  <si>
    <t>Stříkačka omnifix 20 ml 4617207V</t>
  </si>
  <si>
    <t>ZB439</t>
  </si>
  <si>
    <t>Odstraňovač náplastí Convacare á 100 ks 37443</t>
  </si>
  <si>
    <t>ZB452</t>
  </si>
  <si>
    <t>Víko kompletní kompaktní podtl. odsáv. P00341</t>
  </si>
  <si>
    <t>ZB453</t>
  </si>
  <si>
    <t>Lopatka dřevěná ústní sterilní bal. á 100 ks 4700096</t>
  </si>
  <si>
    <t>ZC722</t>
  </si>
  <si>
    <t>Páska fixační bal. á 12 ks LNOP 1053</t>
  </si>
  <si>
    <t>ZC768</t>
  </si>
  <si>
    <t>Zkumavka 10 ml sterilní bal. á 1250 ks 1009/TE/SG</t>
  </si>
  <si>
    <t>ZC792</t>
  </si>
  <si>
    <t>Čidlo saturační jednorázové nellcor lepící pod 3 kg bal. á 24 ks 1776</t>
  </si>
  <si>
    <t>ZC793</t>
  </si>
  <si>
    <t>Čidlo saturační neonatální LNOP Neo-L děti 1 - 10 kg adhesivní sens. bal. á</t>
  </si>
  <si>
    <t>ZD030</t>
  </si>
  <si>
    <t>Skalpel jednorázový cutfix sterilní bal. á 10 ks 5518040</t>
  </si>
  <si>
    <t>ZD350</t>
  </si>
  <si>
    <t>Lanceta haemolance zelená 21 G á 150 ks DIS7568</t>
  </si>
  <si>
    <t>ZD662</t>
  </si>
  <si>
    <t>Cévka odsávací   8CH 07-0002</t>
  </si>
  <si>
    <t>ZF159</t>
  </si>
  <si>
    <t>Nádoba na kontaminovaný odpad 1 l 15-0002</t>
  </si>
  <si>
    <t>ZG515</t>
  </si>
  <si>
    <t>Zkumavka močová vacuette 10,5 ml bal. á 50 ks 331980455007</t>
  </si>
  <si>
    <t>ZH395</t>
  </si>
  <si>
    <t>Filtr ke kompaktní odsavačce P00094</t>
  </si>
  <si>
    <t>ZI179</t>
  </si>
  <si>
    <t>Zkumavka s mediem+ flovakovaný tampon eSwab růžový 490CE.A</t>
  </si>
  <si>
    <t>ZJ569</t>
  </si>
  <si>
    <t>Proužky Accu-Check senzor komfort Pro Control á 50 ks</t>
  </si>
  <si>
    <t>ZA400</t>
  </si>
  <si>
    <t>Sáček jímací dětský sterilní bal. á 10 ks 4425030</t>
  </si>
  <si>
    <t>ZB428</t>
  </si>
  <si>
    <t>Kanyla ET 2,5 bez manž. bal. á 10 ks 9325E</t>
  </si>
  <si>
    <t>ZB898</t>
  </si>
  <si>
    <t>Klobouček kojící kontaktní vel. S 16 mm K200.1628</t>
  </si>
  <si>
    <t>ZD892</t>
  </si>
  <si>
    <t>Filtr akustický echo screen bal. á 5 ks 1770</t>
  </si>
  <si>
    <t>ZI026</t>
  </si>
  <si>
    <t>Šidítko dětské Flora kytička bal. á 30 ks 1001</t>
  </si>
  <si>
    <t>ZI033</t>
  </si>
  <si>
    <t>Sosák plochý anatomický silikonový 0,6 otvor 632 827 024 223</t>
  </si>
  <si>
    <t>ZI035</t>
  </si>
  <si>
    <t>Savička náhradní kulatá k šidítkům Flora kytička 100N</t>
  </si>
  <si>
    <t>ZK424</t>
  </si>
  <si>
    <t>Teploměr digitální s ohebným hrotem flexi P02605</t>
  </si>
  <si>
    <t>ZL688</t>
  </si>
  <si>
    <t>Proužky Accu-Check Inform IIStrip 50 EU1 á 50 ks 05942861</t>
  </si>
  <si>
    <t>ZL689</t>
  </si>
  <si>
    <t>Roztok Accu-Check Performa Int´l Controls 1+2 level 04861736</t>
  </si>
  <si>
    <t>ZD784</t>
  </si>
  <si>
    <t>Nástavec ušní echoscreen 4 mm modrý bal. á 10 ks 1339</t>
  </si>
  <si>
    <t>ZI032</t>
  </si>
  <si>
    <t>Láhev kojenecká sklo náhradní 125 ml á 54 ks 632 828 650 202</t>
  </si>
  <si>
    <t>ZF733</t>
  </si>
  <si>
    <t>Set resuscitační bal. á 10 ks 900 RD 010</t>
  </si>
  <si>
    <t>ZA360</t>
  </si>
  <si>
    <t>Jehla sterican 0,5 x 25 mm oranžová 9186158</t>
  </si>
  <si>
    <t>ZA832</t>
  </si>
  <si>
    <t>Jehla injekční 0,9 x   40 mm žlutá 4657519</t>
  </si>
  <si>
    <t>ZB556</t>
  </si>
  <si>
    <t>Jehla injekční 1,2 x   40 mm růžová 4665120</t>
  </si>
  <si>
    <t>ZD370</t>
  </si>
  <si>
    <t>Rukavice nitril promedica bez p.M á 100 ks 98897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</si>
  <si>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</si>
  <si>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</si>
  <si>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</si>
  <si>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</si>
  <si>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802089</t>
  </si>
  <si>
    <t>-KARTICKY TEST.SKREENING 45X70 á 100 ks 10539735</t>
  </si>
  <si>
    <t>ZA516</t>
  </si>
  <si>
    <t>Kompresa NT 7,5 x 7,5 cm / 10 sterilní karton á 900 ks 1230119526</t>
  </si>
  <si>
    <t>ZA593</t>
  </si>
  <si>
    <t>Tampon sterilní stáčený 20 x 20 cm   / 5 ks 28003</t>
  </si>
  <si>
    <t>ZB084</t>
  </si>
  <si>
    <t>Náplast transpore 2,5   x 9,14 1527-1</t>
  </si>
  <si>
    <t>ZC845</t>
  </si>
  <si>
    <t>Kompresa NT 10 x 20 cm / 5 ks sterilní 26621</t>
  </si>
  <si>
    <t>ZF351</t>
  </si>
  <si>
    <t>Náplast transpore bílá 1,25 cm x 9,15 m á 24 ks 1534-0</t>
  </si>
  <si>
    <t>ZI558</t>
  </si>
  <si>
    <t>Náplast curapor   7 x   5 cm 22 120 ( náhrada za cosmopor )</t>
  </si>
  <si>
    <t>ZB360</t>
  </si>
  <si>
    <t>Rourka rektální CH12 bal. á 20 ks 646699</t>
  </si>
  <si>
    <t>ZB543</t>
  </si>
  <si>
    <t>Souprava odběrová tracheální G05206</t>
  </si>
  <si>
    <t>ZB668</t>
  </si>
  <si>
    <t>Hadička tlaková spojovací unicath pr. 1,0 mm x   50 cm PB 3105 M</t>
  </si>
  <si>
    <t>ZB949</t>
  </si>
  <si>
    <t>Pinzeta UH sterilní HAR999565</t>
  </si>
  <si>
    <t>ZC376</t>
  </si>
  <si>
    <t>Cévka odsávací 10CH 07-0004</t>
  </si>
  <si>
    <t>ZE159</t>
  </si>
  <si>
    <t>Nádoba na kontaminovaný odpad 2 l 15-0003</t>
  </si>
  <si>
    <t>ZI681</t>
  </si>
  <si>
    <t>Kapilára s heparinovou úpravou UH á 100 ks 140ul 102090</t>
  </si>
  <si>
    <t>ZI682</t>
  </si>
  <si>
    <t>Zátka ke kapiláře á 500 ks 110235</t>
  </si>
  <si>
    <t>ZI683</t>
  </si>
  <si>
    <t>Drátek míchací á 500 ks 110009</t>
  </si>
  <si>
    <t>ZK798</t>
  </si>
  <si>
    <t xml:space="preserve">Zátka combi modrá 4495152 </t>
  </si>
  <si>
    <t>ZK973</t>
  </si>
  <si>
    <t>Cévka odsávací CH6 s přerušovačem sání, á 50 ks, P01190a</t>
  </si>
  <si>
    <t>ZK977</t>
  </si>
  <si>
    <t>Cévka odsávací CH14 s přerušovačem sání P01173a</t>
  </si>
  <si>
    <t>ZB383</t>
  </si>
  <si>
    <t>Elektroda drátková pro novor.3 v sáčku á 300 ks 2009101-406</t>
  </si>
  <si>
    <t>ZB985</t>
  </si>
  <si>
    <t>Urin-Monovette s pístem 10 ml sterilní bal. á 100 ks 10.252.020</t>
  </si>
  <si>
    <t>ZF750</t>
  </si>
  <si>
    <t>Konektor 15M/15M 1945</t>
  </si>
  <si>
    <t>ZL457</t>
  </si>
  <si>
    <t>Konektor 22M/15F + kyslíkový konektor mm 1974</t>
  </si>
  <si>
    <t>ZC054</t>
  </si>
  <si>
    <t>Válec odměrný vysoký 100 ml 713880</t>
  </si>
  <si>
    <t>ZA878</t>
  </si>
  <si>
    <t>Šití etlon bl 4/0 bal. á 12 ks W319</t>
  </si>
  <si>
    <t>ZF925</t>
  </si>
  <si>
    <t>Jehla injekční 0,9 x   25 mm žlutá á 100 ks 4657500</t>
  </si>
  <si>
    <t>ZL072</t>
  </si>
  <si>
    <t>Rukavice operační gammex bez pudru PF EnLite vel. 7,0 353384</t>
  </si>
  <si>
    <t>ZL073</t>
  </si>
  <si>
    <t>Rukavice operační gammex bez pudru PF EnLite vel. 7,5 353385</t>
  </si>
  <si>
    <t>396604</t>
  </si>
  <si>
    <t>-FOb+Tf card 20ks OD-101</t>
  </si>
  <si>
    <t>ZA496</t>
  </si>
  <si>
    <t>Krytí bioclusive 5,1 x 7,6 cm bal. á 100 ks SYS2461EE</t>
  </si>
  <si>
    <t>ZA544</t>
  </si>
  <si>
    <t>Krytí inadine nepřilnavé 5,0 x 5,0 cm 1/10 SYS01481EE</t>
  </si>
  <si>
    <t>ZA548</t>
  </si>
  <si>
    <t>Náplast wet pruf voduvzd. 2,50 cm x 9,14 m bal. á 12 ks 3142</t>
  </si>
  <si>
    <t>ZA627</t>
  </si>
  <si>
    <t>Krytí granuflex 5 x 10 cm á 10 ks 1013949</t>
  </si>
  <si>
    <t>ZE108</t>
  </si>
  <si>
    <t>Krytí mepilex lite 10 x 10 cm bal. á 10 ks 284100-01</t>
  </si>
  <si>
    <t>ZF108</t>
  </si>
  <si>
    <t>Krytí mepilex lite 6 x  8,5 cm bal. á 5 ks 284000-01</t>
  </si>
  <si>
    <t>ZG613</t>
  </si>
  <si>
    <t>Krytí mepitel one 8 x 10 cm  bal. á 5 ks 289200-00</t>
  </si>
  <si>
    <t>ZH011</t>
  </si>
  <si>
    <t>Náplast micropore 1,25 cm x 9,15 m 1530-0</t>
  </si>
  <si>
    <t>ZI599</t>
  </si>
  <si>
    <t>Náplast curapor 10 x   8 cm 22121 ( náhrada za cosmopor )</t>
  </si>
  <si>
    <t>ZA326</t>
  </si>
  <si>
    <t>Krytí hypro-sorb R 20 x 25 mm bal. á 6 ks 003</t>
  </si>
  <si>
    <t>ZA415</t>
  </si>
  <si>
    <t>Obinadlo idealast-haft 6 cm x 10 m 931114</t>
  </si>
  <si>
    <t>ZA525</t>
  </si>
  <si>
    <t>Normlgel   5 g 370500</t>
  </si>
  <si>
    <t>ZA630</t>
  </si>
  <si>
    <t>Tampon  9 x 9 cm / 5 ks sterilní stáčený karton á 500 ks 1230110421</t>
  </si>
  <si>
    <t>ZA485</t>
  </si>
  <si>
    <t xml:space="preserve">Krytí bioclusive 1/4 10,2 x 12,7 cm bal. á 50 ks 2463 </t>
  </si>
  <si>
    <t>ZA118</t>
  </si>
  <si>
    <t>Kanyla ET 3,5 bez manž. 9335E</t>
  </si>
  <si>
    <t>ZA665</t>
  </si>
  <si>
    <t>Chlopeň k pacientskému okruhu SM3100 086-766896</t>
  </si>
  <si>
    <t>ZA675</t>
  </si>
  <si>
    <t>Cévka pupeční CP-01 GAM646958</t>
  </si>
  <si>
    <t>ZA687</t>
  </si>
  <si>
    <t>Sáček močový curity s hod.diurézou 200 ml 6502</t>
  </si>
  <si>
    <t>ZA688</t>
  </si>
  <si>
    <t>Sáček močový curity s hod.diurézou 400 ml 8150</t>
  </si>
  <si>
    <t>ZA691</t>
  </si>
  <si>
    <t>Rampa 3 kohouty discofix 16600C/4085434/</t>
  </si>
  <si>
    <t>ZA705</t>
  </si>
  <si>
    <t>Hadička spojovací HS 1,8 x 450UNIV</t>
  </si>
  <si>
    <t>ZA749</t>
  </si>
  <si>
    <t>Stříkačka omnifix 50 ml 4617509F</t>
  </si>
  <si>
    <t>ZA754</t>
  </si>
  <si>
    <t>Stříkačka injekční omnifix 10 ml 4617100V</t>
  </si>
  <si>
    <t>ZA822</t>
  </si>
  <si>
    <t>Membrána k Sensor Medics 3100</t>
  </si>
  <si>
    <t>ZB088</t>
  </si>
  <si>
    <t>Kanyla ET 3,0 bez manž. 9336E</t>
  </si>
  <si>
    <t>ZB102</t>
  </si>
  <si>
    <t>Láhev k odsávačce flovac 1l hadice 1,8 m á 45 ks 000-036-020</t>
  </si>
  <si>
    <t>ZB103</t>
  </si>
  <si>
    <t>Láhev k odsávačce flovac 2l hadice 1,8 m 000-036-021</t>
  </si>
  <si>
    <t>ZB128</t>
  </si>
  <si>
    <t>Kanyla ET 4,5 bez manž. 9345</t>
  </si>
  <si>
    <t>ZB141</t>
  </si>
  <si>
    <t>Okruh ventilační neonatální 10 mm 6202000/W</t>
  </si>
  <si>
    <t>ZB228</t>
  </si>
  <si>
    <t>Systém hrudní drenáže Pleur-evac bal. á 6 ks A-6020-08LF</t>
  </si>
  <si>
    <t>ZB301</t>
  </si>
  <si>
    <t>Rampa 5 kohoutů bal. á 20 ks RP 5000 M</t>
  </si>
  <si>
    <t>ZB336</t>
  </si>
  <si>
    <t>Zkumavka odběrová 1 ml tapval modrá bal. á 50 ks 13060</t>
  </si>
  <si>
    <t>ZB740</t>
  </si>
  <si>
    <t>Okruh anesteziologický s vyhřívacím drátem 086-771374</t>
  </si>
  <si>
    <t>ZB755</t>
  </si>
  <si>
    <t>Zkumavka 1 ml K3 edta fialová 454034</t>
  </si>
  <si>
    <t>ZB773</t>
  </si>
  <si>
    <t>Zkumavka šedá-glykemie 454085</t>
  </si>
  <si>
    <t>ZB796</t>
  </si>
  <si>
    <t>Stříkačka omnifix 30 ml 4617304F</t>
  </si>
  <si>
    <t>ZB911</t>
  </si>
  <si>
    <t>Aplikátor s okruhem nasální CPAP 12204-102</t>
  </si>
  <si>
    <t>ZD147</t>
  </si>
  <si>
    <t>Trokar hrudní F8 8 cm, á 15 ks, 625.08</t>
  </si>
  <si>
    <t>ZE308</t>
  </si>
  <si>
    <t>Stříkačka omnifix 5 ml 4617053V</t>
  </si>
  <si>
    <t>ZE476</t>
  </si>
  <si>
    <t>Sada hadiček tlakových 086-11437</t>
  </si>
  <si>
    <t>ZE783</t>
  </si>
  <si>
    <t>Trn na vak jednosměrný bal. á 100 ks 2309E</t>
  </si>
  <si>
    <t>ZE784</t>
  </si>
  <si>
    <t>Konektor bezjehlový smartsite modrý 2000E7D</t>
  </si>
  <si>
    <t>ZH845</t>
  </si>
  <si>
    <t>Tyčinka vatová medcomfort + glyc. citónová příchuť bal. á 75 ks 09157-100</t>
  </si>
  <si>
    <t>ZI235</t>
  </si>
  <si>
    <t>Komora Vilamed jednorázové samoplnící typ C200AF á 10ks 500380</t>
  </si>
  <si>
    <t>ZJ568</t>
  </si>
  <si>
    <t>Roztok Accu-Check senzor komfort Pro Control 1+2 level 03513670</t>
  </si>
  <si>
    <t>ZJ659</t>
  </si>
  <si>
    <t>Kohout trojcestný s bezjehlovým konektorem Discofix C bal. á 100 ks</t>
  </si>
  <si>
    <t>ZK799</t>
  </si>
  <si>
    <t>Zátka combi červená 4495101</t>
  </si>
  <si>
    <t>ZK806</t>
  </si>
  <si>
    <t>Okruh jednorázový ventilační k ventilátoru babylog 8000IC 5068810</t>
  </si>
  <si>
    <t>ZK884</t>
  </si>
  <si>
    <t>Kohout trojcestný discofix modrý 4095111</t>
  </si>
  <si>
    <t>ZK974</t>
  </si>
  <si>
    <t>Cévka odsávací CH8   s přerušovačem sání P01192a</t>
  </si>
  <si>
    <t>ZL334</t>
  </si>
  <si>
    <t>Systém odsávací uzavřený TS Comfortsoft CH 6 30 cm 72 hod. 02-011-01</t>
  </si>
  <si>
    <t>ZL537</t>
  </si>
  <si>
    <t>Sensor teplotní jednorázový bal. á 10 ks 6600-0873-700</t>
  </si>
  <si>
    <t>ZL538</t>
  </si>
  <si>
    <t>Hadice silikon 5/9 mm á 25 m P00389</t>
  </si>
  <si>
    <t>ZA718</t>
  </si>
  <si>
    <t>Patrona nízkoprůtoková vapotherm VT01-B</t>
  </si>
  <si>
    <t>ZA987</t>
  </si>
  <si>
    <t>Maska nasální infant flow bal. á 10 ks 777086-102</t>
  </si>
  <si>
    <t>ZB130</t>
  </si>
  <si>
    <t>Peán UH RP88</t>
  </si>
  <si>
    <t>ZB416</t>
  </si>
  <si>
    <t>Kanyla ET 4,0 bez manž. bal. á 10 ks 9342E</t>
  </si>
  <si>
    <t>ZB614</t>
  </si>
  <si>
    <t>Vak vapotherm bal. á 20 ks WR1200</t>
  </si>
  <si>
    <t>ZB672</t>
  </si>
  <si>
    <t>Spojka drénová variabilní  bal. á 100 ks 5524989</t>
  </si>
  <si>
    <t>ZB843</t>
  </si>
  <si>
    <t>Zavaděč trach. rourek bal. á 10 ks 100/120/100</t>
  </si>
  <si>
    <t>ZB850</t>
  </si>
  <si>
    <t>Nos umělý trach-vent bal. á 50 ks 41311U</t>
  </si>
  <si>
    <t>ZB965</t>
  </si>
  <si>
    <t>Nůžky rovné chirurgické hrotnaté 13 cm b397113920003</t>
  </si>
  <si>
    <t>ZC134</t>
  </si>
  <si>
    <t>Manžeta na měření TK neonatal. č.3 M1870A</t>
  </si>
  <si>
    <t>ZC222</t>
  </si>
  <si>
    <t>Kanyla TS 3,0 s manžetou 67P030</t>
  </si>
  <si>
    <t>ZD282</t>
  </si>
  <si>
    <t>Aplikátor nasální infant bal. á 25 ks MI1300</t>
  </si>
  <si>
    <t>ZD283</t>
  </si>
  <si>
    <t>Aplikátor nasální neonatal bal. á 25 ks MN1100B</t>
  </si>
  <si>
    <t>ZD406</t>
  </si>
  <si>
    <t>Okruh dýchací jednorázový neonatální 150 cm á 10 ks 305/8173</t>
  </si>
  <si>
    <t>ZD992</t>
  </si>
  <si>
    <t>Sensor saturační jednorázový pro novorozence masimo k monitoru</t>
  </si>
  <si>
    <t>ZE782</t>
  </si>
  <si>
    <t>Hadička spojovací krátká smartsite á 100 ks 20021E</t>
  </si>
  <si>
    <t>ZE887</t>
  </si>
  <si>
    <t>Generátor nCPAP bal. á 10 ks P04514</t>
  </si>
  <si>
    <t>ZE888</t>
  </si>
  <si>
    <t>Okruh dýchací neonatální RT224 bal. á 10 ks P04648</t>
  </si>
  <si>
    <t>ZG083</t>
  </si>
  <si>
    <t>Čepička na infant flow systém velikost 2, á 10 ks,777084-105</t>
  </si>
  <si>
    <t>ZG084</t>
  </si>
  <si>
    <t>Čepička na infant flow systém velikost 3, á 10 ks 777084-106</t>
  </si>
  <si>
    <t>ZG649</t>
  </si>
  <si>
    <t>Čepička na infant flow system velikost 000 777084-101</t>
  </si>
  <si>
    <t>ZI034</t>
  </si>
  <si>
    <t>Sosák kulatý úzký silikonový 0,8 otvor 3004</t>
  </si>
  <si>
    <t>ZI119</t>
  </si>
  <si>
    <t>Manžeta na měření TK neonatal. č.2 M1868A</t>
  </si>
  <si>
    <t>ZK808</t>
  </si>
  <si>
    <t>Spojka propojovací  z nebulizace MR730 do jednorázového okruhu 5603</t>
  </si>
  <si>
    <t>ZL324</t>
  </si>
  <si>
    <t>Manžeta NIPB dvouhadičková 3-6 cm k měření nepřímého tlaku u</t>
  </si>
  <si>
    <t>ZL325</t>
  </si>
  <si>
    <t>Manžeta NIPB dvouhadičková 4-8 cm k měření nepřímého tlaku u</t>
  </si>
  <si>
    <t>ZL326</t>
  </si>
  <si>
    <t>Manžeta NIPB dvouhadičková 6-11 cm k měření nepřímého tlaku u</t>
  </si>
  <si>
    <t>ZL327</t>
  </si>
  <si>
    <t>Manžeta NIPB dvouhadičková 7-13 cm k měření nepřímého tlaku u</t>
  </si>
  <si>
    <t>ZL335</t>
  </si>
  <si>
    <t>Systém odsávací uzavřený TS Comfortsoft CH 8 30 cm 72 hod. 02-011-02</t>
  </si>
  <si>
    <t>ZL458</t>
  </si>
  <si>
    <t>Nebulizátor neonatologický bal. á 20 ks 2508</t>
  </si>
  <si>
    <t>ZG081</t>
  </si>
  <si>
    <t>Čepička na infant flow system velikost 0 777084-103</t>
  </si>
  <si>
    <t>ZK807</t>
  </si>
  <si>
    <t>Spojka propojovací  z nebulizace MR850 do jednorázového okruhu 5600</t>
  </si>
  <si>
    <t>ZK083</t>
  </si>
  <si>
    <t>Elektroda EKG bal. á 12 ks 100 BRS-50-K/12</t>
  </si>
  <si>
    <t>ZL819</t>
  </si>
  <si>
    <t>Maska nasální Infant flow malá 4704000</t>
  </si>
  <si>
    <t>ZL817</t>
  </si>
  <si>
    <t>Lžíce laryngoskopická 0 7040</t>
  </si>
  <si>
    <t>ZD281</t>
  </si>
  <si>
    <t>Aplikátor nasální infant intermediate MI1300B</t>
  </si>
  <si>
    <t>ZC847</t>
  </si>
  <si>
    <t>Systém odsávací uzavřený TC CH5  neo / pedi 30,5 cm 195-4</t>
  </si>
  <si>
    <t>ZL821</t>
  </si>
  <si>
    <t>Maska nasální Infant flow velká 4706000</t>
  </si>
  <si>
    <t>ZL820</t>
  </si>
  <si>
    <t>Maska nasální Infant flow střední 4705000</t>
  </si>
  <si>
    <t>ZC133</t>
  </si>
  <si>
    <t>Pátradlo paličkové oboustranné 15,0 cm 397133080020</t>
  </si>
  <si>
    <t>ZC619</t>
  </si>
  <si>
    <t>Katetr pupeční žilní  F5/38 cm dvoucestný bal. á 5 ks 8888160556</t>
  </si>
  <si>
    <t>ZC628</t>
  </si>
  <si>
    <t>Katetr pupeční žilní  F3,5/38 cm jednocestný bal. á 10 ks 8888160333</t>
  </si>
  <si>
    <t>ZH961</t>
  </si>
  <si>
    <t xml:space="preserve">Katetr pupeční jednocestný průměr 5ch bal. á 10 ks 8888160341 </t>
  </si>
  <si>
    <t>ZL818</t>
  </si>
  <si>
    <t>Katetr umbilikální dvoucestný 1272.14</t>
  </si>
  <si>
    <t>ZA869</t>
  </si>
  <si>
    <t>Set transfúzní LLP s filtrem pro provzdušněním hemomed 05223</t>
  </si>
  <si>
    <t>ZD478</t>
  </si>
  <si>
    <t>Převodník tlakový arteriální 90 cm jednokom.novorozenecký 1 linka bal. á</t>
  </si>
  <si>
    <t>ZA716</t>
  </si>
  <si>
    <t>Set infuzní intrafix 180 cm 4063002</t>
  </si>
  <si>
    <t>ZA999</t>
  </si>
  <si>
    <t>Jehla injekční 0,5 x   16 mm oranžová 4657853</t>
  </si>
  <si>
    <t>ZL071</t>
  </si>
  <si>
    <t>Rukavice operační gammex bez pudru PF EnLite vel. 6,5 353383</t>
  </si>
  <si>
    <t>ZL074</t>
  </si>
  <si>
    <t>Rukavice operační gammex bez pudru PF EnLite vel. 8,0 353386</t>
  </si>
  <si>
    <t>ZL075</t>
  </si>
  <si>
    <t>Rukavice operační gammex bez pudru PF EnLite vel. 8,5 353387</t>
  </si>
  <si>
    <t>803610</t>
  </si>
  <si>
    <t>-Diagnostická souprava ABO set monoklonální na 30 1536</t>
  </si>
  <si>
    <t>804181</t>
  </si>
  <si>
    <t>-Játrový bujon (10ml) MKM06045</t>
  </si>
  <si>
    <t>804874</t>
  </si>
  <si>
    <t>-MYCOPLASMA IST II-Lahvicka 42507</t>
  </si>
  <si>
    <t>396425</t>
  </si>
  <si>
    <t>-Rapid-Viditest RSV Blister OD-056</t>
  </si>
  <si>
    <t>801577</t>
  </si>
  <si>
    <t>-BG/ELETTR./Glu/Lac/Hct 300 CAMPIONI 0024330009</t>
  </si>
  <si>
    <t>803017</t>
  </si>
  <si>
    <t>-Játrový bujon (5ml) MKM06011</t>
  </si>
  <si>
    <t>803991</t>
  </si>
  <si>
    <t>-Bactec PEDS 442194</t>
  </si>
  <si>
    <t>805311</t>
  </si>
  <si>
    <t>-ContrIL 9 Multipak 24001418</t>
  </si>
  <si>
    <t>08 - PORODNICKO-GYNEKOLOGICKÁ KLINIKA</t>
  </si>
  <si>
    <t>09 - NOVOROZENECKÉ ODDĚLENÍ</t>
  </si>
  <si>
    <t>08</t>
  </si>
  <si>
    <t>3T4</t>
  </si>
  <si>
    <t>V</t>
  </si>
  <si>
    <t>09544</t>
  </si>
  <si>
    <t>REGULAČNÍ POPLATEK ZA KAŽDÝ DEN LŮŽKOVÉ PÉČE -- PO</t>
  </si>
  <si>
    <t>301</t>
  </si>
  <si>
    <t>31021</t>
  </si>
  <si>
    <t>KOMPLEXNÍ VYŠETŘENÍ DĚTSKÝM LÉKAŘEM</t>
  </si>
  <si>
    <t>31022</t>
  </si>
  <si>
    <t>CÍLENÉ VYŠETŘENÍ DĚTSKÝM LÉKAŘEM</t>
  </si>
  <si>
    <t>3F4</t>
  </si>
  <si>
    <t>1</t>
  </si>
  <si>
    <t>0005114</t>
  </si>
  <si>
    <t xml:space="preserve">TARGOCID 200 MG                                   </t>
  </si>
  <si>
    <t>0014583</t>
  </si>
  <si>
    <t xml:space="preserve">TIENAM 500 MG/500 MG I.V.                         </t>
  </si>
  <si>
    <t>0015669</t>
  </si>
  <si>
    <t xml:space="preserve">CEFTAX 1000                                       </t>
  </si>
  <si>
    <t>0026039</t>
  </si>
  <si>
    <t xml:space="preserve">KIOVIG 100MG/ML                                   </t>
  </si>
  <si>
    <t>0056801</t>
  </si>
  <si>
    <t xml:space="preserve">KLACID I.V.                                       </t>
  </si>
  <si>
    <t>0065989</t>
  </si>
  <si>
    <t xml:space="preserve">MYCOMAX INF                                       </t>
  </si>
  <si>
    <t>0068999</t>
  </si>
  <si>
    <t xml:space="preserve">AMPICILIN 0,5 BIOTIKA                             </t>
  </si>
  <si>
    <t>0092206</t>
  </si>
  <si>
    <t xml:space="preserve">AUGMENTIN 600 MG                                  </t>
  </si>
  <si>
    <t>0092289</t>
  </si>
  <si>
    <t xml:space="preserve">EDICIN 0,5 G                                      </t>
  </si>
  <si>
    <t>0094176</t>
  </si>
  <si>
    <t xml:space="preserve">CEFOTAXIME LEK 1 G PRÁŠEK PRO PŘÍPRAVU INJEKČNÍHO </t>
  </si>
  <si>
    <t>0096413</t>
  </si>
  <si>
    <t xml:space="preserve">GENTAMICIN LEK 40 MG/2 ML                         </t>
  </si>
  <si>
    <t>0107854</t>
  </si>
  <si>
    <t xml:space="preserve">NEOHEPATECT                                       </t>
  </si>
  <si>
    <t>0164350</t>
  </si>
  <si>
    <t xml:space="preserve">TAZOCIN 4 G/0,5 G                                 </t>
  </si>
  <si>
    <t>2</t>
  </si>
  <si>
    <t>0007957</t>
  </si>
  <si>
    <t xml:space="preserve">ERYTROCYTY DELEUKOTIZOVANÉ                        </t>
  </si>
  <si>
    <t>0107960</t>
  </si>
  <si>
    <t xml:space="preserve">TROMBOCYTY Z AFERÉZY DELEUKOTIZOVANÉ              </t>
  </si>
  <si>
    <t>0407942</t>
  </si>
  <si>
    <t xml:space="preserve">PŘÍPLATEK ZA OZÁŘENÍ                              </t>
  </si>
  <si>
    <t>00612</t>
  </si>
  <si>
    <t>OD TYPU 12 - PRO NEMOCNICE TYPU 3, (KATEGORIE 6)</t>
  </si>
  <si>
    <t>00631</t>
  </si>
  <si>
    <t>OD TYPU 31 - PRO NEMOCNICE TYPU 3, (KATEGORIE 6)</t>
  </si>
  <si>
    <t>09213</t>
  </si>
  <si>
    <t>NEODKLADNÁ KARDIOPULMONÁLNÍ RESUSCITACE ZÁKLADNÍ Á</t>
  </si>
  <si>
    <t>09227</t>
  </si>
  <si>
    <t>I. V. APLIKACE KRVE NEBO KREVNÍCH DERIVÁTŮ</t>
  </si>
  <si>
    <t>17261</t>
  </si>
  <si>
    <t>SPECIALIZOVANÉ ECHOKARDIOGRAFICKÉ VYŠETŘENÍ</t>
  </si>
  <si>
    <t>31011</t>
  </si>
  <si>
    <t xml:space="preserve"> </t>
  </si>
  <si>
    <t>31130</t>
  </si>
  <si>
    <t>PŘIJETÍ DOPROVODU DÍTĚTE</t>
  </si>
  <si>
    <t>32431</t>
  </si>
  <si>
    <t>SPECIALIZOVANÉ ECHOKARDIOGRAFICKÉ VYŠETŘENÍ U DĚTÍ</t>
  </si>
  <si>
    <t>66031</t>
  </si>
  <si>
    <t>PREVENTIVNÍ VYŠETŘENÍ KYČELNÍCH KLOUBŮ U KOJENCE</t>
  </si>
  <si>
    <t>00880</t>
  </si>
  <si>
    <t>ROZLIŠENÍ VYKÁZANÉ HOSPITALIZACE JAKO: = NOVÁ HOSP</t>
  </si>
  <si>
    <t>00881</t>
  </si>
  <si>
    <t>ROZLIŠENÍ VYKÁZANÉ HOSPITALIZACE JAKO: = POKRAČOVÁ</t>
  </si>
  <si>
    <t>09547</t>
  </si>
  <si>
    <t>REGULAČNÍ POPLATEK -- POJIŠTĚNEC OD ÚHRADY POPLATK</t>
  </si>
  <si>
    <t>34453</t>
  </si>
  <si>
    <t>(VZP) PORODNÍ VÁHA NOVOROZENCE OD 1500 DO 1999 GRA</t>
  </si>
  <si>
    <t>34454</t>
  </si>
  <si>
    <t>(VZP) PORODNÍ VÁHA NOVOROZENCE OD 2000 DO 2499 GRA</t>
  </si>
  <si>
    <t>34451</t>
  </si>
  <si>
    <t>(VZP) PORODNÍ VÁHA NOVOROZENCE OD 750 DO 999 GRAMŮ</t>
  </si>
  <si>
    <t>34455</t>
  </si>
  <si>
    <t>(VZP) PORODNÍ VÁHA NOVOROZENCE NAD 2499 GRAMŮ</t>
  </si>
  <si>
    <t>99999</t>
  </si>
  <si>
    <t>Nespecifikovany vykon</t>
  </si>
  <si>
    <t>0001619</t>
  </si>
  <si>
    <t xml:space="preserve">VANCOCIN CP 500 MG                                </t>
  </si>
  <si>
    <t>0003952</t>
  </si>
  <si>
    <t xml:space="preserve">AMIKIN 500 MG                                     </t>
  </si>
  <si>
    <t>0011592</t>
  </si>
  <si>
    <t xml:space="preserve">METRONIDAZOL B. BRAUN 5 MG/ML                     </t>
  </si>
  <si>
    <t>0015273</t>
  </si>
  <si>
    <t xml:space="preserve">SULPERAZON 2 G IM/IV                              </t>
  </si>
  <si>
    <t>0017810</t>
  </si>
  <si>
    <t xml:space="preserve">TAZOCIN 4,5 G                                     </t>
  </si>
  <si>
    <t>0025670</t>
  </si>
  <si>
    <t xml:space="preserve">INOMAX 400 PPM MOL/MOL INH. GAS                   </t>
  </si>
  <si>
    <t>0027636</t>
  </si>
  <si>
    <t>SYNAGI</t>
  </si>
  <si>
    <t xml:space="preserve">SYNAGIS 100 MG                                    </t>
  </si>
  <si>
    <t>0042144</t>
  </si>
  <si>
    <t xml:space="preserve">HUMAN ALBUMIN GRIFOLS 20%                         </t>
  </si>
  <si>
    <t>0049193</t>
  </si>
  <si>
    <t>0059830</t>
  </si>
  <si>
    <t xml:space="preserve">CIPRINOL 200 MG/100 ML                            </t>
  </si>
  <si>
    <t>0076355</t>
  </si>
  <si>
    <t xml:space="preserve">FORTUM 500 MG                                     </t>
  </si>
  <si>
    <t>0077043</t>
  </si>
  <si>
    <t xml:space="preserve">ZINACEF 250 MG                                    </t>
  </si>
  <si>
    <t>0077044</t>
  </si>
  <si>
    <t xml:space="preserve">ZINACEF 750 MG                                    </t>
  </si>
  <si>
    <t>0083050</t>
  </si>
  <si>
    <t xml:space="preserve">SEFOTAK 1 G                                       </t>
  </si>
  <si>
    <t>0083487</t>
  </si>
  <si>
    <t xml:space="preserve">MERONEM 500 MG                                    </t>
  </si>
  <si>
    <t>0087226</t>
  </si>
  <si>
    <t xml:space="preserve">CUROSURF                                          </t>
  </si>
  <si>
    <t>0097577</t>
  </si>
  <si>
    <t xml:space="preserve">TAZOCIN 2,25 G                                    </t>
  </si>
  <si>
    <t>0131654</t>
  </si>
  <si>
    <t xml:space="preserve">CEFTAZIDIM KABI 1 GM                              </t>
  </si>
  <si>
    <t>0137484</t>
  </si>
  <si>
    <t xml:space="preserve">ANBINEX                                           </t>
  </si>
  <si>
    <t>0137499</t>
  </si>
  <si>
    <t>0007955</t>
  </si>
  <si>
    <t>0107928</t>
  </si>
  <si>
    <t xml:space="preserve">Trombocyty z odběru plné krve                     </t>
  </si>
  <si>
    <t>0107961</t>
  </si>
  <si>
    <t xml:space="preserve">TROMBOCYTY PATOGEN-INAKTIVOVANÉ                   </t>
  </si>
  <si>
    <t>0207921</t>
  </si>
  <si>
    <t xml:space="preserve">PLAZMA ČERSTVÁ ZMRAZENÁ                           </t>
  </si>
  <si>
    <t>3</t>
  </si>
  <si>
    <t>0005606</t>
  </si>
  <si>
    <t>NÁVLEK NA OPMI, TYP 71                      306071</t>
  </si>
  <si>
    <t>0029784</t>
  </si>
  <si>
    <t xml:space="preserve">SOUPRAVA K SUPRAPUBICKÉ DRENÁŽI 4441036           </t>
  </si>
  <si>
    <t>0068194</t>
  </si>
  <si>
    <t xml:space="preserve">SYSTÉM HYDROCEPHALNÍ DRENÁŽNÍ                     </t>
  </si>
  <si>
    <t>0068197</t>
  </si>
  <si>
    <t>0068202</t>
  </si>
  <si>
    <t>00671</t>
  </si>
  <si>
    <t>OD TYPU 71 - PRO NEMOCNICE TYPU 3, (KATEGORIE 6) -</t>
  </si>
  <si>
    <t>00672</t>
  </si>
  <si>
    <t>OD TYPU 72 - PRO NEMOCNICE TYPU 3, (KATEGORIE 6) -</t>
  </si>
  <si>
    <t>00675</t>
  </si>
  <si>
    <t>OD TYPU 75 - PRO NEMOCNICE TYPU 3, (KATEGORIE 6) -</t>
  </si>
  <si>
    <t>00678</t>
  </si>
  <si>
    <t>OD TYPU 78 - PRO NEMOCNICE TYPU 3, (KATEGORIE 6) -</t>
  </si>
  <si>
    <t>34320</t>
  </si>
  <si>
    <t>SELEKTIVNÍ PLICNÍ VAZODILATACE POMOCÍ OXIDU DUSNAT</t>
  </si>
  <si>
    <t>51353</t>
  </si>
  <si>
    <t>PUNKCE, ODSÁTÍ TENKÉHO STŘEVA, MANIPULACE SE STŘEV</t>
  </si>
  <si>
    <t>51359</t>
  </si>
  <si>
    <t>RESEKCE A ANASTOMÓZA TLUSTÉHO STŘEVA NEBO REKTOSIG</t>
  </si>
  <si>
    <t>APENDEKTOMIE NEBO OPERAČNÍ DRENÁŽ PERIAPENDIKULÁRN</t>
  </si>
  <si>
    <t>51386</t>
  </si>
  <si>
    <t>SUTURA EV. EXCIZE A SUTURA LÉZE STĚNY ŽALUDKU NEBO</t>
  </si>
  <si>
    <t>52231</t>
  </si>
  <si>
    <t>OPERACE OMFALOKÉLY NEBO GASTROSCHÍZY</t>
  </si>
  <si>
    <t>52311</t>
  </si>
  <si>
    <t xml:space="preserve">OPERACE TŘÍSELNÉ NEBO FEMORÁLNÍ NEBO PUPEČNÍ KÝLY </t>
  </si>
  <si>
    <t>56125</t>
  </si>
  <si>
    <t>OPERAČNÍ REVIZE NEBO ZAVEDENÍ DRENÁŽE MOZKOMÍŠNÍHO</t>
  </si>
  <si>
    <t>56419</t>
  </si>
  <si>
    <t>POUŽITÍ OPERAČNÍHO MIKROSKOPU Á 15 MINUT</t>
  </si>
  <si>
    <t>61123</t>
  </si>
  <si>
    <t>EXCIZE KOŽNÍ LÉZE OD 2 DO 10 CM^2, BEZ UZAVŘENÍ VZ</t>
  </si>
  <si>
    <t>63589</t>
  </si>
  <si>
    <t>SALPINGEKTOMIE NEBO ADNEXEKTOMIE A NEBO RESEKCE OV</t>
  </si>
  <si>
    <t>76365</t>
  </si>
  <si>
    <t>PUNKČNÍ EPICYSTOSTOMIE</t>
  </si>
  <si>
    <t>77115</t>
  </si>
  <si>
    <t>ORCHIDOPEXE JEDNOSTRANNÁ U DĚTÍ DO 3 LET</t>
  </si>
  <si>
    <t>78310</t>
  </si>
  <si>
    <t xml:space="preserve">NEODKLADNÁ KARDIOPULMONÁLNÍ RESUSCITACE ROZŠÍŘENÁ </t>
  </si>
  <si>
    <t>78320</t>
  </si>
  <si>
    <t>90903</t>
  </si>
  <si>
    <t xml:space="preserve">(DRG) DOBA TRVÁNÍ UMĚLÉ PLICNÍ VENTILACE VÍCE NEŽ </t>
  </si>
  <si>
    <t>90901</t>
  </si>
  <si>
    <t>(DRG) DOBA TRVÁNÍ UMĚLÉ PLICNÍ VENTILACE DO 24 HOD</t>
  </si>
  <si>
    <t>90902</t>
  </si>
  <si>
    <t>90904</t>
  </si>
  <si>
    <t>90905</t>
  </si>
  <si>
    <t>34450</t>
  </si>
  <si>
    <t>(VZP) PORODNÍ VÁHA NOVOROZENCE POD 750 GRAMŮ</t>
  </si>
  <si>
    <t>34452</t>
  </si>
  <si>
    <t>(VZP) PORODNÍ VÁHA NOVOROZENCE OD 1000 DO 1499 GRA</t>
  </si>
  <si>
    <t>99991</t>
  </si>
  <si>
    <t>(VZP) KÓD POUZE PRO CENTRA DLE VYHL. 368/2006 - SL</t>
  </si>
  <si>
    <t>90906</t>
  </si>
  <si>
    <t>52211</t>
  </si>
  <si>
    <t>OPERACE PRO KONGENITÁLNÍ ATRESII JÍCNU</t>
  </si>
  <si>
    <t>52235</t>
  </si>
  <si>
    <t>KOREKCE NÍZKÉ VROZENÉ ANOREKTÁLNÍ NEPRŮCHODNOSTI Z</t>
  </si>
  <si>
    <t>90907</t>
  </si>
  <si>
    <t>501</t>
  </si>
  <si>
    <t>52221</t>
  </si>
  <si>
    <t>ATRESIE TENKÉHO STŘEVA VČETNĚ DUODENA U NOVOROZENC</t>
  </si>
  <si>
    <t>5F1</t>
  </si>
  <si>
    <t>51343</t>
  </si>
  <si>
    <t>LOKÁLNÍ EXCIZE JATER NEBO OŠETŘENÍ MALÉ TRHLINY JA</t>
  </si>
  <si>
    <t>51355</t>
  </si>
  <si>
    <t>DVOJ - A VÍCENÁSOBNÁ RESEKCE A (NEBO) ANASTOMÓZA T</t>
  </si>
  <si>
    <t>51361</t>
  </si>
  <si>
    <t>KOLEKTOMIE SUBTOTÁLNÍ S ILEOSTOMIÍ A UZÁVĚREM REKT</t>
  </si>
  <si>
    <t>51383</t>
  </si>
  <si>
    <t>GASTROTOMIE, DUODENOTOMIE NEBO JEDNODUCHÁ PYLOROPL</t>
  </si>
  <si>
    <t>52219</t>
  </si>
  <si>
    <t>OPERACE PRO NEKROTIZUJÍCÍ ENTEROKOLIDU</t>
  </si>
  <si>
    <t>52237</t>
  </si>
  <si>
    <t xml:space="preserve">KOREKCE VYSOKÉ VROZENÉ ANOREKTÁLNÍ NEPRŮCHODNOSTI </t>
  </si>
  <si>
    <t>54930</t>
  </si>
  <si>
    <t xml:space="preserve">VYSOKÁ LIGATURA VENAE SAPHENAE MAGNAE + STRIPPING </t>
  </si>
  <si>
    <t>76343</t>
  </si>
  <si>
    <t>RESEKCE, SUTURA URETERU JEDNOSTRANNÁ</t>
  </si>
  <si>
    <t>77135</t>
  </si>
  <si>
    <t>CIRKUMCIZE DO 3 LET</t>
  </si>
  <si>
    <t>5F6</t>
  </si>
  <si>
    <t>56111</t>
  </si>
  <si>
    <t>ZAVEDENÍ RESERVOÁRU LIKVORU OMMAYA VČETNĚ NÁVRTU</t>
  </si>
  <si>
    <t>56163</t>
  </si>
  <si>
    <t>ZEVNÍ KOMOROVÁ DRENÁŽ NEBO ZAVEDENÍ ČIDLA NA MĚŘEN</t>
  </si>
  <si>
    <t>606</t>
  </si>
  <si>
    <t>66021</t>
  </si>
  <si>
    <t>KOMPLEXNÍ VYŠETŘENÍ ORTOPEDEM</t>
  </si>
  <si>
    <t>7F6</t>
  </si>
  <si>
    <t>76439</t>
  </si>
  <si>
    <t>ORCHIECTOMIE JEDNOSTRANNÁ</t>
  </si>
  <si>
    <t>00042</t>
  </si>
  <si>
    <t>A</t>
  </si>
  <si>
    <t xml:space="preserve">DLOUHODOBÁ MECHANICKÁ VENTILACE &gt; 240 HODIN (11-21 DNÍ) S CC                                        </t>
  </si>
  <si>
    <t>00043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</si>
  <si>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</si>
  <si>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</si>
  <si>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</si>
  <si>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</si>
  <si>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</si>
  <si>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</si>
  <si>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</si>
  <si>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00060</t>
  </si>
  <si>
    <t xml:space="preserve">DLOUHODOBÁ MECHANICKÁ VENTILACE &gt; 1800 HODIN (VÍCE NEŽ 75 DNÍ)                                      </t>
  </si>
  <si>
    <t>00090</t>
  </si>
  <si>
    <t xml:space="preserve">DLOUHODOBÁ MECHANICKÁ VENTILACE &gt; 1008 HODIN (43-75 DNÍ)                                            </t>
  </si>
  <si>
    <t>00110</t>
  </si>
  <si>
    <t xml:space="preserve">DLOUHODOBÁ MECHANICKÁ VENTILACE &gt; 504 HODIN (22-42 DNÍ)                                   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</si>
  <si>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</si>
  <si>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</si>
  <si>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</si>
  <si>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</si>
  <si>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01422</t>
  </si>
  <si>
    <t xml:space="preserve">EPILEPTICKÝ ZÁCHVAT S CC                                                                            </t>
  </si>
  <si>
    <t>04352</t>
  </si>
  <si>
    <t xml:space="preserve">INFEKCE A ZÁNĚTY DÝCHACÍHO SYSTÉMU S CC                                                             </t>
  </si>
  <si>
    <t>05421</t>
  </si>
  <si>
    <t xml:space="preserve">SRDEČNÍ ARYTMIE A PORUCHY VEDENÍ BEZ CC                                                             </t>
  </si>
  <si>
    <t>15601</t>
  </si>
  <si>
    <t xml:space="preserve">NOVOROZENEC. MRTVÝ NEBO PŘELOŽENÝ &lt;= 5 DNÍ BEZ CC                                                   </t>
  </si>
  <si>
    <t>15602</t>
  </si>
  <si>
    <t xml:space="preserve">NOVOROZENEC. MRTVÝ NEBO PŘELOŽENÝ &lt;= 5 DNÍ S CC                                                     </t>
  </si>
  <si>
    <t>15603</t>
  </si>
  <si>
    <t xml:space="preserve">NOVOROZENEC. MRTVÝ NEBO PŘELOŽENÝ &lt;= 5 DNÍ S MCC                                                    </t>
  </si>
  <si>
    <t>15623</t>
  </si>
  <si>
    <t xml:space="preserve">NOVOROZENEC. VÁHA PŘI PORODU &lt;=1000G. SE ZÁKLADNÍM VÝKONEM S MCC                                    </t>
  </si>
  <si>
    <t>15632</t>
  </si>
  <si>
    <t xml:space="preserve">NOVOROZENEC. VÁHA PŘI PORODU &lt;=1000G. BEZ ZÁKLADNÍHO VÝKONU S CC                                    </t>
  </si>
  <si>
    <t>15633</t>
  </si>
  <si>
    <t xml:space="preserve">NOVOROZENEC. VÁHA PŘI PORODU &lt;=1000G. BEZ ZÁKLADNÍHO VÝKONU S MCC                                   </t>
  </si>
  <si>
    <t>15643</t>
  </si>
  <si>
    <t xml:space="preserve">NOVOROZENEC. VÁHA PŘI PORODU 1000-1499G. SE ZÁKLADNÍM VÝKONEM S MCC                                 </t>
  </si>
  <si>
    <t>15652</t>
  </si>
  <si>
    <t xml:space="preserve">NOVOROZENEC. VÁHA PŘI PORODU 1000-1499G. BEZ ZÁKLADNÍHO VÝKONU S CC                                 </t>
  </si>
  <si>
    <t>15653</t>
  </si>
  <si>
    <t xml:space="preserve">NOVOROZENEC. VÁHA PŘI PORODU 1000-1499G. BEZ ZÁKLADNÍHO VÝKONU S MCC                                </t>
  </si>
  <si>
    <t>15663</t>
  </si>
  <si>
    <t xml:space="preserve">NOVOROZENEC. VÁHA PŘI PORODU 1500-1999G. SE ZÁKLADNÍM VÝKONEM S MCC                                 </t>
  </si>
  <si>
    <t>15671</t>
  </si>
  <si>
    <t xml:space="preserve">NOVOROZENEC. VÁHA PŘI PORODU 1500-1999G. BEZ ZÁKLADNÍHO VÝKONU BEZ CC                               </t>
  </si>
  <si>
    <t>15672</t>
  </si>
  <si>
    <t xml:space="preserve">NOVOROZENEC. VÁHA PŘI PORODU 1500-1999G. BEZ ZÁKLADNÍHO VÝKONU S CC                                 </t>
  </si>
  <si>
    <t>15673</t>
  </si>
  <si>
    <t xml:space="preserve">NOVOROZENEC. VÁHA PŘI PORODU 1500-1999G. BEZ ZÁKLADNÍHO VÝKONU S MCC                                </t>
  </si>
  <si>
    <t>15691</t>
  </si>
  <si>
    <t xml:space="preserve">NOVOROZENEC. VÁHA PŘI PORODU 2000-2499G. BEZ ZÁKLADNÍHO VÝKONU BEZ CC                               </t>
  </si>
  <si>
    <t>15692</t>
  </si>
  <si>
    <t xml:space="preserve">NOVOROZENEC. VÁHA PŘI PORODU 2000-2499G. BEZ ZÁKLADNÍHO VÝKONU S CC                                 </t>
  </si>
  <si>
    <t>15693</t>
  </si>
  <si>
    <t xml:space="preserve">NOVOROZENEC. VÁHA PŘI PORODU 2000-2499G. BEZ ZÁKLADNÍHO VÝKONU S MCC                                </t>
  </si>
  <si>
    <t>15702</t>
  </si>
  <si>
    <t xml:space="preserve">NOVOROZENEC. VÁHA PŘI PORODU &gt;2499G. SE ZÁKLADNÍM VÝKONEM S CC                                      </t>
  </si>
  <si>
    <t>15703</t>
  </si>
  <si>
    <t xml:space="preserve">NOVOROZENEC. VÁHA PŘI PORODU &gt;2499G. SE ZÁKLADNÍM VÝKONEM S MCC                                     </t>
  </si>
  <si>
    <t>15711</t>
  </si>
  <si>
    <t xml:space="preserve">NOVOROZENEC. VÁHA PŘI PORODU &gt;2499G. S VÁŽNOU ANOMÁLIÍ NEBO DĚDIČNÝM STAVEM BEZ CC                  </t>
  </si>
  <si>
    <t>15712</t>
  </si>
  <si>
    <t xml:space="preserve">NOVOROZENEC. VÁHA PŘI PORODU &gt;2499G. S VÁŽNOU ANOMÁLIÍ NEBO DĚDIČNÝM STAVEM S CC                    </t>
  </si>
  <si>
    <t>15713</t>
  </si>
  <si>
    <t xml:space="preserve">NOVOROZENEC. VÁHA PŘI PORODU &gt;2499G. S VÁŽNOU ANOMÁLIÍ NEBO DĚDIČNÝM STAVEM S MCC                   </t>
  </si>
  <si>
    <t>15720</t>
  </si>
  <si>
    <t xml:space="preserve">NOVOROZENEC. VÁHA PŘI PORODU &gt; 2499G. SE SYNDROMEM DÝCHACÍCH POTÍŽÍ                                 </t>
  </si>
  <si>
    <t>15732</t>
  </si>
  <si>
    <t xml:space="preserve">NOVOROZENEC. VÁHA PŘI PORODU &gt; 2499G. S ASPIRAČNÍM SYNDROMEM S CC                                   </t>
  </si>
  <si>
    <t>15733</t>
  </si>
  <si>
    <t xml:space="preserve">NOVOROZENEC. VÁHA PŘI PORODU &gt; 2499G. S ASPIRAČNÍM SYNDROMEM S MCC                                  </t>
  </si>
  <si>
    <t>15741</t>
  </si>
  <si>
    <t xml:space="preserve">NOVOROZENEC. VÁHA PŘI PORODU &gt; 2499G. S VROZENOU NEBO PERINATÁLNÍ INFEKCÍ BEZ CC                    </t>
  </si>
  <si>
    <t>15742</t>
  </si>
  <si>
    <t xml:space="preserve">NOVOROZENEC. VÁHA PŘI PORODU &gt; 2499G. S VROZENOU NEBO PERINATÁLNÍ INFEKCÍ S CC                      </t>
  </si>
  <si>
    <t>15743</t>
  </si>
  <si>
    <t xml:space="preserve">NOVOROZENEC. VÁHA PŘI PORODU &gt; 2499G. S VROZENOU NEBO PERINATÁLNÍ INFEKCÍ S MCC                     </t>
  </si>
  <si>
    <t>15751</t>
  </si>
  <si>
    <t xml:space="preserve">NOVOROZENEC. VÁHA PŘI PORODU &gt; 2499G. BEZ ZÁKLADNÍHO VÝKONU BEZ CC                                  </t>
  </si>
  <si>
    <t>15752</t>
  </si>
  <si>
    <t xml:space="preserve">NOVOROZENEC. VÁHA PŘI PORODU &gt; 2499G. BEZ ZÁKLADNÍHO VÝKONU S CC                                    </t>
  </si>
  <si>
    <t>15753</t>
  </si>
  <si>
    <t xml:space="preserve">NOVOROZENEC. VÁHA PŘI PORODU &gt; 2499G. BEZ ZÁKLADNÍHO VÝKONU S MCC                                   </t>
  </si>
  <si>
    <t>23013</t>
  </si>
  <si>
    <t xml:space="preserve">OPERAČNÍ VÝKON S DIAGNÓZOU JINÉHO KONTAKTU SE ZDRAVOTNICKÝMI SLUŽBAMI S MCC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</si>
  <si>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</si>
  <si>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</si>
  <si>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</si>
  <si>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</si>
  <si>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99990</t>
  </si>
  <si>
    <t xml:space="preserve">NEZAŘADITELNÉ                                                                                       </t>
  </si>
  <si>
    <t>12 - UROLOGICKÁ KLINIKA</t>
  </si>
  <si>
    <t>28 - ODDĚLENÍ LÉKAŘSKÉ GENETIKY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</si>
  <si>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</si>
  <si>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</si>
  <si>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</si>
  <si>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</si>
  <si>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</si>
  <si>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</si>
  <si>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</si>
  <si>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603</t>
  </si>
  <si>
    <t>82056</t>
  </si>
  <si>
    <t>MIKROSKOPICKÉ STANOVENÍ MIKROBIÁLNÍHO OBRAZU POŠEV</t>
  </si>
  <si>
    <t>12</t>
  </si>
  <si>
    <t>706</t>
  </si>
  <si>
    <t>89169</t>
  </si>
  <si>
    <t>CYSTOURETROGRAFIE</t>
  </si>
  <si>
    <t>28</t>
  </si>
  <si>
    <t>816</t>
  </si>
  <si>
    <t>94115</t>
  </si>
  <si>
    <t>IN SITU HYBRIDIZACE LIDSKÉ DNA SE ZNAČENOU SONDOU</t>
  </si>
  <si>
    <t>94119</t>
  </si>
  <si>
    <t>IZOLACE A UCHOVÁNÍ LIDSKÉ DNA (RNA)</t>
  </si>
  <si>
    <t>94123</t>
  </si>
  <si>
    <t>PCR ANALÝZA LIDSKÉ DNA</t>
  </si>
  <si>
    <t>94129</t>
  </si>
  <si>
    <t>RUTINNÍ VYŠETŘENÍ CHROMOZOMU Z PERIFERNÍ KRVE</t>
  </si>
  <si>
    <t>94135</t>
  </si>
  <si>
    <t>ZHODNOCENÍ ZÍSKANÝCH ABERACÍ V PERIFERNÍ KRVI</t>
  </si>
  <si>
    <t>94181</t>
  </si>
  <si>
    <t>ZHOTOVENÍ KARYOTYPU Z JEDNÉ MITÓZY</t>
  </si>
  <si>
    <t>94199</t>
  </si>
  <si>
    <t>AMPLIFIKACE METODOU PCR</t>
  </si>
  <si>
    <t>32</t>
  </si>
  <si>
    <t>94191</t>
  </si>
  <si>
    <t>FOTOGRAFIE GELU</t>
  </si>
  <si>
    <t>94193</t>
  </si>
  <si>
    <t>ELEKTROFORÉZA NUKLEOVÝCH KYSELIN</t>
  </si>
  <si>
    <t>818</t>
  </si>
  <si>
    <t>96113</t>
  </si>
  <si>
    <t>PLAZMINOGEN - AKTIVITA</t>
  </si>
  <si>
    <t>96143</t>
  </si>
  <si>
    <t>T - PA AG</t>
  </si>
  <si>
    <t>96145</t>
  </si>
  <si>
    <t>DAPTT - SCREENING LA</t>
  </si>
  <si>
    <t>96149</t>
  </si>
  <si>
    <t>PAI  ANTIGEN</t>
  </si>
  <si>
    <t>96157</t>
  </si>
  <si>
    <t>STANOVENÍ HEPARINOVÝCH JEDNOTEK ANTI XA</t>
  </si>
  <si>
    <t>96167</t>
  </si>
  <si>
    <t>KREVNÍ OBRAZ S PĚTI POPULAČNÍM DIFERENCIÁLNÍM POČT</t>
  </si>
  <si>
    <t>96185</t>
  </si>
  <si>
    <t>FAKTOR II. - STANOVENÍ AKTIVITY</t>
  </si>
  <si>
    <t>96191</t>
  </si>
  <si>
    <t>FAKTOR VIII - STANOVENÍ AKTIVITY</t>
  </si>
  <si>
    <t>96193</t>
  </si>
  <si>
    <t>FAKTOR IX - STANOVENÍ AKTIVITY</t>
  </si>
  <si>
    <t>96197</t>
  </si>
  <si>
    <t>FAKTOR XI - STANOVENÍ AKTIVITY</t>
  </si>
  <si>
    <t>96199</t>
  </si>
  <si>
    <t>PROTEIN C - FUNKČNÍ AKTIVITA</t>
  </si>
  <si>
    <t>96215</t>
  </si>
  <si>
    <t>APC REZISTENCE</t>
  </si>
  <si>
    <t>96265</t>
  </si>
  <si>
    <t>PROTEIN S - VOLNÝ</t>
  </si>
  <si>
    <t>96315</t>
  </si>
  <si>
    <t>ANALÝZA KREVNÍHO NÁTĚRU PANOPTICKY OBARVENÉHO. IND</t>
  </si>
  <si>
    <t>96321</t>
  </si>
  <si>
    <t>POČET TROMBOCYTŮ MIKROSKOPICKY</t>
  </si>
  <si>
    <t>96325</t>
  </si>
  <si>
    <t>FIBRINOGEN (SÉRIE)</t>
  </si>
  <si>
    <t>96421</t>
  </si>
  <si>
    <t>KVANTITATIVNÍ STANOVENÍ FETÁLNÍHO HEMOGLOBINU</t>
  </si>
  <si>
    <t>96515</t>
  </si>
  <si>
    <t>FIBRIN DEGRADAČNÍ PRODUKTY KVANTITATIVNĚ</t>
  </si>
  <si>
    <t>96613</t>
  </si>
  <si>
    <t>VYŠETŘENÍ NÁTĚRU NA SCHIZOCYTY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</si>
  <si>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</si>
  <si>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</si>
  <si>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</si>
  <si>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</si>
  <si>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</si>
  <si>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</si>
  <si>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</si>
  <si>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</si>
  <si>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96813</t>
  </si>
  <si>
    <t>ANTITROMBIN III, CHROMOGENNÍ METODOU (SÉRIE)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</si>
  <si>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</si>
  <si>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</si>
  <si>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</si>
  <si>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</si>
  <si>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</si>
  <si>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</si>
  <si>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96863</t>
  </si>
  <si>
    <t>STANOVENÍ POČTU ERYTROBLASTŮ NA AUTOMATICKÉM ANALY</t>
  </si>
  <si>
    <t>33</t>
  </si>
  <si>
    <t>801</t>
  </si>
  <si>
    <t>81111</t>
  </si>
  <si>
    <t>A L T  STATIM</t>
  </si>
  <si>
    <t>81113</t>
  </si>
  <si>
    <t>A S T  STATIM</t>
  </si>
  <si>
    <t>81115</t>
  </si>
  <si>
    <t>ALBUMIN SÉRUM (STATIM)</t>
  </si>
  <si>
    <t>81117</t>
  </si>
  <si>
    <t>AMYLASA (SÉRUM, MOČ) STATIM</t>
  </si>
  <si>
    <t>81119</t>
  </si>
  <si>
    <t>AMONIAK STATIM</t>
  </si>
  <si>
    <t>81121</t>
  </si>
  <si>
    <t>BILIRUBIN CELKOVÝ STATIM</t>
  </si>
  <si>
    <t>81123</t>
  </si>
  <si>
    <t>BILIRUBIN KONJUGOVANÝ STATIM</t>
  </si>
  <si>
    <t>81125</t>
  </si>
  <si>
    <t>BÍLKOVINY CELKOVÉ (SÉRUM) STATIM</t>
  </si>
  <si>
    <t>81129</t>
  </si>
  <si>
    <t>BÍLKOVINA KVANTITATIVNĚ (MOČ, VÝPOTEK, CSF) STATIM</t>
  </si>
  <si>
    <t>81135</t>
  </si>
  <si>
    <t>SODÍK STATIM</t>
  </si>
  <si>
    <t>81137</t>
  </si>
  <si>
    <t>UREA STATIM</t>
  </si>
  <si>
    <t>81139</t>
  </si>
  <si>
    <t>VÁPNÍK CELKOVÝ STATIM</t>
  </si>
  <si>
    <t>81141</t>
  </si>
  <si>
    <t>VÁPNÍK IONIZOVANÝ STATIM</t>
  </si>
  <si>
    <t>81143</t>
  </si>
  <si>
    <t>LAKTÁTDEHYDROGENÁZA STATIM</t>
  </si>
  <si>
    <t>81145</t>
  </si>
  <si>
    <t>DRASLÍK STATIM</t>
  </si>
  <si>
    <t>81147</t>
  </si>
  <si>
    <t>FOSFATÁZA ALKALICKÁ STATIM</t>
  </si>
  <si>
    <t>81149</t>
  </si>
  <si>
    <t>FOSFOR ANORGANICKÝ STATIM</t>
  </si>
  <si>
    <t>81153</t>
  </si>
  <si>
    <t>GAMA-GLUTAMYLTRANSFERÁZA (GMT) STATIM</t>
  </si>
  <si>
    <t>81155</t>
  </si>
  <si>
    <t>GLUKÓZA KVANTITATIVNÍ STANOVENÍ STATIM</t>
  </si>
  <si>
    <t>81157</t>
  </si>
  <si>
    <t>CHLORIDY STATIM</t>
  </si>
  <si>
    <t>81161</t>
  </si>
  <si>
    <t>AMYLÁZA PANKREATICKÁ STATIM</t>
  </si>
  <si>
    <t>81165</t>
  </si>
  <si>
    <t>KREATINKINÁZA (CK) STATIM</t>
  </si>
  <si>
    <t>81167</t>
  </si>
  <si>
    <t>KREATINKINÁZA IZOENZYMY (CK-MB) STATIM</t>
  </si>
  <si>
    <t>81169</t>
  </si>
  <si>
    <t>KREATININ STATIM</t>
  </si>
  <si>
    <t>81171</t>
  </si>
  <si>
    <t>KYSELINA MLÉČNÁ (LAKTÁT) STATIM</t>
  </si>
  <si>
    <t>81173</t>
  </si>
  <si>
    <t>LIPÁZA STATIM</t>
  </si>
  <si>
    <t>81231</t>
  </si>
  <si>
    <t>METHEMOGLOBIN - KVANTITATIVNÍ STANOVENÍ</t>
  </si>
  <si>
    <t>81233</t>
  </si>
  <si>
    <t>KARBONYLHEMOGLOBIN KVANTITATIVNĚ</t>
  </si>
  <si>
    <t>81237</t>
  </si>
  <si>
    <t>TROPONIN - T NEBO I ELISA</t>
  </si>
  <si>
    <t>81247</t>
  </si>
  <si>
    <t>BILIRUBIN NOVOROZENECKÝ</t>
  </si>
  <si>
    <t>81265</t>
  </si>
  <si>
    <t>VYŠETŘENÍ DPM - STANOVENÍ AKTIVIT ENZYMŮ TECHNIKOU</t>
  </si>
  <si>
    <t>81313</t>
  </si>
  <si>
    <t>VYŠETŘENÍ MOZKOMÍŠNÍHO MOKU</t>
  </si>
  <si>
    <t>81315</t>
  </si>
  <si>
    <t>REGISTRAČNÍ SPEKTROFOTOMETRIE NATIVNÍHO MOZKOMÍŠNÍ</t>
  </si>
  <si>
    <t>81329</t>
  </si>
  <si>
    <t>ALBUMIN (SÉRUM)</t>
  </si>
  <si>
    <t>81331</t>
  </si>
  <si>
    <t>ALBUMIN V MOZKOMÍŠNÍM MOKU</t>
  </si>
  <si>
    <t>81339</t>
  </si>
  <si>
    <t>AMINOKYSELINY STANOVENÍ CELKOVÉHO SPEKTRA V BIOLOG</t>
  </si>
  <si>
    <t>81341</t>
  </si>
  <si>
    <t>AMONIAK</t>
  </si>
  <si>
    <t>81345</t>
  </si>
  <si>
    <t>AMYLÁZA</t>
  </si>
  <si>
    <t>81347</t>
  </si>
  <si>
    <t>ANALÝZA MOČI CHEMICKY A MIKROSKOPICKY</t>
  </si>
  <si>
    <t>81355</t>
  </si>
  <si>
    <t>APOLIPOPROTEINY AI NEBO B</t>
  </si>
  <si>
    <t>81363</t>
  </si>
  <si>
    <t>BILIRUBIN KONJUGOVANÝ</t>
  </si>
  <si>
    <t>81369</t>
  </si>
  <si>
    <t>BÍLKOVINA KVANTITATIVNĚ (MOČ, MOZKOM. MOK, VÝPOTEK</t>
  </si>
  <si>
    <t>81377</t>
  </si>
  <si>
    <t>SACHARIDY TENKOVRSTEVNOU CHROMATOGRAFIÍ V MOČI</t>
  </si>
  <si>
    <t>81383</t>
  </si>
  <si>
    <t>LAKTÁTDEHYDROGENÁZA (L D)</t>
  </si>
  <si>
    <t>81389</t>
  </si>
  <si>
    <t>DEHYDROEPIANDROSTERON SULFÁT (DHEA-S)</t>
  </si>
  <si>
    <t>81391</t>
  </si>
  <si>
    <t>DISACHARIDY</t>
  </si>
  <si>
    <t>81423</t>
  </si>
  <si>
    <t>FOSFATÁZA ALKALICKÁ IZOENZYMY</t>
  </si>
  <si>
    <t>81427</t>
  </si>
  <si>
    <t>FOSFOR ANORGANICKÝ</t>
  </si>
  <si>
    <t>81433</t>
  </si>
  <si>
    <t>GALAKTOSA-1-FOSFÁTURIDYLTRANSFERÁZA</t>
  </si>
  <si>
    <t>81449</t>
  </si>
  <si>
    <t>GLYKOVANÝ HEMOGLOBIN</t>
  </si>
  <si>
    <t>81451</t>
  </si>
  <si>
    <t>HEMOGLOBIN VOLNÝ V PLAZMĚ</t>
  </si>
  <si>
    <t>81461</t>
  </si>
  <si>
    <t>HOMOCYSTEIN CELKOVÝ</t>
  </si>
  <si>
    <t>81465</t>
  </si>
  <si>
    <t>HOŘČÍK</t>
  </si>
  <si>
    <t>81473</t>
  </si>
  <si>
    <t>CHOLESTEROL HDL</t>
  </si>
  <si>
    <t>81487</t>
  </si>
  <si>
    <t>KARNITIN</t>
  </si>
  <si>
    <t>81489</t>
  </si>
  <si>
    <t>KATECHOLAMIN A JEHO METABOLITY</t>
  </si>
  <si>
    <t>81495</t>
  </si>
  <si>
    <t>KREATINKINÁZA (CK)</t>
  </si>
  <si>
    <t>81521</t>
  </si>
  <si>
    <t>LAKTÁT (KYSELINA MLÉČNÁ)</t>
  </si>
  <si>
    <t>81527</t>
  </si>
  <si>
    <t>CHOLESTEROL LDL</t>
  </si>
  <si>
    <t>81533</t>
  </si>
  <si>
    <t>LIPÁZA</t>
  </si>
  <si>
    <t>81561</t>
  </si>
  <si>
    <t>PRŮKAZ OKULTNÍHO KRVÁCENÍ</t>
  </si>
  <si>
    <t>81563</t>
  </si>
  <si>
    <t>OSMOLALITA (SÉRUM, MOČ)</t>
  </si>
  <si>
    <t>81573</t>
  </si>
  <si>
    <t>PANDYHO ZKOUŠKA</t>
  </si>
  <si>
    <t>81585</t>
  </si>
  <si>
    <t>ACIDOBAZICKÁ ROVNOVÁHA</t>
  </si>
  <si>
    <t>81625</t>
  </si>
  <si>
    <t>VÁPNÍK CELKOVÝ</t>
  </si>
  <si>
    <t>81629</t>
  </si>
  <si>
    <t>VAZEBNÁ KAPACITA ŽELEZA</t>
  </si>
  <si>
    <t>81641</t>
  </si>
  <si>
    <t>ŽELEZO CELKOVÉ</t>
  </si>
  <si>
    <t>81651</t>
  </si>
  <si>
    <t xml:space="preserve">VYŠETŘENÍ DĚDIČNÝCH PORUCH METABOLISMU (DÁLE DPM) </t>
  </si>
  <si>
    <t>81655</t>
  </si>
  <si>
    <t>VYŠETŘENÍ DP - FOTOMETRICKÉ ČI FLUORIMETRICKÉ VYŠ.</t>
  </si>
  <si>
    <t>81659</t>
  </si>
  <si>
    <t>VYŠETŘENÍ DPM, STANOVENÍ METABOLITU PLYNOVOU CHROM</t>
  </si>
  <si>
    <t>81679</t>
  </si>
  <si>
    <t>1,25-DIHYDROXYVITAMIN D (1,25 (OH)2D)</t>
  </si>
  <si>
    <t>81681</t>
  </si>
  <si>
    <t>25-HYDROXYVITAMIN D (25 OHD)</t>
  </si>
  <si>
    <t>81699</t>
  </si>
  <si>
    <t>STANOVENÍ IGF - I (INSULIN - LIKE GROWTH FACTOR)</t>
  </si>
  <si>
    <t>81703</t>
  </si>
  <si>
    <t>CYSTATIN C</t>
  </si>
  <si>
    <t>81717</t>
  </si>
  <si>
    <t>STANOVENÍ KONCENTRACE PROTEINU S-100B (S-100BB, S-</t>
  </si>
  <si>
    <t>81721</t>
  </si>
  <si>
    <t>IMUNOTURBIDIMETRICKÉ A/NEBO IMUNONEFELOMETRICKÉ ST</t>
  </si>
  <si>
    <t>81725</t>
  </si>
  <si>
    <t>KVANTITATIVNÍ STANOVENÍ ELASTÁSY 1 (PANKREATICKÉHO</t>
  </si>
  <si>
    <t>81731</t>
  </si>
  <si>
    <t>STANOVENÍ NATRIURETICKÝCH PEPTIDŮ V SÉRU A V PLAZM</t>
  </si>
  <si>
    <t>81733</t>
  </si>
  <si>
    <t>KVANTITATIVNÍ STANOVENÍ KRVE VE STOLICI NA ANALYZÁ</t>
  </si>
  <si>
    <t>81747</t>
  </si>
  <si>
    <t xml:space="preserve">VYŠETŘENÍ TANDEMOVOU HMOTNOSTNÍ SPEKTROMETRIÍ PRO </t>
  </si>
  <si>
    <t>81749</t>
  </si>
  <si>
    <t>87421</t>
  </si>
  <si>
    <t>CYTOLOGICKÉ NÁTĚRY SEDIMENTU CENTRIFUGOVANÉ TEKUTI</t>
  </si>
  <si>
    <t>87433</t>
  </si>
  <si>
    <t>STANDARDNÍ CYTOLOGICKÉ BARVENÍ,  ZA 1-3 PREPARÁTY</t>
  </si>
  <si>
    <t>91129</t>
  </si>
  <si>
    <t>STANOVENÍ IgG</t>
  </si>
  <si>
    <t>91131</t>
  </si>
  <si>
    <t>STANOVENÍ IgA</t>
  </si>
  <si>
    <t>91133</t>
  </si>
  <si>
    <t>STANOVENÍ IgM</t>
  </si>
  <si>
    <t>91143</t>
  </si>
  <si>
    <t>STANOVENÍ PREALBUMINU</t>
  </si>
  <si>
    <t>91145</t>
  </si>
  <si>
    <t>STANOVENÍ HAPTOGLOBINU</t>
  </si>
  <si>
    <t>91153</t>
  </si>
  <si>
    <t>STANOVENÍ  C - REAKTIVNÍHO PROTEINU</t>
  </si>
  <si>
    <t>91171</t>
  </si>
  <si>
    <t>STANOVENÍ IgG ELISA</t>
  </si>
  <si>
    <t>91173</t>
  </si>
  <si>
    <t>STANOVENÍ IgA ELISA</t>
  </si>
  <si>
    <t>91175</t>
  </si>
  <si>
    <t>STANOVENÍ IgM ELISA</t>
  </si>
  <si>
    <t>91193</t>
  </si>
  <si>
    <t>STANOVENÍ B2 - MIKROGLOBULINU ELISA</t>
  </si>
  <si>
    <t>91397</t>
  </si>
  <si>
    <t>ELEKTROFORESA S NÁSLEDNOU IMUNOFIXACÍ (KOMPLEX - I</t>
  </si>
  <si>
    <t>91481</t>
  </si>
  <si>
    <t>STANOVENÍ KONCENTRACE PROCALCITONINU</t>
  </si>
  <si>
    <t>93115</t>
  </si>
  <si>
    <t>FOLÁTY</t>
  </si>
  <si>
    <t>93125</t>
  </si>
  <si>
    <t>ALDOSTERON</t>
  </si>
  <si>
    <t>93129</t>
  </si>
  <si>
    <t>FOLITROPIN (FSH)</t>
  </si>
  <si>
    <t>93131</t>
  </si>
  <si>
    <t>KORTISOL</t>
  </si>
  <si>
    <t>93133</t>
  </si>
  <si>
    <t>LUTROPIN (LH)</t>
  </si>
  <si>
    <t>93135</t>
  </si>
  <si>
    <t>MYOGLOBIN V SÉRII</t>
  </si>
  <si>
    <t>93141</t>
  </si>
  <si>
    <t>KALCITONIN</t>
  </si>
  <si>
    <t>93145</t>
  </si>
  <si>
    <t>C-PEPTID</t>
  </si>
  <si>
    <t>93149</t>
  </si>
  <si>
    <t>ESTRADIOL</t>
  </si>
  <si>
    <t>93151</t>
  </si>
  <si>
    <t>FERRITIN</t>
  </si>
  <si>
    <t>93159</t>
  </si>
  <si>
    <t>CHORIOGONADOTROPIN (HCG)</t>
  </si>
  <si>
    <t>93161</t>
  </si>
  <si>
    <t>INZULÍN</t>
  </si>
  <si>
    <t>93171</t>
  </si>
  <si>
    <t>PARATHORMON</t>
  </si>
  <si>
    <t>93175</t>
  </si>
  <si>
    <t>17-HYDROXYPROGESTERON</t>
  </si>
  <si>
    <t>93177</t>
  </si>
  <si>
    <t>PROLAKTIN</t>
  </si>
  <si>
    <t>93179</t>
  </si>
  <si>
    <t>PLAZMATICKÁ RENINOVÁ AKTIVITA (PRA)</t>
  </si>
  <si>
    <t>93185</t>
  </si>
  <si>
    <t>TRIJODTYRONIN CELKOVÝ (TT3)</t>
  </si>
  <si>
    <t>93187</t>
  </si>
  <si>
    <t>TYROXIN CELKOVÝ (TT4)</t>
  </si>
  <si>
    <t>93189</t>
  </si>
  <si>
    <t>TYROXIN VOLNÝ (FT4)</t>
  </si>
  <si>
    <t>93191</t>
  </si>
  <si>
    <t>TESTOSTERON</t>
  </si>
  <si>
    <t>93195</t>
  </si>
  <si>
    <t>TYREOTROPIN (TSH)</t>
  </si>
  <si>
    <t>93199</t>
  </si>
  <si>
    <t>TYREOGLOBULIN (TG)</t>
  </si>
  <si>
    <t>93213</t>
  </si>
  <si>
    <t>VITAMIN B12</t>
  </si>
  <si>
    <t>93215</t>
  </si>
  <si>
    <t>ALFA - 1 - FETOPROTEIN (AFP)</t>
  </si>
  <si>
    <t>93217</t>
  </si>
  <si>
    <t>AUTOPROTILÁTKY PROTI MIKROSOMÁLNÍMU ANTIGENU</t>
  </si>
  <si>
    <t>93231</t>
  </si>
  <si>
    <t>TYREOGLOBULIN AUTOPROTILÁTKY</t>
  </si>
  <si>
    <t>93235</t>
  </si>
  <si>
    <t>AUTOPROTILÁTKY PROTI RECEPTORŮM (hTSH)</t>
  </si>
  <si>
    <t>93245</t>
  </si>
  <si>
    <t>TRIJODTYRONIN VOLNÝ (FT3)</t>
  </si>
  <si>
    <t>93247</t>
  </si>
  <si>
    <t>OSTEÁZA (KOSTNÍ FRAKCE ALKALICKÉ FOSFATÁZY)</t>
  </si>
  <si>
    <t>94189</t>
  </si>
  <si>
    <t>HYBRIDIZACE DNA SE ZNAČENOU SONDOU</t>
  </si>
  <si>
    <t>94195</t>
  </si>
  <si>
    <t>SYNTÉZA cDNA REVERZNÍ TRANSKRIPCÍ</t>
  </si>
  <si>
    <t>813</t>
  </si>
  <si>
    <t>91197</t>
  </si>
  <si>
    <t>STANOVENÍ CYTOKINU ELISA</t>
  </si>
  <si>
    <t>34</t>
  </si>
  <si>
    <t>809</t>
  </si>
  <si>
    <t>0001733</t>
  </si>
  <si>
    <t xml:space="preserve">XENETIX 300                                       </t>
  </si>
  <si>
    <t>0045124</t>
  </si>
  <si>
    <t xml:space="preserve">VISIPAQUE 320 MG I/ML                             </t>
  </si>
  <si>
    <t>0065978</t>
  </si>
  <si>
    <t xml:space="preserve">DOTAREM                                           </t>
  </si>
  <si>
    <t>0077015</t>
  </si>
  <si>
    <t xml:space="preserve">ULTRAVIST 240                                     </t>
  </si>
  <si>
    <t>0077018</t>
  </si>
  <si>
    <t xml:space="preserve">ULTRAVIST 370                                     </t>
  </si>
  <si>
    <t>0077019</t>
  </si>
  <si>
    <t>0077024</t>
  </si>
  <si>
    <t xml:space="preserve">ULTRAVIST 300                                     </t>
  </si>
  <si>
    <t>0077226</t>
  </si>
  <si>
    <t xml:space="preserve">JEHLA STERNÁLNÍ MIELO-CAN, 18G - 1,2MMX4,8CM      </t>
  </si>
  <si>
    <t>89111</t>
  </si>
  <si>
    <t>RTG PRSTŮ A ZÁPRSTNÍCH KŮSTEK RUKY NEBO NOHY</t>
  </si>
  <si>
    <t>89115</t>
  </si>
  <si>
    <t>RTG LEBKY, PŘEHLEDNÉ SNÍMKY</t>
  </si>
  <si>
    <t>89119</t>
  </si>
  <si>
    <t>RTG HRUDNÍ NEBO BEDERNÍ PÁTEŘE</t>
  </si>
  <si>
    <t>89125</t>
  </si>
  <si>
    <t>RTG RAMENNÍHO KLOUBU</t>
  </si>
  <si>
    <t>89127</t>
  </si>
  <si>
    <t>RTG KOSTÍ A KLOUBŮ KONČETIN</t>
  </si>
  <si>
    <t>89129</t>
  </si>
  <si>
    <t>RTG ŽEBER A STERNA</t>
  </si>
  <si>
    <t>89131</t>
  </si>
  <si>
    <t>RTG HRUDNÍKU</t>
  </si>
  <si>
    <t>89143</t>
  </si>
  <si>
    <t>RTG BŘICHA</t>
  </si>
  <si>
    <t>89145</t>
  </si>
  <si>
    <t>RTG JÍCNU</t>
  </si>
  <si>
    <t>89147</t>
  </si>
  <si>
    <t>RTG ŽALUDKU A DUODENA</t>
  </si>
  <si>
    <t>89151</t>
  </si>
  <si>
    <t>PASÁŽ TRÁVICÍ TRUBICÍ</t>
  </si>
  <si>
    <t>89155</t>
  </si>
  <si>
    <t>RTG VYŠETŘENÍ TLUSTÉHO STŘEVA</t>
  </si>
  <si>
    <t>89161</t>
  </si>
  <si>
    <t>CHOLANGIOGRAFIE PEROPERAČNÍ NEBO T-DRÉNEM</t>
  </si>
  <si>
    <t>89167</t>
  </si>
  <si>
    <t>CYSTOGRAFIE</t>
  </si>
  <si>
    <t>89201</t>
  </si>
  <si>
    <t>SKIASKOPIE NA OPERAČNÍM ČI ZÁKROKOVÉM SÁLE MOBILNÍ</t>
  </si>
  <si>
    <t>89613</t>
  </si>
  <si>
    <t>CT VYŠETŘENÍ BEZ POUŽITÍ KONTRASTNÍ LÁTKY DO 30 SK</t>
  </si>
  <si>
    <t>89615</t>
  </si>
  <si>
    <t>CT VYŠETŘENÍ S VĚTŠÍM POČTEM SKENŮ (NAD 30), BEZ P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</si>
  <si>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</si>
  <si>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</si>
  <si>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</si>
  <si>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</si>
  <si>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</si>
  <si>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</si>
  <si>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89715</t>
  </si>
  <si>
    <t>MR ZOBRAZENÍ KRKU, HRUDNÍKU, BŘICHA, PÁNVE (VČETNĚ</t>
  </si>
  <si>
    <t>89723</t>
  </si>
  <si>
    <t>MR ANGIOGRAFIE</t>
  </si>
  <si>
    <t>89725</t>
  </si>
  <si>
    <t>OPAKOVANÉ ČI DOPLŇUJÍCÍ VYŠETŘENÍ MR</t>
  </si>
  <si>
    <t>35</t>
  </si>
  <si>
    <t>222</t>
  </si>
  <si>
    <t>22111</t>
  </si>
  <si>
    <t>VYŠETŘENÍ KREVNÍ SKUPINY ABO RH (D) - STATIM</t>
  </si>
  <si>
    <t>22112</t>
  </si>
  <si>
    <t>VYŠETŘENÍ KREVNÍ SKUPINY ABO, RH (D) V SÉRII</t>
  </si>
  <si>
    <t>22113</t>
  </si>
  <si>
    <t>VYŠETŘENÍ KREVNÍ SKUPINY ABO RH (D) U NOVOROZENCE</t>
  </si>
  <si>
    <t>22117</t>
  </si>
  <si>
    <t>VYŠETŘENÍ KOMPATIBILITY TRANSFÚZNÍHO PŘÍPRAVKU OBS</t>
  </si>
  <si>
    <t>22119</t>
  </si>
  <si>
    <t>22129</t>
  </si>
  <si>
    <t xml:space="preserve">VYŠETŘENÍ JEDNOHO ERYTROCYTÁRNÍHO ANTIGENU (KROMĚ </t>
  </si>
  <si>
    <t>22133</t>
  </si>
  <si>
    <t>PŘÍMÝ ANTIGLOBULINOVÝ TEST</t>
  </si>
  <si>
    <t>UPŘESNĚNÍ TYPU SENZIBILIZACE ERYTROCYTŮ</t>
  </si>
  <si>
    <t>22135</t>
  </si>
  <si>
    <t>PŘÍMÝ ANTIGLOBULINOVÝ TEST - KVANTITATIVNÍ VYŠETŘE</t>
  </si>
  <si>
    <t>22212</t>
  </si>
  <si>
    <t>SCREENING ANTIERYTROCYTÁRNÍCH PROTILÁTEK - STATIM,</t>
  </si>
  <si>
    <t>22214</t>
  </si>
  <si>
    <t>SCREENING ANTIERYTROCYTÁRNÍCH PROTILÁTEK - V SÉRII</t>
  </si>
  <si>
    <t>22221</t>
  </si>
  <si>
    <t>DOPLNĚNÍ SCREENINGU ANTIERYTROCYTÁRNÍCH PROTILÁTEK</t>
  </si>
  <si>
    <t>22223</t>
  </si>
  <si>
    <t>22317</t>
  </si>
  <si>
    <t>ELUCE ANTIERYTROCYTÁRNÍCH PROTILÁTEK - POUŽITÍ KOM</t>
  </si>
  <si>
    <t>22319</t>
  </si>
  <si>
    <t>ELUCE ANTIERYTROCYTÁRNÍCH PROTILÁTEK METODOU MRAZO</t>
  </si>
  <si>
    <t>22325</t>
  </si>
  <si>
    <t>ABSORPCE PROTILÁTEK PROTI ERYTROCYTUM PŘI URČOVÁNÍ</t>
  </si>
  <si>
    <t>22337</t>
  </si>
  <si>
    <t>NEUTRALIZAČNÍ TEST ERYTROCYTÁRNÍCH ABO PROTILÁTEK</t>
  </si>
  <si>
    <t>22341</t>
  </si>
  <si>
    <t>IDENTIFIKACE ANTIERYTROCYTÁRNÍCH PROTILÁTEK - ZKUM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</si>
  <si>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</si>
  <si>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</si>
  <si>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</si>
  <si>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</si>
  <si>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</si>
  <si>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</si>
  <si>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82079</t>
  </si>
  <si>
    <t>STANOVENÍ PROTILÁTEK PROTI ANTIGENŮM VIRŮ (MIMO VI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</si>
  <si>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</si>
  <si>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</si>
  <si>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</si>
  <si>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</si>
  <si>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</si>
  <si>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</si>
  <si>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</si>
  <si>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</si>
  <si>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</si>
  <si>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</si>
  <si>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</si>
  <si>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</si>
  <si>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</si>
  <si>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</si>
  <si>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87223</t>
  </si>
  <si>
    <t>SPECIELNÍ BARVENÍ JEDNODUCHÉ (KAŽDÝ PREPARÁT Z PAR</t>
  </si>
  <si>
    <t>87225</t>
  </si>
  <si>
    <t>SPECIELNI BARVENÍ SLOŽITÉ (ZA KAŽDÝ PREPARÁT ZE ZM</t>
  </si>
  <si>
    <t>87227</t>
  </si>
  <si>
    <t>ENZYMOVÁ HISTOCHEMIE I. (ZA KAŽDÝ MARKER Z 1 BLOKU</t>
  </si>
  <si>
    <t>87231</t>
  </si>
  <si>
    <t>IMUNOHISTOCHEMIE (ZA KAŽDÝ MARKER Z 1 BLOKU)</t>
  </si>
  <si>
    <t>87235</t>
  </si>
  <si>
    <t>VYŠETŘENÍ PREPARÁTU SPECIELNĚ BARVENÉHO NA MIKROOR</t>
  </si>
  <si>
    <t>87411</t>
  </si>
  <si>
    <t>PEROPERAČNÍ CYTOLOGIE (TECHNICKÁ KOMPONENTA ZA KAŽ</t>
  </si>
  <si>
    <t>87413</t>
  </si>
  <si>
    <t>CYTOLOGICKÉ OTISKY A STĚRY -  ZA 1-3 PREPARÁTY</t>
  </si>
  <si>
    <t>87425</t>
  </si>
  <si>
    <t xml:space="preserve">CYTOLOGICKÉ NÁTĚRY Z NECENTRIFUGOVANÉ TEKUTINY -  </t>
  </si>
  <si>
    <t>87431</t>
  </si>
  <si>
    <t>PREPARÁTY METODOU CYTOBLOKU - ZA KAŽDÝ PREPARÁT</t>
  </si>
  <si>
    <t>87447</t>
  </si>
  <si>
    <t>CYTOLOGICKÉ PREPARÁTY ZHOTOVENÉ CYTOCENTRIFUGOU</t>
  </si>
  <si>
    <t>87449</t>
  </si>
  <si>
    <t xml:space="preserve">SCREENINGOVÉ ODEČÍTÁNÍ CYTOLOGICKÝCH NÁLEZŮ (ZA 1 </t>
  </si>
  <si>
    <t>87511</t>
  </si>
  <si>
    <t>STANOVENÍ BIOPTICKÉ DIAGNÓZY I. STUPNĚ OBTÍŽNOSTI</t>
  </si>
  <si>
    <t>87517</t>
  </si>
  <si>
    <t>STANOVENÍ BIOPTICKÉ DIAGNÓZY II. STUPNĚ OBTÍŽNOSTI</t>
  </si>
  <si>
    <t>87519</t>
  </si>
  <si>
    <t>STANOVENÍ CYTOLOGICKÉ DIAGNÓZY II. STUPNĚ OBTÍŽNOS</t>
  </si>
  <si>
    <t>87523</t>
  </si>
  <si>
    <t>STANOVENÍ BIOPTICKÉ DIAGNÓZY III. STUPNĚ OBTÍŽNOST</t>
  </si>
  <si>
    <t>87525</t>
  </si>
  <si>
    <t>STANOVENÍ CYTOLOGICKÉ DIAGNÓZY III. STUPNĚ OBTÍŽNO</t>
  </si>
  <si>
    <t>87611</t>
  </si>
  <si>
    <t>TECHNICKÁ KOMPONENTA MIKROSKOPICKÉHO VYŠETŘENÍ PIT</t>
  </si>
  <si>
    <t>87613</t>
  </si>
  <si>
    <t>TECHNICKO ADMINISTRATIVNÍ KOMPONENTA BIOPSIE (STAN</t>
  </si>
  <si>
    <t>40</t>
  </si>
  <si>
    <t>82001</t>
  </si>
  <si>
    <t>KONSULTACE K MIKROBIOLOGICKÉMU, PARAZITOLOGICKÉMU,</t>
  </si>
  <si>
    <t>82003</t>
  </si>
  <si>
    <t>TELEFONICKÁ KONZULTACE K MIKROBIOLOGICKÉMU, PARAZI</t>
  </si>
  <si>
    <t>82025</t>
  </si>
  <si>
    <t>KULTIVAČNÍ VYŠETŘENÍ NA GO</t>
  </si>
  <si>
    <t>82041</t>
  </si>
  <si>
    <t>PRŮKAZ DNA MIKROORGANISMU V KLINICKÉM MATERIÁLU HY</t>
  </si>
  <si>
    <t>82057</t>
  </si>
  <si>
    <t>IDENTIFIKACE KMENE ORIENTAČNÍ JEDNODUCHÝM TESTEM</t>
  </si>
  <si>
    <t>82063</t>
  </si>
  <si>
    <t>STANOVENÍ CITLIVOSTI NA ATB KVALITATIVNÍ METODOU</t>
  </si>
  <si>
    <t>82065</t>
  </si>
  <si>
    <t>STANOVENÍ CITLIVOSTI NA ATB KVANTITATIVNÍ METODOU</t>
  </si>
  <si>
    <t>82069</t>
  </si>
  <si>
    <t>STANOVENÍ PRODUKCE BETA-LAKTAMÁZY</t>
  </si>
  <si>
    <t>82077</t>
  </si>
  <si>
    <t>STANOVENÍ PROTILÁTEK PROTI ANTIGENŮM VIRŮ HEPATITI</t>
  </si>
  <si>
    <t>82083</t>
  </si>
  <si>
    <t>PRŮKAZ BAKTERIÁLNÍHO TOXINU BIOLOGICKÝM POKUSEM NA</t>
  </si>
  <si>
    <t>82087</t>
  </si>
  <si>
    <t>STANOVENÍ PROTILÁTEK AGLUTINACÍ</t>
  </si>
  <si>
    <t>82093</t>
  </si>
  <si>
    <t>STANOVENÍ PROTILÁTEK METODOU KONSUMPCE KOMPLEMENTU</t>
  </si>
  <si>
    <t>82097</t>
  </si>
  <si>
    <t>STANOVENÍ PROTILÁTEK PROTI EBV (ELISA)</t>
  </si>
  <si>
    <t>82115</t>
  </si>
  <si>
    <t>PRŮKAZ VIROVÉHO ANTIGENU V BIOLOGICKÉM MATERIÁLU N</t>
  </si>
  <si>
    <t>82117</t>
  </si>
  <si>
    <t>PRŮKAZ ANTIGENU VIRU (MIMO VIRY HEPATITID), BAKTER</t>
  </si>
  <si>
    <t>82131</t>
  </si>
  <si>
    <t>IDENTIFIKACE BAKTERIÁLNÍHO KMENE V KULTUŘE (POMNOŽ</t>
  </si>
  <si>
    <t>82149</t>
  </si>
  <si>
    <t>SEROTYPIZACE STŘEVNÍCH A JINÝCH PATOGENŮ</t>
  </si>
  <si>
    <t>82231</t>
  </si>
  <si>
    <t>KULTIVAČNÍ VYŠETŘENÍ MYKOPLASMAT A L-FOREM BAKTÉRI</t>
  </si>
  <si>
    <t>82233</t>
  </si>
  <si>
    <t>IDENTIFIKACE MYKOPLASMAT</t>
  </si>
  <si>
    <t>41</t>
  </si>
  <si>
    <t>22217</t>
  </si>
  <si>
    <t xml:space="preserve">SCREENINGOVÉ VYŠETŘENÍ TROMBOCYTÁRNÍCH PROTILÁTEK </t>
  </si>
  <si>
    <t>22321</t>
  </si>
  <si>
    <t>URČENÍ SPECIFITY TROMBOCYTÁRNÍ PROTILÁTKY</t>
  </si>
  <si>
    <t>91149</t>
  </si>
  <si>
    <t>STANOVENÍ A1 - ANTITRYPSINU</t>
  </si>
  <si>
    <t>91189</t>
  </si>
  <si>
    <t>STANOVENÍ IgE</t>
  </si>
  <si>
    <t>91235</t>
  </si>
  <si>
    <t>STANOVENÍ SPECIFICKÉHO IgE PROTI JEDNOTLIVÝM ALERG</t>
  </si>
  <si>
    <t>91259</t>
  </si>
  <si>
    <t>STANOVENÍ ANTI NUKLEOHISTON Ab ELISA</t>
  </si>
  <si>
    <t>91261</t>
  </si>
  <si>
    <t>STANOVENÍ ANTI ENA Ab ELISA</t>
  </si>
  <si>
    <t>91263</t>
  </si>
  <si>
    <t>STANOVENÍ ANTI SS-A/Ro Ab ELISA</t>
  </si>
  <si>
    <t>91265</t>
  </si>
  <si>
    <t>STANOVENÍ ANTI SS-B/La Ab ELISA</t>
  </si>
  <si>
    <t>91267</t>
  </si>
  <si>
    <t>STANOVENÍ ANTI Sm Ab ELISA</t>
  </si>
  <si>
    <t>91269</t>
  </si>
  <si>
    <t>STANOVENÍ ANTI U1-RNP Ab ELISA</t>
  </si>
  <si>
    <t>91271</t>
  </si>
  <si>
    <t>STANOVENÍ ANTI Scl-70 Ab ELISA</t>
  </si>
  <si>
    <t>91567</t>
  </si>
  <si>
    <t>IMUNOANALYTICKÉ STANOVENÍ AUTOPROTILÁTEK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</si>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</sst>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7">
    <xf numFmtId="0" fontId="0" fillId="0" borderId="0"/>
    <xf numFmtId="0" fontId="35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2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16" fillId="0" borderId="0"/>
    <xf numFmtId="0" fontId="17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18" fillId="0" borderId="0"/>
    <xf numFmtId="0" fontId="16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0" fontId="30" fillId="0" borderId="0"/>
    <xf numFmtId="0" fontId="31" fillId="0" borderId="0"/>
    <xf numFmtId="0" fontId="36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697">
    <xf numFmtId="0" fontId="0" fillId="0" borderId="0" xfId="0"/>
    <xf numFmtId="0" fontId="37" fillId="2" borderId="22" xfId="80" applyFont="1" applyFill="1" applyBorder="1"/>
    <xf numFmtId="0" fontId="38" fillId="2" borderId="23" xfId="80" applyFont="1" applyFill="1" applyBorder="1"/>
    <xf numFmtId="3" fontId="38" fillId="2" borderId="24" xfId="80" applyNumberFormat="1" applyFont="1" applyFill="1" applyBorder="1"/>
    <xf numFmtId="10" fontId="38" fillId="2" borderId="25" xfId="80" applyNumberFormat="1" applyFont="1" applyFill="1" applyBorder="1"/>
    <xf numFmtId="0" fontId="38" fillId="4" borderId="23" xfId="80" applyFont="1" applyFill="1" applyBorder="1"/>
    <xf numFmtId="3" fontId="39" fillId="0" borderId="10" xfId="26" applyNumberFormat="1" applyFont="1" applyFill="1" applyBorder="1" applyAlignment="1">
      <alignment horizontal="center"/>
    </xf>
    <xf numFmtId="3" fontId="39" fillId="0" borderId="12" xfId="26" applyNumberFormat="1" applyFont="1" applyFill="1" applyBorder="1" applyAlignment="1">
      <alignment horizontal="center"/>
    </xf>
    <xf numFmtId="3" fontId="39" fillId="0" borderId="29" xfId="26" applyNumberFormat="1" applyFont="1" applyFill="1" applyBorder="1" applyAlignment="1">
      <alignment horizontal="center"/>
    </xf>
    <xf numFmtId="3" fontId="39" fillId="0" borderId="30" xfId="26" applyNumberFormat="1" applyFont="1" applyFill="1" applyBorder="1" applyAlignment="1">
      <alignment horizontal="center"/>
    </xf>
    <xf numFmtId="3" fontId="38" fillId="4" borderId="24" xfId="80" applyNumberFormat="1" applyFont="1" applyFill="1" applyBorder="1"/>
    <xf numFmtId="10" fontId="38" fillId="4" borderId="25" xfId="80" applyNumberFormat="1" applyFont="1" applyFill="1" applyBorder="1"/>
    <xf numFmtId="172" fontId="38" fillId="3" borderId="24" xfId="80" applyNumberFormat="1" applyFont="1" applyFill="1" applyBorder="1"/>
    <xf numFmtId="10" fontId="38" fillId="3" borderId="25" xfId="80" applyNumberFormat="1" applyFont="1" applyFill="1" applyBorder="1" applyAlignment="1"/>
    <xf numFmtId="0" fontId="39" fillId="5" borderId="0" xfId="74" applyFont="1" applyFill="1"/>
    <xf numFmtId="0" fontId="45" fillId="5" borderId="0" xfId="74" applyFont="1" applyFill="1"/>
    <xf numFmtId="3" fontId="37" fillId="5" borderId="29" xfId="80" applyNumberFormat="1" applyFont="1" applyFill="1" applyBorder="1"/>
    <xf numFmtId="10" fontId="37" fillId="5" borderId="30" xfId="80" applyNumberFormat="1" applyFont="1" applyFill="1" applyBorder="1"/>
    <xf numFmtId="3" fontId="37" fillId="5" borderId="10" xfId="80" applyNumberFormat="1" applyFont="1" applyFill="1" applyBorder="1"/>
    <xf numFmtId="10" fontId="37" fillId="5" borderId="12" xfId="80" applyNumberFormat="1" applyFont="1" applyFill="1" applyBorder="1"/>
    <xf numFmtId="3" fontId="37" fillId="5" borderId="14" xfId="80" applyNumberFormat="1" applyFont="1" applyFill="1" applyBorder="1"/>
    <xf numFmtId="10" fontId="37" fillId="5" borderId="16" xfId="80" applyNumberFormat="1" applyFont="1" applyFill="1" applyBorder="1"/>
    <xf numFmtId="0" fontId="37" fillId="5" borderId="0" xfId="80" applyFont="1" applyFill="1"/>
    <xf numFmtId="10" fontId="37" fillId="5" borderId="0" xfId="80" applyNumberFormat="1" applyFont="1" applyFill="1"/>
    <xf numFmtId="0" fontId="50" fillId="2" borderId="38" xfId="0" applyFont="1" applyFill="1" applyBorder="1" applyAlignment="1">
      <alignment vertical="top"/>
    </xf>
    <xf numFmtId="0" fontId="50" fillId="2" borderId="39" xfId="0" applyFont="1" applyFill="1" applyBorder="1" applyAlignment="1">
      <alignment vertical="top"/>
    </xf>
    <xf numFmtId="0" fontId="47" fillId="2" borderId="39" xfId="0" applyFont="1" applyFill="1" applyBorder="1" applyAlignment="1">
      <alignment vertical="top"/>
    </xf>
    <xf numFmtId="0" fontId="51" fillId="2" borderId="39" xfId="0" applyFont="1" applyFill="1" applyBorder="1" applyAlignment="1">
      <alignment vertical="top"/>
    </xf>
    <xf numFmtId="0" fontId="49" fillId="2" borderId="39" xfId="0" applyFont="1" applyFill="1" applyBorder="1" applyAlignment="1">
      <alignment vertical="top"/>
    </xf>
    <xf numFmtId="0" fontId="47" fillId="2" borderId="40" xfId="0" applyFont="1" applyFill="1" applyBorder="1" applyAlignment="1">
      <alignment vertical="top"/>
    </xf>
    <xf numFmtId="0" fontId="50" fillId="2" borderId="10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center" vertical="center"/>
    </xf>
    <xf numFmtId="0" fontId="50" fillId="2" borderId="27" xfId="0" applyFont="1" applyFill="1" applyBorder="1" applyAlignment="1">
      <alignment horizontal="center" vertical="center"/>
    </xf>
    <xf numFmtId="0" fontId="51" fillId="2" borderId="26" xfId="0" applyFont="1" applyFill="1" applyBorder="1" applyAlignment="1">
      <alignment horizontal="center" vertical="center" wrapText="1"/>
    </xf>
    <xf numFmtId="0" fontId="51" fillId="2" borderId="28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3" fontId="37" fillId="5" borderId="5" xfId="80" applyNumberFormat="1" applyFont="1" applyFill="1" applyBorder="1"/>
    <xf numFmtId="3" fontId="37" fillId="5" borderId="34" xfId="80" applyNumberFormat="1" applyFont="1" applyFill="1" applyBorder="1"/>
    <xf numFmtId="3" fontId="37" fillId="5" borderId="30" xfId="80" applyNumberFormat="1" applyFont="1" applyFill="1" applyBorder="1"/>
    <xf numFmtId="3" fontId="37" fillId="5" borderId="11" xfId="80" applyNumberFormat="1" applyFont="1" applyFill="1" applyBorder="1"/>
    <xf numFmtId="3" fontId="37" fillId="5" borderId="12" xfId="80" applyNumberFormat="1" applyFont="1" applyFill="1" applyBorder="1"/>
    <xf numFmtId="3" fontId="37" fillId="5" borderId="15" xfId="80" applyNumberFormat="1" applyFont="1" applyFill="1" applyBorder="1"/>
    <xf numFmtId="3" fontId="37" fillId="5" borderId="16" xfId="80" applyNumberFormat="1" applyFont="1" applyFill="1" applyBorder="1"/>
    <xf numFmtId="3" fontId="38" fillId="2" borderId="32" xfId="80" applyNumberFormat="1" applyFont="1" applyFill="1" applyBorder="1"/>
    <xf numFmtId="3" fontId="38" fillId="2" borderId="25" xfId="80" applyNumberFormat="1" applyFont="1" applyFill="1" applyBorder="1"/>
    <xf numFmtId="3" fontId="38" fillId="4" borderId="32" xfId="80" applyNumberFormat="1" applyFont="1" applyFill="1" applyBorder="1"/>
    <xf numFmtId="3" fontId="38" fillId="4" borderId="25" xfId="80" applyNumberFormat="1" applyFont="1" applyFill="1" applyBorder="1"/>
    <xf numFmtId="172" fontId="38" fillId="3" borderId="32" xfId="80" applyNumberFormat="1" applyFont="1" applyFill="1" applyBorder="1"/>
    <xf numFmtId="172" fontId="38" fillId="3" borderId="25" xfId="80" applyNumberFormat="1" applyFont="1" applyFill="1" applyBorder="1"/>
    <xf numFmtId="0" fontId="44" fillId="2" borderId="28" xfId="74" applyFont="1" applyFill="1" applyBorder="1" applyAlignment="1">
      <alignment horizontal="center"/>
    </xf>
    <xf numFmtId="0" fontId="44" fillId="2" borderId="27" xfId="74" applyFont="1" applyFill="1" applyBorder="1" applyAlignment="1">
      <alignment horizontal="center"/>
    </xf>
    <xf numFmtId="0" fontId="44" fillId="2" borderId="29" xfId="80" applyFont="1" applyFill="1" applyBorder="1" applyAlignment="1">
      <alignment horizontal="center"/>
    </xf>
    <xf numFmtId="0" fontId="44" fillId="2" borderId="30" xfId="80" applyFont="1" applyFill="1" applyBorder="1" applyAlignment="1">
      <alignment horizontal="center"/>
    </xf>
    <xf numFmtId="0" fontId="52" fillId="0" borderId="2" xfId="0" applyFont="1" applyFill="1" applyBorder="1"/>
    <xf numFmtId="0" fontId="52" fillId="0" borderId="3" xfId="0" applyFont="1" applyFill="1" applyBorder="1"/>
    <xf numFmtId="3" fontId="38" fillId="0" borderId="32" xfId="78" applyNumberFormat="1" applyFont="1" applyFill="1" applyBorder="1" applyAlignment="1">
      <alignment horizontal="right"/>
    </xf>
    <xf numFmtId="9" fontId="38" fillId="0" borderId="32" xfId="78" applyNumberFormat="1" applyFont="1" applyFill="1" applyBorder="1" applyAlignment="1">
      <alignment horizontal="right"/>
    </xf>
    <xf numFmtId="3" fontId="38" fillId="0" borderId="25" xfId="78" applyNumberFormat="1" applyFont="1" applyFill="1" applyBorder="1" applyAlignment="1">
      <alignment horizontal="right"/>
    </xf>
    <xf numFmtId="0" fontId="44" fillId="2" borderId="26" xfId="80" applyFont="1" applyFill="1" applyBorder="1" applyAlignment="1">
      <alignment horizont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45" fillId="0" borderId="0" xfId="0" applyFont="1" applyFill="1"/>
    <xf numFmtId="0" fontId="45" fillId="0" borderId="42" xfId="0" applyFont="1" applyFill="1" applyBorder="1" applyAlignment="1"/>
    <xf numFmtId="0" fontId="54" fillId="0" borderId="0" xfId="0" applyFont="1" applyFill="1" applyBorder="1" applyAlignment="1"/>
    <xf numFmtId="0" fontId="45" fillId="0" borderId="49" xfId="0" applyFont="1" applyFill="1" applyBorder="1"/>
    <xf numFmtId="0" fontId="0" fillId="0" borderId="0" xfId="0" applyFill="1"/>
    <xf numFmtId="0" fontId="0" fillId="0" borderId="49" xfId="0" applyFill="1" applyBorder="1" applyAlignment="1"/>
    <xf numFmtId="0" fontId="9" fillId="0" borderId="0" xfId="80" applyFill="1"/>
    <xf numFmtId="0" fontId="10" fillId="0" borderId="42" xfId="80" applyFont="1" applyFill="1" applyBorder="1" applyAlignment="1"/>
    <xf numFmtId="3" fontId="46" fillId="0" borderId="8" xfId="0" applyNumberFormat="1" applyFont="1" applyFill="1" applyBorder="1" applyAlignment="1">
      <alignment horizontal="right" vertical="top"/>
    </xf>
    <xf numFmtId="3" fontId="46" fillId="0" borderId="6" xfId="0" applyNumberFormat="1" applyFont="1" applyFill="1" applyBorder="1" applyAlignment="1">
      <alignment horizontal="right" vertical="top"/>
    </xf>
    <xf numFmtId="3" fontId="47" fillId="0" borderId="6" xfId="0" applyNumberFormat="1" applyFont="1" applyFill="1" applyBorder="1" applyAlignment="1">
      <alignment horizontal="right" vertical="top"/>
    </xf>
    <xf numFmtId="3" fontId="46" fillId="0" borderId="13" xfId="0" applyNumberFormat="1" applyFont="1" applyFill="1" applyBorder="1" applyAlignment="1">
      <alignment horizontal="right" vertical="top"/>
    </xf>
    <xf numFmtId="3" fontId="46" fillId="0" borderId="11" xfId="0" applyNumberFormat="1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horizontal="right" vertical="top"/>
    </xf>
    <xf numFmtId="3" fontId="48" fillId="0" borderId="13" xfId="0" applyNumberFormat="1" applyFont="1" applyFill="1" applyBorder="1" applyAlignment="1">
      <alignment horizontal="right" vertical="top"/>
    </xf>
    <xf numFmtId="3" fontId="48" fillId="0" borderId="11" xfId="0" applyNumberFormat="1" applyFont="1" applyFill="1" applyBorder="1" applyAlignment="1">
      <alignment horizontal="right" vertical="top"/>
    </xf>
    <xf numFmtId="3" fontId="49" fillId="0" borderId="11" xfId="0" applyNumberFormat="1" applyFont="1" applyFill="1" applyBorder="1" applyAlignment="1">
      <alignment horizontal="right" vertical="top"/>
    </xf>
    <xf numFmtId="3" fontId="46" fillId="0" borderId="37" xfId="0" applyNumberFormat="1" applyFont="1" applyFill="1" applyBorder="1" applyAlignment="1">
      <alignment horizontal="right" vertical="top"/>
    </xf>
    <xf numFmtId="3" fontId="46" fillId="0" borderId="28" xfId="0" applyNumberFormat="1" applyFont="1" applyFill="1" applyBorder="1" applyAlignment="1">
      <alignment horizontal="right" vertical="top"/>
    </xf>
    <xf numFmtId="3" fontId="47" fillId="0" borderId="28" xfId="0" applyNumberFormat="1" applyFont="1" applyFill="1" applyBorder="1" applyAlignment="1">
      <alignment horizontal="right" vertical="top"/>
    </xf>
    <xf numFmtId="0" fontId="8" fillId="0" borderId="0" xfId="81" applyFont="1" applyFill="1"/>
    <xf numFmtId="0" fontId="11" fillId="0" borderId="42" xfId="81" applyFont="1" applyFill="1" applyBorder="1" applyAlignment="1"/>
    <xf numFmtId="0" fontId="3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56" fillId="0" borderId="49" xfId="0" applyFont="1" applyFill="1" applyBorder="1" applyAlignment="1"/>
    <xf numFmtId="9" fontId="3" fillId="0" borderId="71" xfId="53" applyNumberFormat="1" applyFont="1" applyFill="1" applyBorder="1"/>
    <xf numFmtId="3" fontId="19" fillId="0" borderId="0" xfId="76" applyNumberFormat="1" applyFont="1" applyFill="1" applyBorder="1"/>
    <xf numFmtId="3" fontId="4" fillId="0" borderId="0" xfId="76" applyNumberFormat="1" applyFill="1"/>
    <xf numFmtId="0" fontId="2" fillId="0" borderId="49" xfId="26" applyFont="1" applyFill="1" applyBorder="1" applyAlignment="1"/>
    <xf numFmtId="3" fontId="40" fillId="0" borderId="0" xfId="26" applyNumberFormat="1" applyFont="1" applyFill="1" applyBorder="1"/>
    <xf numFmtId="9" fontId="19" fillId="0" borderId="0" xfId="76" applyNumberFormat="1" applyFont="1" applyFill="1" applyBorder="1" applyAlignment="1">
      <alignment horizontal="right"/>
    </xf>
    <xf numFmtId="9" fontId="19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39" fillId="0" borderId="0" xfId="26" applyFont="1" applyFill="1"/>
    <xf numFmtId="0" fontId="39" fillId="0" borderId="49" xfId="26" applyFont="1" applyFill="1" applyBorder="1" applyAlignment="1"/>
    <xf numFmtId="3" fontId="41" fillId="0" borderId="0" xfId="26" applyNumberFormat="1" applyFont="1" applyFill="1" applyBorder="1" applyAlignment="1">
      <alignment horizontal="center" vertical="center"/>
    </xf>
    <xf numFmtId="0" fontId="42" fillId="0" borderId="0" xfId="26" applyFont="1" applyFill="1" applyBorder="1" applyAlignment="1">
      <alignment horizontal="right"/>
    </xf>
    <xf numFmtId="171" fontId="39" fillId="0" borderId="29" xfId="26" applyNumberFormat="1" applyFont="1" applyFill="1" applyBorder="1"/>
    <xf numFmtId="9" fontId="39" fillId="0" borderId="30" xfId="26" applyNumberFormat="1" applyFont="1" applyFill="1" applyBorder="1"/>
    <xf numFmtId="171" fontId="39" fillId="0" borderId="46" xfId="26" applyNumberFormat="1" applyFont="1" applyFill="1" applyBorder="1"/>
    <xf numFmtId="9" fontId="42" fillId="0" borderId="0" xfId="26" applyNumberFormat="1" applyFont="1" applyFill="1" applyBorder="1" applyAlignment="1">
      <alignment horizontal="right"/>
    </xf>
    <xf numFmtId="171" fontId="39" fillId="0" borderId="10" xfId="26" applyNumberFormat="1" applyFont="1" applyFill="1" applyBorder="1"/>
    <xf numFmtId="9" fontId="39" fillId="0" borderId="12" xfId="26" applyNumberFormat="1" applyFont="1" applyFill="1" applyBorder="1"/>
    <xf numFmtId="171" fontId="39" fillId="0" borderId="41" xfId="26" applyNumberFormat="1" applyFont="1" applyFill="1" applyBorder="1"/>
    <xf numFmtId="3" fontId="43" fillId="0" borderId="0" xfId="26" applyNumberFormat="1" applyFont="1" applyFill="1" applyBorder="1"/>
    <xf numFmtId="171" fontId="39" fillId="0" borderId="26" xfId="26" applyNumberFormat="1" applyFont="1" applyFill="1" applyBorder="1"/>
    <xf numFmtId="9" fontId="39" fillId="0" borderId="27" xfId="26" applyNumberFormat="1" applyFont="1" applyFill="1" applyBorder="1"/>
    <xf numFmtId="171" fontId="39" fillId="0" borderId="48" xfId="26" applyNumberFormat="1" applyFont="1" applyFill="1" applyBorder="1"/>
    <xf numFmtId="0" fontId="5" fillId="0" borderId="0" xfId="26" applyFont="1" applyFill="1"/>
    <xf numFmtId="0" fontId="14" fillId="0" borderId="42" xfId="26" applyFont="1" applyFill="1" applyBorder="1" applyAlignment="1">
      <alignment vertical="center"/>
    </xf>
    <xf numFmtId="169" fontId="14" fillId="0" borderId="42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20" fillId="0" borderId="0" xfId="26" applyFont="1" applyFill="1"/>
    <xf numFmtId="3" fontId="20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56" fillId="0" borderId="0" xfId="0" applyFont="1" applyFill="1" applyBorder="1" applyAlignment="1"/>
    <xf numFmtId="3" fontId="0" fillId="0" borderId="0" xfId="0" applyNumberFormat="1" applyFill="1" applyBorder="1" applyAlignment="1"/>
    <xf numFmtId="0" fontId="45" fillId="0" borderId="35" xfId="0" applyFont="1" applyFill="1" applyBorder="1" applyAlignment="1"/>
    <xf numFmtId="0" fontId="45" fillId="0" borderId="36" xfId="0" applyFont="1" applyFill="1" applyBorder="1" applyAlignment="1"/>
    <xf numFmtId="0" fontId="45" fillId="0" borderId="66" xfId="0" applyFont="1" applyFill="1" applyBorder="1" applyAlignment="1"/>
    <xf numFmtId="0" fontId="38" fillId="2" borderId="31" xfId="78" applyFont="1" applyFill="1" applyBorder="1" applyAlignment="1">
      <alignment horizontal="right"/>
    </xf>
    <xf numFmtId="3" fontId="38" fillId="2" borderId="65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69" xfId="53" applyFont="1" applyFill="1" applyBorder="1" applyAlignment="1">
      <alignment horizontal="right"/>
    </xf>
    <xf numFmtId="3" fontId="39" fillId="7" borderId="11" xfId="26" applyNumberFormat="1" applyFont="1" applyFill="1" applyBorder="1"/>
    <xf numFmtId="3" fontId="39" fillId="7" borderId="6" xfId="26" applyNumberFormat="1" applyFont="1" applyFill="1" applyBorder="1"/>
    <xf numFmtId="3" fontId="44" fillId="2" borderId="24" xfId="26" applyNumberFormat="1" applyFont="1" applyFill="1" applyBorder="1"/>
    <xf numFmtId="3" fontId="44" fillId="2" borderId="32" xfId="26" applyNumberFormat="1" applyFont="1" applyFill="1" applyBorder="1"/>
    <xf numFmtId="3" fontId="44" fillId="4" borderId="24" xfId="26" applyNumberFormat="1" applyFont="1" applyFill="1" applyBorder="1"/>
    <xf numFmtId="3" fontId="44" fillId="7" borderId="4" xfId="26" applyNumberFormat="1" applyFont="1" applyFill="1" applyBorder="1"/>
    <xf numFmtId="3" fontId="44" fillId="7" borderId="9" xfId="26" applyNumberFormat="1" applyFont="1" applyFill="1" applyBorder="1"/>
    <xf numFmtId="3" fontId="44" fillId="2" borderId="31" xfId="26" applyNumberFormat="1" applyFont="1" applyFill="1" applyBorder="1"/>
    <xf numFmtId="3" fontId="39" fillId="7" borderId="5" xfId="26" applyNumberFormat="1" applyFont="1" applyFill="1" applyBorder="1"/>
    <xf numFmtId="3" fontId="39" fillId="7" borderId="10" xfId="26" applyNumberFormat="1" applyFont="1" applyFill="1" applyBorder="1"/>
    <xf numFmtId="3" fontId="39" fillId="5" borderId="0" xfId="26" applyNumberFormat="1" applyFont="1" applyFill="1" applyBorder="1"/>
    <xf numFmtId="3" fontId="66" fillId="5" borderId="0" xfId="26" applyNumberFormat="1" applyFont="1" applyFill="1" applyBorder="1"/>
    <xf numFmtId="168" fontId="39" fillId="5" borderId="0" xfId="26" applyNumberFormat="1" applyFont="1" applyFill="1" applyBorder="1"/>
    <xf numFmtId="0" fontId="44" fillId="2" borderId="1" xfId="26" applyNumberFormat="1" applyFont="1" applyFill="1" applyBorder="1" applyAlignment="1">
      <alignment horizontal="center"/>
    </xf>
    <xf numFmtId="0" fontId="44" fillId="2" borderId="2" xfId="26" applyNumberFormat="1" applyFont="1" applyFill="1" applyBorder="1" applyAlignment="1">
      <alignment horizontal="center"/>
    </xf>
    <xf numFmtId="168" fontId="44" fillId="2" borderId="3" xfId="26" applyNumberFormat="1" applyFont="1" applyFill="1" applyBorder="1" applyAlignment="1">
      <alignment horizontal="center"/>
    </xf>
    <xf numFmtId="3" fontId="44" fillId="2" borderId="24" xfId="26" applyNumberFormat="1" applyFont="1" applyFill="1" applyBorder="1" applyAlignment="1">
      <alignment horizontal="center"/>
    </xf>
    <xf numFmtId="168" fontId="44" fillId="2" borderId="25" xfId="26" applyNumberFormat="1" applyFont="1" applyFill="1" applyBorder="1" applyAlignment="1">
      <alignment horizontal="center"/>
    </xf>
    <xf numFmtId="168" fontId="44" fillId="7" borderId="7" xfId="85" applyNumberFormat="1" applyFont="1" applyFill="1" applyBorder="1" applyAlignment="1">
      <alignment horizontal="right"/>
    </xf>
    <xf numFmtId="3" fontId="39" fillId="7" borderId="8" xfId="26" applyNumberFormat="1" applyFont="1" applyFill="1" applyBorder="1"/>
    <xf numFmtId="168" fontId="44" fillId="7" borderId="7" xfId="85" applyNumberFormat="1" applyFont="1" applyFill="1" applyBorder="1"/>
    <xf numFmtId="168" fontId="44" fillId="7" borderId="12" xfId="85" applyNumberFormat="1" applyFont="1" applyFill="1" applyBorder="1" applyAlignment="1">
      <alignment horizontal="right"/>
    </xf>
    <xf numFmtId="3" fontId="39" fillId="7" borderId="13" xfId="26" applyNumberFormat="1" applyFont="1" applyFill="1" applyBorder="1"/>
    <xf numFmtId="168" fontId="44" fillId="7" borderId="12" xfId="85" applyNumberFormat="1" applyFont="1" applyFill="1" applyBorder="1"/>
    <xf numFmtId="168" fontId="44" fillId="2" borderId="25" xfId="85" applyNumberFormat="1" applyFont="1" applyFill="1" applyBorder="1" applyAlignment="1">
      <alignment horizontal="right"/>
    </xf>
    <xf numFmtId="3" fontId="44" fillId="2" borderId="33" xfId="26" applyNumberFormat="1" applyFont="1" applyFill="1" applyBorder="1"/>
    <xf numFmtId="168" fontId="44" fillId="2" borderId="25" xfId="85" applyNumberFormat="1" applyFont="1" applyFill="1" applyBorder="1"/>
    <xf numFmtId="3" fontId="44" fillId="2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 applyAlignment="1">
      <alignment horizontal="left"/>
    </xf>
    <xf numFmtId="3" fontId="40" fillId="7" borderId="0" xfId="26" applyNumberFormat="1" applyFont="1" applyFill="1" applyBorder="1"/>
    <xf numFmtId="0" fontId="44" fillId="3" borderId="1" xfId="26" applyNumberFormat="1" applyFont="1" applyFill="1" applyBorder="1" applyAlignment="1">
      <alignment horizontal="center"/>
    </xf>
    <xf numFmtId="0" fontId="44" fillId="3" borderId="2" xfId="26" applyNumberFormat="1" applyFont="1" applyFill="1" applyBorder="1" applyAlignment="1">
      <alignment horizontal="center"/>
    </xf>
    <xf numFmtId="168" fontId="44" fillId="3" borderId="3" xfId="26" applyNumberFormat="1" applyFont="1" applyFill="1" applyBorder="1" applyAlignment="1">
      <alignment horizontal="center"/>
    </xf>
    <xf numFmtId="3" fontId="44" fillId="3" borderId="24" xfId="26" applyNumberFormat="1" applyFont="1" applyFill="1" applyBorder="1" applyAlignment="1">
      <alignment horizontal="center"/>
    </xf>
    <xf numFmtId="168" fontId="44" fillId="3" borderId="25" xfId="26" applyNumberFormat="1" applyFont="1" applyFill="1" applyBorder="1" applyAlignment="1">
      <alignment horizontal="center"/>
    </xf>
    <xf numFmtId="3" fontId="39" fillId="7" borderId="29" xfId="26" applyNumberFormat="1" applyFont="1" applyFill="1" applyBorder="1" applyAlignment="1">
      <alignment horizontal="center"/>
    </xf>
    <xf numFmtId="3" fontId="39" fillId="7" borderId="30" xfId="26" applyNumberFormat="1" applyFont="1" applyFill="1" applyBorder="1" applyAlignment="1">
      <alignment horizontal="center"/>
    </xf>
    <xf numFmtId="3" fontId="39" fillId="7" borderId="10" xfId="26" applyNumberFormat="1" applyFont="1" applyFill="1" applyBorder="1" applyAlignment="1">
      <alignment horizontal="center"/>
    </xf>
    <xf numFmtId="3" fontId="39" fillId="7" borderId="12" xfId="26" applyNumberFormat="1" applyFont="1" applyFill="1" applyBorder="1" applyAlignment="1">
      <alignment horizontal="center"/>
    </xf>
    <xf numFmtId="3" fontId="44" fillId="3" borderId="31" xfId="26" applyNumberFormat="1" applyFont="1" applyFill="1" applyBorder="1"/>
    <xf numFmtId="3" fontId="44" fillId="3" borderId="24" xfId="26" applyNumberFormat="1" applyFont="1" applyFill="1" applyBorder="1"/>
    <xf numFmtId="3" fontId="44" fillId="3" borderId="32" xfId="26" applyNumberFormat="1" applyFont="1" applyFill="1" applyBorder="1"/>
    <xf numFmtId="168" fontId="44" fillId="3" borderId="25" xfId="85" applyNumberFormat="1" applyFont="1" applyFill="1" applyBorder="1" applyAlignment="1">
      <alignment horizontal="right"/>
    </xf>
    <xf numFmtId="168" fontId="44" fillId="3" borderId="25" xfId="85" applyNumberFormat="1" applyFont="1" applyFill="1" applyBorder="1"/>
    <xf numFmtId="3" fontId="44" fillId="3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/>
    <xf numFmtId="3" fontId="39" fillId="7" borderId="0" xfId="26" applyNumberFormat="1" applyFont="1" applyFill="1" applyBorder="1"/>
    <xf numFmtId="168" fontId="39" fillId="7" borderId="0" xfId="26" applyNumberFormat="1" applyFont="1" applyFill="1" applyBorder="1"/>
    <xf numFmtId="0" fontId="44" fillId="6" borderId="1" xfId="26" applyNumberFormat="1" applyFont="1" applyFill="1" applyBorder="1" applyAlignment="1">
      <alignment horizontal="center"/>
    </xf>
    <xf numFmtId="0" fontId="44" fillId="6" borderId="2" xfId="26" applyNumberFormat="1" applyFont="1" applyFill="1" applyBorder="1" applyAlignment="1">
      <alignment horizontal="center"/>
    </xf>
    <xf numFmtId="0" fontId="44" fillId="6" borderId="3" xfId="26" applyNumberFormat="1" applyFont="1" applyFill="1" applyBorder="1" applyAlignment="1">
      <alignment horizontal="center"/>
    </xf>
    <xf numFmtId="3" fontId="44" fillId="7" borderId="18" xfId="26" applyNumberFormat="1" applyFont="1" applyFill="1" applyBorder="1"/>
    <xf numFmtId="168" fontId="44" fillId="7" borderId="18" xfId="85" applyNumberFormat="1" applyFont="1" applyFill="1" applyBorder="1"/>
    <xf numFmtId="3" fontId="44" fillId="7" borderId="19" xfId="26" applyNumberFormat="1" applyFont="1" applyFill="1" applyBorder="1"/>
    <xf numFmtId="168" fontId="44" fillId="7" borderId="19" xfId="85" applyNumberFormat="1" applyFont="1" applyFill="1" applyBorder="1"/>
    <xf numFmtId="3" fontId="44" fillId="6" borderId="31" xfId="26" applyNumberFormat="1" applyFont="1" applyFill="1" applyBorder="1"/>
    <xf numFmtId="3" fontId="44" fillId="6" borderId="24" xfId="26" applyNumberFormat="1" applyFont="1" applyFill="1" applyBorder="1"/>
    <xf numFmtId="3" fontId="44" fillId="6" borderId="32" xfId="26" applyNumberFormat="1" applyFont="1" applyFill="1" applyBorder="1"/>
    <xf numFmtId="168" fontId="44" fillId="6" borderId="25" xfId="85" applyNumberFormat="1" applyFont="1" applyFill="1" applyBorder="1" applyAlignment="1">
      <alignment horizontal="right"/>
    </xf>
    <xf numFmtId="3" fontId="44" fillId="6" borderId="33" xfId="26" applyNumberFormat="1" applyFont="1" applyFill="1" applyBorder="1"/>
    <xf numFmtId="168" fontId="44" fillId="6" borderId="52" xfId="85" applyNumberFormat="1" applyFont="1" applyFill="1" applyBorder="1"/>
    <xf numFmtId="168" fontId="39" fillId="7" borderId="0" xfId="26" applyNumberFormat="1" applyFont="1" applyFill="1" applyBorder="1" applyAlignment="1">
      <alignment horizontal="right"/>
    </xf>
    <xf numFmtId="0" fontId="44" fillId="4" borderId="1" xfId="26" applyNumberFormat="1" applyFont="1" applyFill="1" applyBorder="1" applyAlignment="1">
      <alignment horizontal="center"/>
    </xf>
    <xf numFmtId="0" fontId="44" fillId="4" borderId="2" xfId="26" applyNumberFormat="1" applyFont="1" applyFill="1" applyBorder="1" applyAlignment="1">
      <alignment horizontal="center"/>
    </xf>
    <xf numFmtId="168" fontId="44" fillId="4" borderId="3" xfId="26" applyNumberFormat="1" applyFont="1" applyFill="1" applyBorder="1" applyAlignment="1">
      <alignment horizontal="center"/>
    </xf>
    <xf numFmtId="3" fontId="44" fillId="4" borderId="24" xfId="26" applyNumberFormat="1" applyFont="1" applyFill="1" applyBorder="1" applyAlignment="1">
      <alignment horizontal="center"/>
    </xf>
    <xf numFmtId="168" fontId="44" fillId="4" borderId="25" xfId="26" applyNumberFormat="1" applyFont="1" applyFill="1" applyBorder="1" applyAlignment="1">
      <alignment horizontal="center"/>
    </xf>
    <xf numFmtId="3" fontId="44" fillId="4" borderId="31" xfId="26" applyNumberFormat="1" applyFont="1" applyFill="1" applyBorder="1"/>
    <xf numFmtId="3" fontId="44" fillId="4" borderId="32" xfId="26" applyNumberFormat="1" applyFont="1" applyFill="1" applyBorder="1"/>
    <xf numFmtId="168" fontId="44" fillId="4" borderId="25" xfId="85" applyNumberFormat="1" applyFont="1" applyFill="1" applyBorder="1" applyAlignment="1">
      <alignment horizontal="right"/>
    </xf>
    <xf numFmtId="3" fontId="44" fillId="4" borderId="33" xfId="26" applyNumberFormat="1" applyFont="1" applyFill="1" applyBorder="1"/>
    <xf numFmtId="168" fontId="44" fillId="4" borderId="25" xfId="85" applyNumberFormat="1" applyFont="1" applyFill="1" applyBorder="1"/>
    <xf numFmtId="3" fontId="44" fillId="4" borderId="25" xfId="26" applyNumberFormat="1" applyFont="1" applyFill="1" applyBorder="1" applyAlignment="1">
      <alignment horizontal="center"/>
    </xf>
    <xf numFmtId="3" fontId="63" fillId="0" borderId="0" xfId="26" applyNumberFormat="1" applyFont="1" applyFill="1" applyBorder="1" applyAlignment="1">
      <alignment horizontal="right" vertical="top"/>
    </xf>
    <xf numFmtId="0" fontId="53" fillId="0" borderId="0" xfId="0" applyFont="1" applyFill="1" applyBorder="1" applyAlignment="1">
      <alignment horizontal="right" vertical="top"/>
    </xf>
    <xf numFmtId="3" fontId="63" fillId="0" borderId="2" xfId="26" applyNumberFormat="1" applyFont="1" applyFill="1" applyBorder="1" applyAlignment="1">
      <alignment horizontal="right" vertical="top"/>
    </xf>
    <xf numFmtId="0" fontId="53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44" fillId="2" borderId="45" xfId="26" quotePrefix="1" applyNumberFormat="1" applyFont="1" applyFill="1" applyBorder="1" applyAlignment="1">
      <alignment horizontal="center"/>
    </xf>
    <xf numFmtId="171" fontId="44" fillId="2" borderId="9" xfId="26" quotePrefix="1" applyNumberFormat="1" applyFont="1" applyFill="1" applyBorder="1" applyAlignment="1">
      <alignment horizontal="center"/>
    </xf>
    <xf numFmtId="171" fontId="44" fillId="2" borderId="47" xfId="26" quotePrefix="1" applyNumberFormat="1" applyFont="1" applyFill="1" applyBorder="1" applyAlignment="1">
      <alignment horizontal="center"/>
    </xf>
    <xf numFmtId="0" fontId="39" fillId="2" borderId="35" xfId="26" applyFont="1" applyFill="1" applyBorder="1"/>
    <xf numFmtId="0" fontId="3" fillId="2" borderId="66" xfId="33" applyFont="1" applyFill="1" applyBorder="1" applyAlignment="1">
      <alignment horizontal="center" vertical="center"/>
    </xf>
    <xf numFmtId="9" fontId="3" fillId="0" borderId="70" xfId="53" applyNumberFormat="1" applyFont="1" applyFill="1" applyBorder="1"/>
    <xf numFmtId="0" fontId="35" fillId="3" borderId="10" xfId="1" applyFill="1" applyBorder="1"/>
    <xf numFmtId="0" fontId="45" fillId="0" borderId="30" xfId="0" applyFont="1" applyBorder="1" applyAlignment="1"/>
    <xf numFmtId="0" fontId="35" fillId="3" borderId="5" xfId="1" applyFill="1" applyBorder="1"/>
    <xf numFmtId="0" fontId="45" fillId="5" borderId="7" xfId="0" applyFont="1" applyFill="1" applyBorder="1"/>
    <xf numFmtId="0" fontId="35" fillId="6" borderId="5" xfId="1" applyFill="1" applyBorder="1"/>
    <xf numFmtId="0" fontId="45" fillId="5" borderId="12" xfId="0" applyFont="1" applyFill="1" applyBorder="1"/>
    <xf numFmtId="0" fontId="35" fillId="6" borderId="64" xfId="1" applyFill="1" applyBorder="1"/>
    <xf numFmtId="0" fontId="45" fillId="5" borderId="27" xfId="0" applyFont="1" applyFill="1" applyBorder="1"/>
    <xf numFmtId="0" fontId="45" fillId="5" borderId="42" xfId="0" applyFont="1" applyFill="1" applyBorder="1"/>
    <xf numFmtId="0" fontId="35" fillId="2" borderId="5" xfId="1" applyFill="1" applyBorder="1"/>
    <xf numFmtId="0" fontId="45" fillId="5" borderId="49" xfId="0" applyFont="1" applyFill="1" applyBorder="1"/>
    <xf numFmtId="0" fontId="35" fillId="4" borderId="5" xfId="1" applyFill="1" applyBorder="1"/>
    <xf numFmtId="9" fontId="47" fillId="0" borderId="7" xfId="0" applyNumberFormat="1" applyFont="1" applyFill="1" applyBorder="1" applyAlignment="1">
      <alignment horizontal="right" vertical="top"/>
    </xf>
    <xf numFmtId="9" fontId="47" fillId="0" borderId="12" xfId="0" applyNumberFormat="1" applyFont="1" applyFill="1" applyBorder="1" applyAlignment="1">
      <alignment horizontal="right" vertical="top"/>
    </xf>
    <xf numFmtId="9" fontId="49" fillId="0" borderId="12" xfId="0" applyNumberFormat="1" applyFont="1" applyFill="1" applyBorder="1" applyAlignment="1">
      <alignment horizontal="right" vertical="top"/>
    </xf>
    <xf numFmtId="9" fontId="47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9" fillId="0" borderId="0" xfId="76" applyFont="1" applyFill="1"/>
    <xf numFmtId="0" fontId="39" fillId="0" borderId="0" xfId="26" applyFont="1" applyFill="1" applyBorder="1" applyAlignment="1"/>
    <xf numFmtId="0" fontId="39" fillId="0" borderId="2" xfId="76" applyFont="1" applyFill="1" applyBorder="1" applyAlignment="1"/>
    <xf numFmtId="0" fontId="44" fillId="2" borderId="69" xfId="53" applyFont="1" applyFill="1" applyBorder="1" applyAlignment="1">
      <alignment horizontal="right"/>
    </xf>
    <xf numFmtId="165" fontId="44" fillId="0" borderId="74" xfId="53" applyNumberFormat="1" applyFont="1" applyFill="1" applyBorder="1"/>
    <xf numFmtId="165" fontId="44" fillId="0" borderId="75" xfId="53" applyNumberFormat="1" applyFont="1" applyFill="1" applyBorder="1"/>
    <xf numFmtId="9" fontId="44" fillId="0" borderId="76" xfId="82" applyNumberFormat="1" applyFont="1" applyFill="1" applyBorder="1"/>
    <xf numFmtId="170" fontId="44" fillId="0" borderId="74" xfId="53" applyNumberFormat="1" applyFont="1" applyFill="1" applyBorder="1"/>
    <xf numFmtId="170" fontId="44" fillId="0" borderId="75" xfId="53" applyNumberFormat="1" applyFont="1" applyFill="1" applyBorder="1"/>
    <xf numFmtId="3" fontId="44" fillId="0" borderId="76" xfId="82" applyNumberFormat="1" applyFont="1" applyFill="1" applyBorder="1"/>
    <xf numFmtId="3" fontId="39" fillId="0" borderId="0" xfId="76" applyNumberFormat="1" applyFont="1" applyFill="1"/>
    <xf numFmtId="9" fontId="39" fillId="0" borderId="0" xfId="76" applyNumberFormat="1" applyFont="1" applyFill="1"/>
    <xf numFmtId="170" fontId="39" fillId="0" borderId="0" xfId="76" applyNumberFormat="1" applyFont="1" applyFill="1"/>
    <xf numFmtId="0" fontId="0" fillId="0" borderId="0" xfId="0" applyAlignment="1"/>
    <xf numFmtId="0" fontId="39" fillId="0" borderId="49" xfId="26" applyFont="1" applyFill="1" applyBorder="1" applyAlignment="1">
      <alignment horizontal="right"/>
    </xf>
    <xf numFmtId="3" fontId="40" fillId="0" borderId="0" xfId="26" applyNumberFormat="1" applyFont="1" applyFill="1" applyBorder="1" applyAlignment="1">
      <alignment horizontal="right"/>
    </xf>
    <xf numFmtId="171" fontId="39" fillId="0" borderId="45" xfId="26" quotePrefix="1" applyNumberFormat="1" applyFont="1" applyFill="1" applyBorder="1" applyAlignment="1">
      <alignment horizontal="right"/>
    </xf>
    <xf numFmtId="171" fontId="39" fillId="0" borderId="9" xfId="26" quotePrefix="1" applyNumberFormat="1" applyFont="1" applyFill="1" applyBorder="1" applyAlignment="1">
      <alignment horizontal="right"/>
    </xf>
    <xf numFmtId="171" fontId="39" fillId="0" borderId="47" xfId="26" quotePrefix="1" applyNumberFormat="1" applyFont="1" applyFill="1" applyBorder="1" applyAlignment="1">
      <alignment horizontal="right"/>
    </xf>
    <xf numFmtId="0" fontId="39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55" fillId="0" borderId="0" xfId="78" applyNumberFormat="1" applyFont="1" applyFill="1" applyBorder="1" applyAlignment="1"/>
    <xf numFmtId="3" fontId="55" fillId="0" borderId="0" xfId="78" applyNumberFormat="1" applyFont="1" applyFill="1" applyBorder="1" applyAlignment="1"/>
    <xf numFmtId="3" fontId="44" fillId="0" borderId="34" xfId="53" applyNumberFormat="1" applyFont="1" applyFill="1" applyBorder="1"/>
    <xf numFmtId="3" fontId="44" fillId="0" borderId="30" xfId="53" applyNumberFormat="1" applyFont="1" applyFill="1" applyBorder="1"/>
    <xf numFmtId="0" fontId="0" fillId="0" borderId="0" xfId="0" applyBorder="1" applyAlignment="1"/>
    <xf numFmtId="165" fontId="44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9" xfId="0" applyFont="1" applyFill="1" applyBorder="1" applyAlignment="1"/>
    <xf numFmtId="0" fontId="33" fillId="0" borderId="0" xfId="0" applyFont="1" applyFill="1"/>
    <xf numFmtId="16" fontId="33" fillId="0" borderId="0" xfId="0" quotePrefix="1" applyNumberFormat="1" applyFont="1" applyFill="1"/>
    <xf numFmtId="0" fontId="33" fillId="0" borderId="0" xfId="0" quotePrefix="1" applyFont="1" applyFill="1"/>
    <xf numFmtId="172" fontId="33" fillId="0" borderId="0" xfId="0" applyNumberFormat="1" applyFont="1" applyFill="1"/>
    <xf numFmtId="173" fontId="33" fillId="0" borderId="0" xfId="0" applyNumberFormat="1" applyFont="1" applyFill="1"/>
    <xf numFmtId="3" fontId="33" fillId="0" borderId="0" xfId="0" applyNumberFormat="1" applyFont="1" applyFill="1"/>
    <xf numFmtId="0" fontId="3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170" fontId="0" fillId="0" borderId="0" xfId="0" applyNumberFormat="1" applyFill="1"/>
    <xf numFmtId="3" fontId="56" fillId="0" borderId="49" xfId="0" applyNumberFormat="1" applyFont="1" applyFill="1" applyBorder="1" applyAlignment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9" fontId="56" fillId="0" borderId="49" xfId="0" applyNumberFormat="1" applyFont="1" applyFill="1" applyBorder="1" applyAlignment="1"/>
    <xf numFmtId="0" fontId="44" fillId="2" borderId="49" xfId="0" applyNumberFormat="1" applyFont="1" applyFill="1" applyBorder="1" applyAlignment="1">
      <alignment horizontal="center"/>
    </xf>
    <xf numFmtId="3" fontId="3" fillId="0" borderId="73" xfId="53" applyNumberFormat="1" applyFont="1" applyFill="1" applyBorder="1"/>
    <xf numFmtId="3" fontId="3" fillId="0" borderId="78" xfId="53" applyNumberFormat="1" applyFont="1" applyFill="1" applyBorder="1"/>
    <xf numFmtId="0" fontId="45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14" fillId="0" borderId="42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0" fillId="0" borderId="0" xfId="0" applyBorder="1"/>
    <xf numFmtId="3" fontId="34" fillId="2" borderId="53" xfId="0" applyNumberFormat="1" applyFont="1" applyFill="1" applyBorder="1"/>
    <xf numFmtId="3" fontId="34" fillId="2" borderId="55" xfId="0" applyNumberFormat="1" applyFont="1" applyFill="1" applyBorder="1"/>
    <xf numFmtId="9" fontId="34" fillId="2" borderId="65" xfId="0" applyNumberFormat="1" applyFont="1" applyFill="1" applyBorder="1"/>
    <xf numFmtId="0" fontId="34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34" fillId="2" borderId="58" xfId="0" applyFont="1" applyFill="1" applyBorder="1" applyAlignment="1"/>
    <xf numFmtId="0" fontId="34" fillId="2" borderId="39" xfId="0" applyFont="1" applyFill="1" applyBorder="1" applyAlignment="1">
      <alignment horizontal="left" indent="2"/>
    </xf>
    <xf numFmtId="0" fontId="34" fillId="4" borderId="40" xfId="0" applyFont="1" applyFill="1" applyBorder="1" applyAlignment="1">
      <alignment horizontal="left" indent="2"/>
    </xf>
    <xf numFmtId="0" fontId="34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2" xfId="0" applyNumberFormat="1" applyBorder="1" applyAlignment="1"/>
    <xf numFmtId="9" fontId="0" fillId="4" borderId="25" xfId="0" applyNumberFormat="1" applyFill="1" applyBorder="1" applyAlignment="1"/>
    <xf numFmtId="9" fontId="0" fillId="0" borderId="49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34" fillId="0" borderId="42" xfId="0" applyFont="1" applyFill="1" applyBorder="1" applyAlignment="1">
      <alignment horizontal="left" indent="2"/>
    </xf>
    <xf numFmtId="0" fontId="0" fillId="0" borderId="42" xfId="0" applyBorder="1" applyAlignment="1"/>
    <xf numFmtId="3" fontId="0" fillId="0" borderId="42" xfId="0" applyNumberFormat="1" applyBorder="1" applyAlignment="1"/>
    <xf numFmtId="9" fontId="0" fillId="0" borderId="11" xfId="0" applyNumberFormat="1" applyBorder="1" applyAlignment="1">
      <alignment horizontal="right"/>
    </xf>
    <xf numFmtId="0" fontId="35" fillId="2" borderId="22" xfId="1" applyFill="1" applyBorder="1"/>
    <xf numFmtId="0" fontId="35" fillId="0" borderId="0" xfId="1" applyFill="1"/>
    <xf numFmtId="0" fontId="35" fillId="4" borderId="38" xfId="1" applyFill="1" applyBorder="1"/>
    <xf numFmtId="0" fontId="35" fillId="4" borderId="22" xfId="1" applyFill="1" applyBorder="1"/>
    <xf numFmtId="0" fontId="35" fillId="2" borderId="39" xfId="1" applyFill="1" applyBorder="1" applyAlignment="1">
      <alignment horizontal="left" indent="2"/>
    </xf>
    <xf numFmtId="0" fontId="35" fillId="2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indent="2"/>
    </xf>
    <xf numFmtId="0" fontId="35" fillId="4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wrapText="1" indent="2"/>
    </xf>
    <xf numFmtId="0" fontId="67" fillId="2" borderId="39" xfId="1" applyFont="1" applyFill="1" applyBorder="1" applyAlignment="1">
      <alignment horizontal="left" indent="2"/>
    </xf>
    <xf numFmtId="0" fontId="67" fillId="2" borderId="39" xfId="1" applyFont="1" applyFill="1" applyBorder="1" applyAlignment="1"/>
    <xf numFmtId="0" fontId="68" fillId="3" borderId="23" xfId="1" applyFont="1" applyFill="1" applyBorder="1"/>
    <xf numFmtId="0" fontId="68" fillId="2" borderId="39" xfId="1" applyFont="1" applyFill="1" applyBorder="1" applyAlignment="1"/>
    <xf numFmtId="0" fontId="68" fillId="4" borderId="23" xfId="1" applyFont="1" applyFill="1" applyBorder="1" applyAlignment="1">
      <alignment horizontal="left"/>
    </xf>
    <xf numFmtId="0" fontId="68" fillId="2" borderId="23" xfId="1" applyFont="1" applyFill="1" applyBorder="1" applyAlignment="1"/>
    <xf numFmtId="0" fontId="68" fillId="4" borderId="58" xfId="1" applyFont="1" applyFill="1" applyBorder="1" applyAlignment="1">
      <alignment horizontal="left"/>
    </xf>
    <xf numFmtId="0" fontId="68" fillId="4" borderId="39" xfId="1" applyFont="1" applyFill="1" applyBorder="1" applyAlignment="1">
      <alignment horizontal="left"/>
    </xf>
    <xf numFmtId="0" fontId="34" fillId="2" borderId="31" xfId="0" applyFont="1" applyFill="1" applyBorder="1" applyAlignment="1">
      <alignment horizontal="right"/>
    </xf>
    <xf numFmtId="170" fontId="34" fillId="0" borderId="24" xfId="0" applyNumberFormat="1" applyFont="1" applyFill="1" applyBorder="1" applyAlignment="1"/>
    <xf numFmtId="170" fontId="34" fillId="0" borderId="32" xfId="0" applyNumberFormat="1" applyFont="1" applyFill="1" applyBorder="1" applyAlignment="1"/>
    <xf numFmtId="9" fontId="34" fillId="0" borderId="52" xfId="0" applyNumberFormat="1" applyFont="1" applyFill="1" applyBorder="1" applyAlignment="1"/>
    <xf numFmtId="9" fontId="34" fillId="0" borderId="25" xfId="0" applyNumberFormat="1" applyFont="1" applyFill="1" applyBorder="1" applyAlignment="1"/>
    <xf numFmtId="170" fontId="34" fillId="0" borderId="33" xfId="0" applyNumberFormat="1" applyFont="1" applyFill="1" applyBorder="1" applyAlignment="1"/>
    <xf numFmtId="0" fontId="52" fillId="3" borderId="31" xfId="0" applyFont="1" applyFill="1" applyBorder="1" applyAlignment="1"/>
    <xf numFmtId="0" fontId="0" fillId="0" borderId="43" xfId="0" applyBorder="1" applyAlignment="1"/>
    <xf numFmtId="0" fontId="52" fillId="2" borderId="31" xfId="0" applyFont="1" applyFill="1" applyBorder="1" applyAlignment="1"/>
    <xf numFmtId="0" fontId="52" fillId="4" borderId="31" xfId="0" applyFont="1" applyFill="1" applyBorder="1" applyAlignment="1"/>
    <xf numFmtId="0" fontId="56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7" fillId="5" borderId="21" xfId="80" applyFont="1" applyFill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44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44" fillId="2" borderId="26" xfId="8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45" fillId="0" borderId="0" xfId="0" applyFont="1" applyFill="1"/>
    <xf numFmtId="0" fontId="2" fillId="0" borderId="2" xfId="0" applyFont="1" applyFill="1" applyBorder="1" applyAlignment="1"/>
    <xf numFmtId="0" fontId="51" fillId="2" borderId="29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59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45" fillId="2" borderId="10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51" fillId="2" borderId="34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32" fillId="0" borderId="2" xfId="14" applyFill="1" applyBorder="1" applyAlignment="1"/>
    <xf numFmtId="165" fontId="44" fillId="0" borderId="0" xfId="53" applyNumberFormat="1" applyFont="1" applyFill="1" applyBorder="1" applyAlignment="1">
      <alignment horizontal="center"/>
    </xf>
    <xf numFmtId="165" fontId="39" fillId="0" borderId="0" xfId="79" applyNumberFormat="1" applyFont="1" applyFill="1" applyBorder="1" applyAlignment="1">
      <alignment horizontal="center"/>
    </xf>
    <xf numFmtId="165" fontId="44" fillId="2" borderId="29" xfId="53" applyNumberFormat="1" applyFont="1" applyFill="1" applyBorder="1" applyAlignment="1">
      <alignment horizontal="right"/>
    </xf>
    <xf numFmtId="165" fontId="39" fillId="2" borderId="34" xfId="79" applyNumberFormat="1" applyFont="1" applyFill="1" applyBorder="1" applyAlignment="1">
      <alignment horizontal="right"/>
    </xf>
    <xf numFmtId="165" fontId="60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38" fillId="2" borderId="67" xfId="78" applyNumberFormat="1" applyFont="1" applyFill="1" applyBorder="1" applyAlignment="1">
      <alignment horizontal="left"/>
    </xf>
    <xf numFmtId="0" fontId="45" fillId="2" borderId="54" xfId="0" applyFont="1" applyFill="1" applyBorder="1" applyAlignment="1"/>
    <xf numFmtId="3" fontId="38" fillId="2" borderId="56" xfId="78" applyNumberFormat="1" applyFont="1" applyFill="1" applyBorder="1" applyAlignment="1"/>
    <xf numFmtId="0" fontId="52" fillId="2" borderId="67" xfId="0" applyFont="1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0" fontId="0" fillId="2" borderId="54" xfId="0" applyFill="1" applyBorder="1" applyAlignment="1">
      <alignment horizontal="left"/>
    </xf>
    <xf numFmtId="0" fontId="52" fillId="2" borderId="56" xfId="0" applyFont="1" applyFill="1" applyBorder="1" applyAlignment="1">
      <alignment horizontal="left"/>
    </xf>
    <xf numFmtId="3" fontId="52" fillId="2" borderId="56" xfId="0" applyNumberFormat="1" applyFont="1" applyFill="1" applyBorder="1" applyAlignment="1">
      <alignment horizontal="left"/>
    </xf>
    <xf numFmtId="3" fontId="0" fillId="2" borderId="50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2" fillId="0" borderId="2" xfId="26" applyFont="1" applyFill="1" applyBorder="1" applyAlignment="1"/>
    <xf numFmtId="0" fontId="4" fillId="0" borderId="2" xfId="26" applyFill="1" applyBorder="1" applyAlignment="1"/>
    <xf numFmtId="0" fontId="34" fillId="2" borderId="65" xfId="0" applyFont="1" applyFill="1" applyBorder="1" applyAlignment="1">
      <alignment vertical="center"/>
    </xf>
    <xf numFmtId="3" fontId="44" fillId="2" borderId="67" xfId="26" applyNumberFormat="1" applyFont="1" applyFill="1" applyBorder="1" applyAlignment="1">
      <alignment horizontal="center"/>
    </xf>
    <xf numFmtId="3" fontId="44" fillId="2" borderId="49" xfId="26" applyNumberFormat="1" applyFont="1" applyFill="1" applyBorder="1" applyAlignment="1">
      <alignment horizontal="center"/>
    </xf>
    <xf numFmtId="3" fontId="44" fillId="2" borderId="50" xfId="26" applyNumberFormat="1" applyFont="1" applyFill="1" applyBorder="1" applyAlignment="1">
      <alignment horizontal="center"/>
    </xf>
    <xf numFmtId="3" fontId="44" fillId="2" borderId="50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top" wrapText="1"/>
    </xf>
    <xf numFmtId="0" fontId="44" fillId="2" borderId="35" xfId="0" applyFont="1" applyFill="1" applyBorder="1" applyAlignment="1">
      <alignment horizontal="center" vertical="top"/>
    </xf>
    <xf numFmtId="49" fontId="44" fillId="2" borderId="35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center"/>
    </xf>
    <xf numFmtId="0" fontId="44" fillId="2" borderId="67" xfId="0" quotePrefix="1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/>
    </xf>
    <xf numFmtId="0" fontId="61" fillId="2" borderId="50" xfId="0" applyNumberFormat="1" applyFont="1" applyFill="1" applyBorder="1" applyAlignment="1">
      <alignment horizontal="center" vertical="top"/>
    </xf>
    <xf numFmtId="3" fontId="63" fillId="0" borderId="49" xfId="26" applyNumberFormat="1" applyFont="1" applyFill="1" applyBorder="1" applyAlignment="1">
      <alignment horizontal="right" vertical="top"/>
    </xf>
    <xf numFmtId="0" fontId="53" fillId="0" borderId="49" xfId="0" applyFont="1" applyFill="1" applyBorder="1" applyAlignment="1">
      <alignment horizontal="right" vertical="top"/>
    </xf>
    <xf numFmtId="3" fontId="64" fillId="4" borderId="67" xfId="26" applyNumberFormat="1" applyFont="1" applyFill="1" applyBorder="1" applyAlignment="1">
      <alignment horizontal="center" vertical="center" wrapText="1"/>
    </xf>
    <xf numFmtId="3" fontId="64" fillId="4" borderId="1" xfId="26" applyNumberFormat="1" applyFont="1" applyFill="1" applyBorder="1" applyAlignment="1">
      <alignment horizontal="center" vertical="center" wrapText="1"/>
    </xf>
    <xf numFmtId="3" fontId="44" fillId="4" borderId="67" xfId="26" applyNumberFormat="1" applyFont="1" applyFill="1" applyBorder="1" applyAlignment="1">
      <alignment horizontal="center"/>
    </xf>
    <xf numFmtId="3" fontId="44" fillId="4" borderId="49" xfId="26" applyNumberFormat="1" applyFont="1" applyFill="1" applyBorder="1" applyAlignment="1">
      <alignment horizontal="center"/>
    </xf>
    <xf numFmtId="3" fontId="44" fillId="4" borderId="50" xfId="26" applyNumberFormat="1" applyFont="1" applyFill="1" applyBorder="1" applyAlignment="1">
      <alignment horizontal="center"/>
    </xf>
    <xf numFmtId="3" fontId="64" fillId="3" borderId="67" xfId="26" applyNumberFormat="1" applyFont="1" applyFill="1" applyBorder="1" applyAlignment="1">
      <alignment horizontal="center" vertical="center"/>
    </xf>
    <xf numFmtId="3" fontId="64" fillId="3" borderId="1" xfId="26" applyNumberFormat="1" applyFont="1" applyFill="1" applyBorder="1" applyAlignment="1">
      <alignment horizontal="center" vertical="center"/>
    </xf>
    <xf numFmtId="3" fontId="44" fillId="3" borderId="67" xfId="26" applyNumberFormat="1" applyFont="1" applyFill="1" applyBorder="1" applyAlignment="1">
      <alignment horizontal="center"/>
    </xf>
    <xf numFmtId="3" fontId="44" fillId="3" borderId="49" xfId="26" applyNumberFormat="1" applyFont="1" applyFill="1" applyBorder="1" applyAlignment="1">
      <alignment horizontal="center"/>
    </xf>
    <xf numFmtId="3" fontId="44" fillId="3" borderId="50" xfId="26" applyNumberFormat="1" applyFont="1" applyFill="1" applyBorder="1" applyAlignment="1">
      <alignment horizontal="center"/>
    </xf>
    <xf numFmtId="3" fontId="64" fillId="6" borderId="67" xfId="26" applyNumberFormat="1" applyFont="1" applyFill="1" applyBorder="1" applyAlignment="1">
      <alignment horizontal="center" vertical="center" wrapText="1"/>
    </xf>
    <xf numFmtId="3" fontId="64" fillId="6" borderId="1" xfId="26" applyNumberFormat="1" applyFont="1" applyFill="1" applyBorder="1" applyAlignment="1">
      <alignment horizontal="center" vertical="center" wrapText="1"/>
    </xf>
    <xf numFmtId="3" fontId="44" fillId="6" borderId="67" xfId="26" applyNumberFormat="1" applyFont="1" applyFill="1" applyBorder="1" applyAlignment="1">
      <alignment horizontal="center"/>
    </xf>
    <xf numFmtId="3" fontId="44" fillId="6" borderId="49" xfId="26" applyNumberFormat="1" applyFont="1" applyFill="1" applyBorder="1" applyAlignment="1">
      <alignment horizontal="center"/>
    </xf>
    <xf numFmtId="3" fontId="44" fillId="6" borderId="50" xfId="26" applyNumberFormat="1" applyFont="1" applyFill="1" applyBorder="1" applyAlignment="1">
      <alignment horizontal="center"/>
    </xf>
    <xf numFmtId="3" fontId="63" fillId="5" borderId="20" xfId="26" applyNumberFormat="1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3" fontId="63" fillId="0" borderId="20" xfId="26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8" fontId="65" fillId="5" borderId="20" xfId="26" applyNumberFormat="1" applyFont="1" applyFill="1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64" fillId="2" borderId="35" xfId="26" applyNumberFormat="1" applyFont="1" applyFill="1" applyBorder="1" applyAlignment="1">
      <alignment horizontal="center" vertical="center"/>
    </xf>
    <xf numFmtId="3" fontId="64" fillId="2" borderId="66" xfId="26" applyNumberFormat="1" applyFont="1" applyFill="1" applyBorder="1" applyAlignment="1">
      <alignment horizontal="center" vertical="center"/>
    </xf>
    <xf numFmtId="0" fontId="56" fillId="0" borderId="2" xfId="14" applyFont="1" applyFill="1" applyBorder="1" applyAlignment="1"/>
    <xf numFmtId="3" fontId="3" fillId="2" borderId="67" xfId="27" applyNumberFormat="1" applyFont="1" applyFill="1" applyBorder="1" applyAlignment="1">
      <alignment horizontal="center"/>
    </xf>
    <xf numFmtId="0" fontId="32" fillId="2" borderId="49" xfId="14" applyFill="1" applyBorder="1" applyAlignment="1">
      <alignment horizontal="center"/>
    </xf>
    <xf numFmtId="0" fontId="32" fillId="2" borderId="50" xfId="14" applyFill="1" applyBorder="1" applyAlignment="1">
      <alignment horizontal="center"/>
    </xf>
    <xf numFmtId="3" fontId="3" fillId="2" borderId="67" xfId="24" applyNumberFormat="1" applyFont="1" applyFill="1" applyBorder="1" applyAlignment="1">
      <alignment horizontal="center"/>
    </xf>
    <xf numFmtId="0" fontId="4" fillId="2" borderId="49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67" xfId="26" applyNumberFormat="1" applyFont="1" applyFill="1" applyBorder="1" applyAlignment="1">
      <alignment horizontal="center"/>
    </xf>
    <xf numFmtId="3" fontId="3" fillId="2" borderId="50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67" xfId="26" quotePrefix="1" applyNumberFormat="1" applyFont="1" applyFill="1" applyBorder="1" applyAlignment="1">
      <alignment horizontal="center" vertical="top"/>
    </xf>
    <xf numFmtId="169" fontId="3" fillId="2" borderId="49" xfId="26" applyNumberFormat="1" applyFont="1" applyFill="1" applyBorder="1" applyAlignment="1">
      <alignment horizontal="center" vertical="top"/>
    </xf>
    <xf numFmtId="169" fontId="3" fillId="2" borderId="50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44" fillId="2" borderId="35" xfId="0" applyFont="1" applyFill="1" applyBorder="1" applyAlignment="1">
      <alignment vertical="center" wrapText="1"/>
    </xf>
    <xf numFmtId="0" fontId="60" fillId="0" borderId="2" xfId="26" applyFont="1" applyFill="1" applyBorder="1" applyAlignment="1"/>
    <xf numFmtId="0" fontId="39" fillId="0" borderId="2" xfId="26" applyFont="1" applyFill="1" applyBorder="1" applyAlignment="1"/>
    <xf numFmtId="3" fontId="44" fillId="2" borderId="53" xfId="76" applyNumberFormat="1" applyFont="1" applyFill="1" applyBorder="1" applyAlignment="1">
      <alignment horizontal="center" vertical="center"/>
    </xf>
    <xf numFmtId="3" fontId="44" fillId="2" borderId="55" xfId="76" applyNumberFormat="1" applyFont="1" applyFill="1" applyBorder="1" applyAlignment="1">
      <alignment horizontal="center" vertical="center"/>
    </xf>
    <xf numFmtId="3" fontId="44" fillId="2" borderId="6" xfId="76" applyNumberFormat="1" applyFont="1" applyFill="1" applyBorder="1" applyAlignment="1">
      <alignment horizontal="center"/>
    </xf>
    <xf numFmtId="3" fontId="44" fillId="2" borderId="77" xfId="76" applyNumberFormat="1" applyFont="1" applyFill="1" applyBorder="1" applyAlignment="1">
      <alignment horizontal="center"/>
    </xf>
    <xf numFmtId="3" fontId="44" fillId="2" borderId="8" xfId="76" applyNumberFormat="1" applyFont="1" applyFill="1" applyBorder="1" applyAlignment="1">
      <alignment horizontal="center"/>
    </xf>
    <xf numFmtId="3" fontId="44" fillId="2" borderId="7" xfId="76" applyNumberFormat="1" applyFont="1" applyFill="1" applyBorder="1" applyAlignment="1">
      <alignment horizontal="center"/>
    </xf>
    <xf numFmtId="0" fontId="69" fillId="0" borderId="0" xfId="1" applyFont="1" applyFill="1"/>
    <xf numFmtId="3" fontId="46" fillId="8" borderId="80" xfId="0" applyNumberFormat="1" applyFont="1" applyFill="1" applyBorder="1" applyAlignment="1">
      <alignment horizontal="right" vertical="top"/>
    </xf>
    <xf numFmtId="3" fontId="46" fillId="8" borderId="81" xfId="0" applyNumberFormat="1" applyFont="1" applyFill="1" applyBorder="1" applyAlignment="1">
      <alignment horizontal="right" vertical="top"/>
    </xf>
    <xf numFmtId="174" fontId="46" fillId="8" borderId="82" xfId="0" applyNumberFormat="1" applyFont="1" applyFill="1" applyBorder="1" applyAlignment="1">
      <alignment horizontal="right" vertical="top"/>
    </xf>
    <xf numFmtId="3" fontId="46" fillId="0" borderId="80" xfId="0" applyNumberFormat="1" applyFont="1" applyBorder="1" applyAlignment="1">
      <alignment horizontal="right" vertical="top"/>
    </xf>
    <xf numFmtId="174" fontId="46" fillId="8" borderId="83" xfId="0" applyNumberFormat="1" applyFont="1" applyFill="1" applyBorder="1" applyAlignment="1">
      <alignment horizontal="right" vertical="top"/>
    </xf>
    <xf numFmtId="3" fontId="48" fillId="8" borderId="85" xfId="0" applyNumberFormat="1" applyFont="1" applyFill="1" applyBorder="1" applyAlignment="1">
      <alignment horizontal="right" vertical="top"/>
    </xf>
    <xf numFmtId="3" fontId="48" fillId="8" borderId="86" xfId="0" applyNumberFormat="1" applyFont="1" applyFill="1" applyBorder="1" applyAlignment="1">
      <alignment horizontal="right" vertical="top"/>
    </xf>
    <xf numFmtId="174" fontId="48" fillId="8" borderId="87" xfId="0" applyNumberFormat="1" applyFont="1" applyFill="1" applyBorder="1" applyAlignment="1">
      <alignment horizontal="right" vertical="top"/>
    </xf>
    <xf numFmtId="3" fontId="48" fillId="0" borderId="85" xfId="0" applyNumberFormat="1" applyFont="1" applyBorder="1" applyAlignment="1">
      <alignment horizontal="right" vertical="top"/>
    </xf>
    <xf numFmtId="0" fontId="48" fillId="8" borderId="88" xfId="0" applyFont="1" applyFill="1" applyBorder="1" applyAlignment="1">
      <alignment horizontal="right" vertical="top"/>
    </xf>
    <xf numFmtId="0" fontId="46" fillId="8" borderId="83" xfId="0" applyFont="1" applyFill="1" applyBorder="1" applyAlignment="1">
      <alignment horizontal="right" vertical="top"/>
    </xf>
    <xf numFmtId="174" fontId="48" fillId="8" borderId="88" xfId="0" applyNumberFormat="1" applyFont="1" applyFill="1" applyBorder="1" applyAlignment="1">
      <alignment horizontal="right" vertical="top"/>
    </xf>
    <xf numFmtId="0" fontId="46" fillId="8" borderId="82" xfId="0" applyFont="1" applyFill="1" applyBorder="1" applyAlignment="1">
      <alignment horizontal="right" vertical="top"/>
    </xf>
    <xf numFmtId="0" fontId="48" fillId="8" borderId="87" xfId="0" applyFont="1" applyFill="1" applyBorder="1" applyAlignment="1">
      <alignment horizontal="right" vertical="top"/>
    </xf>
    <xf numFmtId="3" fontId="48" fillId="0" borderId="89" xfId="0" applyNumberFormat="1" applyFont="1" applyBorder="1" applyAlignment="1">
      <alignment horizontal="right" vertical="top"/>
    </xf>
    <xf numFmtId="3" fontId="48" fillId="0" borderId="90" xfId="0" applyNumberFormat="1" applyFont="1" applyBorder="1" applyAlignment="1">
      <alignment horizontal="right" vertical="top"/>
    </xf>
    <xf numFmtId="0" fontId="48" fillId="0" borderId="91" xfId="0" applyFont="1" applyBorder="1" applyAlignment="1">
      <alignment horizontal="right" vertical="top"/>
    </xf>
    <xf numFmtId="174" fontId="48" fillId="8" borderId="92" xfId="0" applyNumberFormat="1" applyFont="1" applyFill="1" applyBorder="1" applyAlignment="1">
      <alignment horizontal="right" vertical="top"/>
    </xf>
    <xf numFmtId="0" fontId="50" fillId="9" borderId="79" xfId="0" applyFont="1" applyFill="1" applyBorder="1" applyAlignment="1">
      <alignment vertical="top"/>
    </xf>
    <xf numFmtId="0" fontId="50" fillId="9" borderId="79" xfId="0" applyFont="1" applyFill="1" applyBorder="1" applyAlignment="1">
      <alignment vertical="top" indent="2"/>
    </xf>
    <xf numFmtId="0" fontId="50" fillId="9" borderId="79" xfId="0" applyFont="1" applyFill="1" applyBorder="1" applyAlignment="1">
      <alignment vertical="top" indent="4"/>
    </xf>
    <xf numFmtId="0" fontId="51" fillId="9" borderId="84" xfId="0" applyFont="1" applyFill="1" applyBorder="1" applyAlignment="1">
      <alignment vertical="top" indent="6"/>
    </xf>
    <xf numFmtId="0" fontId="50" fillId="9" borderId="79" xfId="0" applyFont="1" applyFill="1" applyBorder="1" applyAlignment="1">
      <alignment vertical="top" indent="8"/>
    </xf>
    <xf numFmtId="0" fontId="51" fillId="9" borderId="84" xfId="0" applyFont="1" applyFill="1" applyBorder="1" applyAlignment="1">
      <alignment vertical="top" indent="2"/>
    </xf>
    <xf numFmtId="0" fontId="51" fillId="9" borderId="84" xfId="0" applyFont="1" applyFill="1" applyBorder="1" applyAlignment="1">
      <alignment vertical="top" indent="4"/>
    </xf>
    <xf numFmtId="0" fontId="50" fillId="9" borderId="79" xfId="0" applyFont="1" applyFill="1" applyBorder="1" applyAlignment="1">
      <alignment vertical="top" indent="6"/>
    </xf>
    <xf numFmtId="0" fontId="51" fillId="9" borderId="84" xfId="0" applyFont="1" applyFill="1" applyBorder="1" applyAlignment="1">
      <alignment vertical="top"/>
    </xf>
    <xf numFmtId="0" fontId="45" fillId="9" borderId="79" xfId="0" applyFont="1" applyFill="1" applyBorder="1"/>
    <xf numFmtId="0" fontId="51" fillId="9" borderId="23" xfId="0" applyFont="1" applyFill="1" applyBorder="1" applyAlignment="1">
      <alignment vertical="top"/>
    </xf>
    <xf numFmtId="0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/>
    <xf numFmtId="9" fontId="39" fillId="0" borderId="0" xfId="0" applyNumberFormat="1" applyFont="1" applyFill="1" applyBorder="1"/>
    <xf numFmtId="165" fontId="44" fillId="2" borderId="53" xfId="53" applyNumberFormat="1" applyFont="1" applyFill="1" applyBorder="1" applyAlignment="1">
      <alignment horizontal="left"/>
    </xf>
    <xf numFmtId="165" fontId="44" fillId="2" borderId="55" xfId="53" applyNumberFormat="1" applyFont="1" applyFill="1" applyBorder="1" applyAlignment="1">
      <alignment horizontal="left"/>
    </xf>
    <xf numFmtId="165" fontId="44" fillId="2" borderId="62" xfId="53" applyNumberFormat="1" applyFont="1" applyFill="1" applyBorder="1" applyAlignment="1">
      <alignment horizontal="left"/>
    </xf>
    <xf numFmtId="3" fontId="44" fillId="2" borderId="62" xfId="53" applyNumberFormat="1" applyFont="1" applyFill="1" applyBorder="1" applyAlignment="1">
      <alignment horizontal="left"/>
    </xf>
    <xf numFmtId="3" fontId="44" fillId="2" borderId="68" xfId="53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52" fillId="2" borderId="53" xfId="0" applyFont="1" applyFill="1" applyBorder="1"/>
    <xf numFmtId="3" fontId="52" fillId="2" borderId="63" xfId="0" applyNumberFormat="1" applyFont="1" applyFill="1" applyBorder="1"/>
    <xf numFmtId="9" fontId="52" fillId="2" borderId="61" xfId="0" applyNumberFormat="1" applyFont="1" applyFill="1" applyBorder="1"/>
    <xf numFmtId="3" fontId="52" fillId="2" borderId="68" xfId="0" applyNumberFormat="1" applyFont="1" applyFill="1" applyBorder="1"/>
    <xf numFmtId="9" fontId="0" fillId="0" borderId="34" xfId="0" applyNumberFormat="1" applyFill="1" applyBorder="1"/>
    <xf numFmtId="9" fontId="0" fillId="0" borderId="11" xfId="0" applyNumberFormat="1" applyFill="1" applyBorder="1"/>
    <xf numFmtId="9" fontId="0" fillId="0" borderId="28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34" fillId="9" borderId="24" xfId="0" applyFont="1" applyFill="1" applyBorder="1"/>
    <xf numFmtId="3" fontId="34" fillId="9" borderId="32" xfId="0" applyNumberFormat="1" applyFont="1" applyFill="1" applyBorder="1"/>
    <xf numFmtId="9" fontId="34" fillId="9" borderId="32" xfId="0" applyNumberFormat="1" applyFont="1" applyFill="1" applyBorder="1"/>
    <xf numFmtId="3" fontId="34" fillId="9" borderId="25" xfId="0" applyNumberFormat="1" applyFont="1" applyFill="1" applyBorder="1"/>
    <xf numFmtId="0" fontId="34" fillId="0" borderId="29" xfId="0" applyFont="1" applyFill="1" applyBorder="1"/>
    <xf numFmtId="0" fontId="34" fillId="0" borderId="10" xfId="0" applyFont="1" applyFill="1" applyBorder="1"/>
    <xf numFmtId="0" fontId="34" fillId="0" borderId="14" xfId="0" applyFont="1" applyFill="1" applyBorder="1"/>
    <xf numFmtId="0" fontId="52" fillId="2" borderId="55" xfId="0" applyFont="1" applyFill="1" applyBorder="1"/>
    <xf numFmtId="3" fontId="52" fillId="2" borderId="0" xfId="0" applyNumberFormat="1" applyFont="1" applyFill="1" applyBorder="1"/>
    <xf numFmtId="3" fontId="52" fillId="2" borderId="21" xfId="0" applyNumberFormat="1" applyFont="1" applyFill="1" applyBorder="1"/>
    <xf numFmtId="0" fontId="0" fillId="2" borderId="68" xfId="0" applyFill="1" applyBorder="1" applyAlignment="1">
      <alignment vertical="center"/>
    </xf>
    <xf numFmtId="0" fontId="44" fillId="2" borderId="20" xfId="26" applyNumberFormat="1" applyFont="1" applyFill="1" applyBorder="1"/>
    <xf numFmtId="0" fontId="44" fillId="2" borderId="0" xfId="26" applyNumberFormat="1" applyFont="1" applyFill="1" applyBorder="1"/>
    <xf numFmtId="0" fontId="44" fillId="2" borderId="21" xfId="26" applyNumberFormat="1" applyFont="1" applyFill="1" applyBorder="1" applyAlignment="1">
      <alignment horizontal="right"/>
    </xf>
    <xf numFmtId="170" fontId="0" fillId="0" borderId="34" xfId="0" applyNumberFormat="1" applyFill="1" applyBorder="1"/>
    <xf numFmtId="9" fontId="0" fillId="0" borderId="30" xfId="0" applyNumberFormat="1" applyFill="1" applyBorder="1"/>
    <xf numFmtId="170" fontId="0" fillId="0" borderId="28" xfId="0" applyNumberFormat="1" applyFill="1" applyBorder="1"/>
    <xf numFmtId="9" fontId="0" fillId="0" borderId="27" xfId="0" applyNumberFormat="1" applyFill="1" applyBorder="1"/>
    <xf numFmtId="0" fontId="34" fillId="0" borderId="26" xfId="0" applyFont="1" applyFill="1" applyBorder="1"/>
    <xf numFmtId="0" fontId="44" fillId="2" borderId="36" xfId="0" applyFont="1" applyFill="1" applyBorder="1" applyAlignment="1">
      <alignment horizontal="center" vertical="top"/>
    </xf>
    <xf numFmtId="0" fontId="0" fillId="2" borderId="36" xfId="0" applyFill="1" applyBorder="1" applyAlignment="1">
      <alignment horizontal="center" vertical="top" wrapText="1"/>
    </xf>
    <xf numFmtId="49" fontId="44" fillId="2" borderId="36" xfId="0" applyNumberFormat="1" applyFont="1" applyFill="1" applyBorder="1" applyAlignment="1">
      <alignment horizontal="center" vertical="top"/>
    </xf>
    <xf numFmtId="0" fontId="44" fillId="2" borderId="36" xfId="0" applyFont="1" applyFill="1" applyBorder="1" applyAlignment="1">
      <alignment horizontal="center" vertical="center"/>
    </xf>
    <xf numFmtId="0" fontId="44" fillId="2" borderId="20" xfId="0" applyNumberFormat="1" applyFont="1" applyFill="1" applyBorder="1" applyAlignment="1">
      <alignment horizontal="left"/>
    </xf>
    <xf numFmtId="0" fontId="44" fillId="2" borderId="21" xfId="0" applyNumberFormat="1" applyFont="1" applyFill="1" applyBorder="1" applyAlignment="1">
      <alignment horizontal="left"/>
    </xf>
    <xf numFmtId="0" fontId="44" fillId="2" borderId="0" xfId="0" applyNumberFormat="1" applyFont="1" applyFill="1" applyBorder="1" applyAlignment="1">
      <alignment horizontal="left"/>
    </xf>
    <xf numFmtId="0" fontId="61" fillId="2" borderId="21" xfId="0" applyNumberFormat="1" applyFont="1" applyFill="1" applyBorder="1" applyAlignment="1">
      <alignment horizontal="center" vertical="top"/>
    </xf>
    <xf numFmtId="3" fontId="44" fillId="2" borderId="21" xfId="0" applyNumberFormat="1" applyFont="1" applyFill="1" applyBorder="1" applyAlignment="1">
      <alignment horizontal="center" vertical="top"/>
    </xf>
    <xf numFmtId="167" fontId="5" fillId="0" borderId="93" xfId="0" applyNumberFormat="1" applyFont="1" applyBorder="1" applyAlignment="1">
      <alignment horizontal="right"/>
    </xf>
    <xf numFmtId="167" fontId="5" fillId="0" borderId="51" xfId="0" applyNumberFormat="1" applyFont="1" applyBorder="1" applyAlignment="1">
      <alignment horizontal="right"/>
    </xf>
    <xf numFmtId="3" fontId="15" fillId="0" borderId="93" xfId="0" applyNumberFormat="1" applyFont="1" applyBorder="1" applyAlignment="1">
      <alignment horizontal="right"/>
    </xf>
    <xf numFmtId="167" fontId="15" fillId="0" borderId="93" xfId="0" applyNumberFormat="1" applyFont="1" applyBorder="1" applyAlignment="1">
      <alignment horizontal="right"/>
    </xf>
    <xf numFmtId="167" fontId="13" fillId="0" borderId="51" xfId="0" applyNumberFormat="1" applyFont="1" applyBorder="1" applyAlignment="1">
      <alignment horizontal="right"/>
    </xf>
    <xf numFmtId="175" fontId="5" fillId="0" borderId="93" xfId="0" applyNumberFormat="1" applyFont="1" applyBorder="1" applyAlignment="1">
      <alignment horizontal="right"/>
    </xf>
    <xf numFmtId="3" fontId="5" fillId="0" borderId="93" xfId="0" applyNumberFormat="1" applyFont="1" applyBorder="1" applyAlignment="1">
      <alignment horizontal="right"/>
    </xf>
    <xf numFmtId="4" fontId="5" fillId="0" borderId="93" xfId="0" applyNumberFormat="1" applyFont="1" applyBorder="1" applyAlignment="1">
      <alignment horizontal="right"/>
    </xf>
    <xf numFmtId="3" fontId="5" fillId="0" borderId="93" xfId="0" applyNumberFormat="1" applyFont="1" applyBorder="1"/>
    <xf numFmtId="3" fontId="13" fillId="0" borderId="22" xfId="0" applyNumberFormat="1" applyFont="1" applyBorder="1" applyAlignment="1">
      <alignment horizontal="center"/>
    </xf>
    <xf numFmtId="167" fontId="5" fillId="0" borderId="21" xfId="0" applyNumberFormat="1" applyFont="1" applyBorder="1" applyAlignment="1">
      <alignment horizontal="right"/>
    </xf>
    <xf numFmtId="167" fontId="13" fillId="0" borderId="21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center"/>
    </xf>
    <xf numFmtId="167" fontId="15" fillId="0" borderId="51" xfId="0" applyNumberFormat="1" applyFont="1" applyBorder="1" applyAlignment="1">
      <alignment horizontal="right"/>
    </xf>
    <xf numFmtId="3" fontId="15" fillId="0" borderId="93" xfId="0" applyNumberFormat="1" applyFont="1" applyBorder="1"/>
    <xf numFmtId="167" fontId="15" fillId="0" borderId="93" xfId="0" applyNumberFormat="1" applyFont="1" applyBorder="1"/>
    <xf numFmtId="167" fontId="15" fillId="0" borderId="51" xfId="0" applyNumberFormat="1" applyFont="1" applyBorder="1"/>
    <xf numFmtId="167" fontId="15" fillId="0" borderId="21" xfId="0" applyNumberFormat="1" applyFont="1" applyBorder="1" applyAlignment="1">
      <alignment horizontal="right"/>
    </xf>
    <xf numFmtId="167" fontId="15" fillId="0" borderId="21" xfId="0" applyNumberFormat="1" applyFont="1" applyBorder="1"/>
    <xf numFmtId="3" fontId="45" fillId="0" borderId="93" xfId="0" applyNumberFormat="1" applyFont="1" applyBorder="1"/>
    <xf numFmtId="167" fontId="45" fillId="0" borderId="93" xfId="0" applyNumberFormat="1" applyFont="1" applyBorder="1"/>
    <xf numFmtId="167" fontId="45" fillId="0" borderId="51" xfId="0" applyNumberFormat="1" applyFont="1" applyBorder="1"/>
    <xf numFmtId="3" fontId="45" fillId="0" borderId="93" xfId="0" applyNumberFormat="1" applyFont="1" applyBorder="1" applyAlignment="1">
      <alignment horizontal="right"/>
    </xf>
    <xf numFmtId="0" fontId="5" fillId="0" borderId="93" xfId="0" applyFont="1" applyBorder="1"/>
    <xf numFmtId="9" fontId="45" fillId="0" borderId="93" xfId="0" applyNumberFormat="1" applyFont="1" applyBorder="1"/>
    <xf numFmtId="167" fontId="45" fillId="0" borderId="21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45" fillId="0" borderId="49" xfId="0" applyNumberFormat="1" applyFont="1" applyBorder="1"/>
    <xf numFmtId="167" fontId="45" fillId="0" borderId="49" xfId="0" applyNumberFormat="1" applyFont="1" applyBorder="1"/>
    <xf numFmtId="167" fontId="45" fillId="0" borderId="50" xfId="0" applyNumberFormat="1" applyFont="1" applyBorder="1"/>
    <xf numFmtId="3" fontId="45" fillId="0" borderId="49" xfId="0" applyNumberFormat="1" applyFont="1" applyBorder="1" applyAlignment="1">
      <alignment horizontal="right"/>
    </xf>
    <xf numFmtId="167" fontId="5" fillId="0" borderId="49" xfId="0" applyNumberFormat="1" applyFont="1" applyBorder="1" applyAlignment="1">
      <alignment horizontal="right"/>
    </xf>
    <xf numFmtId="167" fontId="5" fillId="0" borderId="50" xfId="0" applyNumberFormat="1" applyFont="1" applyBorder="1" applyAlignment="1">
      <alignment horizontal="right"/>
    </xf>
    <xf numFmtId="3" fontId="15" fillId="0" borderId="49" xfId="0" applyNumberFormat="1" applyFont="1" applyBorder="1" applyAlignment="1">
      <alignment horizontal="right"/>
    </xf>
    <xf numFmtId="167" fontId="15" fillId="0" borderId="49" xfId="0" applyNumberFormat="1" applyFont="1" applyBorder="1" applyAlignment="1">
      <alignment horizontal="right"/>
    </xf>
    <xf numFmtId="167" fontId="13" fillId="0" borderId="50" xfId="0" applyNumberFormat="1" applyFont="1" applyBorder="1" applyAlignment="1">
      <alignment horizontal="right"/>
    </xf>
    <xf numFmtId="175" fontId="5" fillId="0" borderId="49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  <xf numFmtId="4" fontId="5" fillId="0" borderId="49" xfId="0" applyNumberFormat="1" applyFont="1" applyBorder="1" applyAlignment="1">
      <alignment horizontal="right"/>
    </xf>
    <xf numFmtId="0" fontId="5" fillId="0" borderId="49" xfId="0" applyFont="1" applyBorder="1"/>
    <xf numFmtId="3" fontId="5" fillId="0" borderId="49" xfId="0" applyNumberFormat="1" applyFont="1" applyBorder="1"/>
    <xf numFmtId="9" fontId="45" fillId="0" borderId="49" xfId="0" applyNumberFormat="1" applyFont="1" applyBorder="1"/>
    <xf numFmtId="3" fontId="13" fillId="0" borderId="35" xfId="0" applyNumberFormat="1" applyFont="1" applyBorder="1" applyAlignment="1">
      <alignment horizontal="center"/>
    </xf>
    <xf numFmtId="3" fontId="45" fillId="0" borderId="0" xfId="0" applyNumberFormat="1" applyFont="1" applyBorder="1"/>
    <xf numFmtId="167" fontId="45" fillId="0" borderId="0" xfId="0" applyNumberFormat="1" applyFont="1" applyBorder="1"/>
    <xf numFmtId="3" fontId="4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167" fontId="1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45" fillId="0" borderId="0" xfId="0" applyNumberFormat="1" applyFont="1" applyBorder="1"/>
    <xf numFmtId="3" fontId="15" fillId="0" borderId="0" xfId="0" applyNumberFormat="1" applyFont="1" applyBorder="1"/>
    <xf numFmtId="167" fontId="15" fillId="0" borderId="0" xfId="0" applyNumberFormat="1" applyFont="1" applyBorder="1"/>
    <xf numFmtId="49" fontId="3" fillId="0" borderId="35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3" fontId="45" fillId="0" borderId="44" xfId="0" applyNumberFormat="1" applyFont="1" applyBorder="1"/>
    <xf numFmtId="167" fontId="45" fillId="0" borderId="44" xfId="0" applyNumberFormat="1" applyFont="1" applyBorder="1"/>
    <xf numFmtId="167" fontId="45" fillId="0" borderId="48" xfId="0" applyNumberFormat="1" applyFont="1" applyBorder="1"/>
    <xf numFmtId="3" fontId="15" fillId="0" borderId="44" xfId="0" applyNumberFormat="1" applyFont="1" applyBorder="1" applyAlignment="1">
      <alignment horizontal="right"/>
    </xf>
    <xf numFmtId="167" fontId="15" fillId="0" borderId="44" xfId="0" applyNumberFormat="1" applyFont="1" applyBorder="1" applyAlignment="1">
      <alignment horizontal="right"/>
    </xf>
    <xf numFmtId="167" fontId="15" fillId="0" borderId="48" xfId="0" applyNumberFormat="1" applyFont="1" applyBorder="1" applyAlignment="1">
      <alignment horizontal="right"/>
    </xf>
    <xf numFmtId="3" fontId="5" fillId="0" borderId="44" xfId="0" applyNumberFormat="1" applyFont="1" applyBorder="1" applyAlignment="1">
      <alignment horizontal="right"/>
    </xf>
    <xf numFmtId="167" fontId="5" fillId="0" borderId="44" xfId="0" applyNumberFormat="1" applyFont="1" applyBorder="1" applyAlignment="1">
      <alignment horizontal="right"/>
    </xf>
    <xf numFmtId="167" fontId="13" fillId="0" borderId="48" xfId="0" applyNumberFormat="1" applyFont="1" applyBorder="1" applyAlignment="1">
      <alignment horizontal="right"/>
    </xf>
    <xf numFmtId="175" fontId="5" fillId="0" borderId="44" xfId="0" applyNumberFormat="1" applyFont="1" applyBorder="1" applyAlignment="1">
      <alignment horizontal="right"/>
    </xf>
    <xf numFmtId="4" fontId="5" fillId="0" borderId="44" xfId="0" applyNumberFormat="1" applyFont="1" applyBorder="1" applyAlignment="1">
      <alignment horizontal="right"/>
    </xf>
    <xf numFmtId="0" fontId="5" fillId="0" borderId="44" xfId="0" applyFont="1" applyBorder="1"/>
    <xf numFmtId="3" fontId="5" fillId="0" borderId="44" xfId="0" applyNumberFormat="1" applyFont="1" applyBorder="1"/>
    <xf numFmtId="9" fontId="45" fillId="0" borderId="44" xfId="0" applyNumberFormat="1" applyFont="1" applyBorder="1"/>
    <xf numFmtId="3" fontId="13" fillId="0" borderId="40" xfId="0" applyNumberFormat="1" applyFont="1" applyBorder="1" applyAlignment="1">
      <alignment horizontal="center"/>
    </xf>
    <xf numFmtId="0" fontId="62" fillId="2" borderId="36" xfId="0" applyFont="1" applyFill="1" applyBorder="1" applyAlignment="1">
      <alignment vertical="center" wrapText="1"/>
    </xf>
    <xf numFmtId="0" fontId="44" fillId="2" borderId="20" xfId="26" applyNumberFormat="1" applyFont="1" applyFill="1" applyBorder="1" applyAlignment="1">
      <alignment horizontal="right"/>
    </xf>
    <xf numFmtId="0" fontId="44" fillId="2" borderId="0" xfId="26" applyNumberFormat="1" applyFont="1" applyFill="1" applyBorder="1" applyAlignment="1">
      <alignment horizontal="right"/>
    </xf>
    <xf numFmtId="170" fontId="0" fillId="0" borderId="11" xfId="0" applyNumberFormat="1" applyFill="1" applyBorder="1"/>
    <xf numFmtId="9" fontId="0" fillId="0" borderId="12" xfId="0" applyNumberFormat="1" applyFill="1" applyBorder="1"/>
    <xf numFmtId="3" fontId="44" fillId="2" borderId="60" xfId="76" applyNumberFormat="1" applyFont="1" applyFill="1" applyBorder="1" applyAlignment="1">
      <alignment horizontal="center" vertical="center"/>
    </xf>
    <xf numFmtId="3" fontId="44" fillId="2" borderId="62" xfId="76" applyNumberFormat="1" applyFont="1" applyFill="1" applyBorder="1" applyAlignment="1">
      <alignment horizontal="center" vertical="center"/>
    </xf>
    <xf numFmtId="0" fontId="39" fillId="0" borderId="29" xfId="76" applyFont="1" applyFill="1" applyBorder="1"/>
    <xf numFmtId="0" fontId="39" fillId="0" borderId="10" xfId="76" applyFont="1" applyFill="1" applyBorder="1"/>
    <xf numFmtId="0" fontId="39" fillId="0" borderId="26" xfId="76" applyFont="1" applyFill="1" applyBorder="1"/>
    <xf numFmtId="0" fontId="39" fillId="0" borderId="57" xfId="76" applyFont="1" applyFill="1" applyBorder="1"/>
    <xf numFmtId="0" fontId="39" fillId="0" borderId="19" xfId="76" applyFont="1" applyFill="1" applyBorder="1"/>
    <xf numFmtId="0" fontId="39" fillId="0" borderId="59" xfId="76" applyFont="1" applyFill="1" applyBorder="1"/>
    <xf numFmtId="0" fontId="44" fillId="2" borderId="15" xfId="76" applyNumberFormat="1" applyFont="1" applyFill="1" applyBorder="1" applyAlignment="1">
      <alignment horizontal="left"/>
    </xf>
    <xf numFmtId="0" fontId="44" fillId="2" borderId="94" xfId="76" applyNumberFormat="1" applyFont="1" applyFill="1" applyBorder="1" applyAlignment="1">
      <alignment horizontal="left"/>
    </xf>
    <xf numFmtId="3" fontId="39" fillId="0" borderId="29" xfId="76" applyNumberFormat="1" applyFont="1" applyFill="1" applyBorder="1"/>
    <xf numFmtId="3" fontId="39" fillId="0" borderId="34" xfId="76" applyNumberFormat="1" applyFont="1" applyFill="1" applyBorder="1"/>
    <xf numFmtId="3" fontId="39" fillId="0" borderId="10" xfId="76" applyNumberFormat="1" applyFont="1" applyFill="1" applyBorder="1"/>
    <xf numFmtId="3" fontId="39" fillId="0" borderId="11" xfId="76" applyNumberFormat="1" applyFont="1" applyFill="1" applyBorder="1"/>
    <xf numFmtId="3" fontId="39" fillId="0" borderId="26" xfId="76" applyNumberFormat="1" applyFont="1" applyFill="1" applyBorder="1"/>
    <xf numFmtId="3" fontId="39" fillId="0" borderId="28" xfId="76" applyNumberFormat="1" applyFont="1" applyFill="1" applyBorder="1"/>
    <xf numFmtId="9" fontId="39" fillId="0" borderId="57" xfId="76" applyNumberFormat="1" applyFont="1" applyFill="1" applyBorder="1"/>
    <xf numFmtId="9" fontId="39" fillId="0" borderId="19" xfId="76" applyNumberFormat="1" applyFont="1" applyFill="1" applyBorder="1"/>
    <xf numFmtId="9" fontId="39" fillId="0" borderId="59" xfId="76" applyNumberFormat="1" applyFont="1" applyFill="1" applyBorder="1"/>
    <xf numFmtId="0" fontId="44" fillId="2" borderId="17" xfId="76" applyNumberFormat="1" applyFont="1" applyFill="1" applyBorder="1" applyAlignment="1">
      <alignment horizontal="left"/>
    </xf>
    <xf numFmtId="170" fontId="39" fillId="0" borderId="29" xfId="76" applyNumberFormat="1" applyFont="1" applyFill="1" applyBorder="1"/>
    <xf numFmtId="170" fontId="39" fillId="0" borderId="34" xfId="76" applyNumberFormat="1" applyFont="1" applyFill="1" applyBorder="1"/>
    <xf numFmtId="170" fontId="39" fillId="0" borderId="10" xfId="76" applyNumberFormat="1" applyFont="1" applyFill="1" applyBorder="1"/>
    <xf numFmtId="170" fontId="39" fillId="0" borderId="11" xfId="76" applyNumberFormat="1" applyFont="1" applyFill="1" applyBorder="1"/>
    <xf numFmtId="170" fontId="39" fillId="0" borderId="26" xfId="76" applyNumberFormat="1" applyFont="1" applyFill="1" applyBorder="1"/>
    <xf numFmtId="170" fontId="39" fillId="0" borderId="28" xfId="76" applyNumberFormat="1" applyFont="1" applyFill="1" applyBorder="1"/>
    <xf numFmtId="0" fontId="44" fillId="2" borderId="16" xfId="76" applyNumberFormat="1" applyFont="1" applyFill="1" applyBorder="1" applyAlignment="1">
      <alignment horizontal="left"/>
    </xf>
    <xf numFmtId="3" fontId="39" fillId="0" borderId="30" xfId="76" applyNumberFormat="1" applyFont="1" applyFill="1" applyBorder="1"/>
    <xf numFmtId="3" fontId="39" fillId="0" borderId="12" xfId="76" applyNumberFormat="1" applyFont="1" applyFill="1" applyBorder="1"/>
    <xf numFmtId="3" fontId="39" fillId="0" borderId="27" xfId="76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" xfId="82" builtinId="5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1.7440650642233018</c:v>
                </c:pt>
                <c:pt idx="1">
                  <c:v>1.5594269566913705</c:v>
                </c:pt>
                <c:pt idx="2">
                  <c:v>1.3134838238902029</c:v>
                </c:pt>
                <c:pt idx="3">
                  <c:v>1.5804159012707268</c:v>
                </c:pt>
                <c:pt idx="4">
                  <c:v>1.4704093824544153</c:v>
                </c:pt>
                <c:pt idx="5">
                  <c:v>1.6371905471785557</c:v>
                </c:pt>
                <c:pt idx="6">
                  <c:v>1.7007714492364012</c:v>
                </c:pt>
                <c:pt idx="7">
                  <c:v>1.6939402938001402</c:v>
                </c:pt>
                <c:pt idx="8">
                  <c:v>1.751250127312088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872704"/>
        <c:axId val="11388750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1.6386512592778963</c:v>
                </c:pt>
                <c:pt idx="1">
                  <c:v>1.6386512592778963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616000"/>
        <c:axId val="1157617920"/>
      </c:scatterChart>
      <c:catAx>
        <c:axId val="113887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887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875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8872704"/>
        <c:crosses val="autoZero"/>
        <c:crossBetween val="between"/>
      </c:valAx>
      <c:valAx>
        <c:axId val="11576160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57617920"/>
        <c:crosses val="max"/>
        <c:crossBetween val="midCat"/>
      </c:valAx>
      <c:valAx>
        <c:axId val="11576179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576160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0.93951393741750133</c:v>
                </c:pt>
                <c:pt idx="1">
                  <c:v>0.88944655500213754</c:v>
                </c:pt>
                <c:pt idx="2">
                  <c:v>0.88990299481286483</c:v>
                </c:pt>
                <c:pt idx="3">
                  <c:v>0.95934864701645128</c:v>
                </c:pt>
                <c:pt idx="4">
                  <c:v>0.9718382539925674</c:v>
                </c:pt>
                <c:pt idx="5">
                  <c:v>0.95664100135972274</c:v>
                </c:pt>
                <c:pt idx="6">
                  <c:v>0.94725125748133998</c:v>
                </c:pt>
                <c:pt idx="7">
                  <c:v>0.94632422523840098</c:v>
                </c:pt>
                <c:pt idx="8">
                  <c:v>0.95075084491829553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702080"/>
        <c:axId val="123271244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713984"/>
        <c:axId val="1232728832"/>
      </c:scatterChart>
      <c:catAx>
        <c:axId val="123270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2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7124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32702080"/>
        <c:crosses val="autoZero"/>
        <c:crossBetween val="between"/>
      </c:valAx>
      <c:valAx>
        <c:axId val="12327139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2728832"/>
        <c:crosses val="max"/>
        <c:crossBetween val="midCat"/>
      </c:valAx>
      <c:valAx>
        <c:axId val="123272883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3271398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368" t="s">
        <v>158</v>
      </c>
      <c r="B1" s="369"/>
      <c r="C1" s="64"/>
    </row>
    <row r="2" spans="1:3" ht="14.4" customHeight="1" thickBot="1" x14ac:dyDescent="0.35">
      <c r="A2" s="478" t="s">
        <v>215</v>
      </c>
      <c r="B2" s="66"/>
    </row>
    <row r="3" spans="1:3" ht="14.4" customHeight="1" thickBot="1" x14ac:dyDescent="0.35">
      <c r="A3" s="364" t="s">
        <v>200</v>
      </c>
      <c r="B3" s="365"/>
      <c r="C3" s="64"/>
    </row>
    <row r="4" spans="1:3" ht="14.4" customHeight="1" x14ac:dyDescent="0.3">
      <c r="A4" s="235" t="str">
        <f t="shared" ref="A4:A8" si="0">HYPERLINK("#'"&amp;C4&amp;"'!A1",C4)</f>
        <v>Motivace</v>
      </c>
      <c r="B4" s="236" t="s">
        <v>175</v>
      </c>
      <c r="C4" s="64" t="s">
        <v>176</v>
      </c>
    </row>
    <row r="5" spans="1:3" ht="14.4" customHeight="1" x14ac:dyDescent="0.3">
      <c r="A5" s="237" t="str">
        <f t="shared" si="0"/>
        <v>HI</v>
      </c>
      <c r="B5" s="238" t="s">
        <v>192</v>
      </c>
      <c r="C5" s="67" t="s">
        <v>163</v>
      </c>
    </row>
    <row r="6" spans="1:3" ht="14.4" customHeight="1" x14ac:dyDescent="0.3">
      <c r="A6" s="239" t="str">
        <f t="shared" si="0"/>
        <v>HI Graf</v>
      </c>
      <c r="B6" s="240" t="s">
        <v>155</v>
      </c>
      <c r="C6" s="67" t="s">
        <v>164</v>
      </c>
    </row>
    <row r="7" spans="1:3" ht="14.4" customHeight="1" x14ac:dyDescent="0.3">
      <c r="A7" s="239" t="str">
        <f t="shared" si="0"/>
        <v>Man Tab</v>
      </c>
      <c r="B7" s="240" t="s">
        <v>217</v>
      </c>
      <c r="C7" s="67" t="s">
        <v>165</v>
      </c>
    </row>
    <row r="8" spans="1:3" ht="14.4" customHeight="1" thickBot="1" x14ac:dyDescent="0.35">
      <c r="A8" s="241" t="str">
        <f t="shared" si="0"/>
        <v>HV</v>
      </c>
      <c r="B8" s="242" t="s">
        <v>65</v>
      </c>
      <c r="C8" s="67" t="s">
        <v>76</v>
      </c>
    </row>
    <row r="9" spans="1:3" ht="14.4" customHeight="1" thickBot="1" x14ac:dyDescent="0.35">
      <c r="A9" s="243"/>
      <c r="B9" s="243"/>
    </row>
    <row r="10" spans="1:3" ht="14.4" customHeight="1" thickBot="1" x14ac:dyDescent="0.35">
      <c r="A10" s="366" t="s">
        <v>159</v>
      </c>
      <c r="B10" s="365"/>
      <c r="C10" s="64"/>
    </row>
    <row r="11" spans="1:3" ht="14.4" customHeight="1" x14ac:dyDescent="0.3">
      <c r="A11" s="244" t="str">
        <f t="shared" ref="A11:A16" si="1">HYPERLINK("#'"&amp;C11&amp;"'!A1",C11)</f>
        <v>Léky Žádanky</v>
      </c>
      <c r="B11" s="238" t="s">
        <v>194</v>
      </c>
      <c r="C11" s="67" t="s">
        <v>166</v>
      </c>
    </row>
    <row r="12" spans="1:3" ht="14.4" customHeight="1" x14ac:dyDescent="0.3">
      <c r="A12" s="239" t="str">
        <f t="shared" si="1"/>
        <v>LŽ Detail</v>
      </c>
      <c r="B12" s="240" t="s">
        <v>193</v>
      </c>
      <c r="C12" s="67" t="s">
        <v>167</v>
      </c>
    </row>
    <row r="13" spans="1:3" ht="14.4" customHeight="1" x14ac:dyDescent="0.3">
      <c r="A13" s="239" t="str">
        <f t="shared" si="1"/>
        <v>LŽ PL</v>
      </c>
      <c r="B13" s="240" t="s">
        <v>1190</v>
      </c>
      <c r="C13" s="67" t="s">
        <v>205</v>
      </c>
    </row>
    <row r="14" spans="1:3" s="300" customFormat="1" ht="14.4" customHeight="1" x14ac:dyDescent="0.3">
      <c r="A14" s="239" t="str">
        <f t="shared" si="1"/>
        <v>LŽ PL Detail</v>
      </c>
      <c r="B14" s="240" t="s">
        <v>191</v>
      </c>
      <c r="C14" s="67" t="s">
        <v>206</v>
      </c>
    </row>
    <row r="15" spans="1:3" ht="14.4" customHeight="1" x14ac:dyDescent="0.3">
      <c r="A15" s="244" t="str">
        <f t="shared" si="1"/>
        <v>Materiál Žádanky</v>
      </c>
      <c r="B15" s="240" t="s">
        <v>195</v>
      </c>
      <c r="C15" s="67" t="s">
        <v>168</v>
      </c>
    </row>
    <row r="16" spans="1:3" ht="14.4" customHeight="1" thickBot="1" x14ac:dyDescent="0.35">
      <c r="A16" s="239" t="str">
        <f t="shared" si="1"/>
        <v>MŽ Detail</v>
      </c>
      <c r="B16" s="240" t="s">
        <v>196</v>
      </c>
      <c r="C16" s="67" t="s">
        <v>169</v>
      </c>
    </row>
    <row r="17" spans="1:3" ht="14.4" customHeight="1" thickBot="1" x14ac:dyDescent="0.35">
      <c r="A17" s="245"/>
      <c r="B17" s="245"/>
    </row>
    <row r="18" spans="1:3" ht="14.4" customHeight="1" thickBot="1" x14ac:dyDescent="0.35">
      <c r="A18" s="367" t="s">
        <v>160</v>
      </c>
      <c r="B18" s="365"/>
      <c r="C18" s="64"/>
    </row>
    <row r="19" spans="1:3" ht="14.4" customHeight="1" x14ac:dyDescent="0.3">
      <c r="A19" s="239" t="str">
        <f t="shared" ref="A19:A26" si="2">HYPERLINK("#'"&amp;C19&amp;"'!A1",C19)</f>
        <v>ZV Vykáz.-H</v>
      </c>
      <c r="B19" s="240" t="s">
        <v>179</v>
      </c>
      <c r="C19" s="67" t="s">
        <v>177</v>
      </c>
    </row>
    <row r="20" spans="1:3" ht="14.4" customHeight="1" x14ac:dyDescent="0.3">
      <c r="A20" s="239" t="str">
        <f t="shared" si="2"/>
        <v>ZV Vykáz.-H Detail</v>
      </c>
      <c r="B20" s="240" t="s">
        <v>180</v>
      </c>
      <c r="C20" s="67" t="s">
        <v>178</v>
      </c>
    </row>
    <row r="21" spans="1:3" ht="14.4" customHeight="1" x14ac:dyDescent="0.3">
      <c r="A21" s="246" t="str">
        <f t="shared" si="2"/>
        <v>CaseMix</v>
      </c>
      <c r="B21" s="240" t="s">
        <v>161</v>
      </c>
      <c r="C21" s="67" t="s">
        <v>170</v>
      </c>
    </row>
    <row r="22" spans="1:3" ht="14.4" customHeight="1" x14ac:dyDescent="0.3">
      <c r="A22" s="239" t="str">
        <f t="shared" si="2"/>
        <v>ALOS</v>
      </c>
      <c r="B22" s="240" t="s">
        <v>139</v>
      </c>
      <c r="C22" s="67" t="s">
        <v>110</v>
      </c>
    </row>
    <row r="23" spans="1:3" ht="14.4" customHeight="1" x14ac:dyDescent="0.3">
      <c r="A23" s="239" t="str">
        <f t="shared" si="2"/>
        <v>Total</v>
      </c>
      <c r="B23" s="240" t="s">
        <v>162</v>
      </c>
      <c r="C23" s="67" t="s">
        <v>171</v>
      </c>
    </row>
    <row r="24" spans="1:3" ht="14.4" customHeight="1" x14ac:dyDescent="0.3">
      <c r="A24" s="239" t="str">
        <f t="shared" si="2"/>
        <v>ZV Vyžád.</v>
      </c>
      <c r="B24" s="240" t="s">
        <v>181</v>
      </c>
      <c r="C24" s="67" t="s">
        <v>174</v>
      </c>
    </row>
    <row r="25" spans="1:3" ht="14.4" customHeight="1" x14ac:dyDescent="0.3">
      <c r="A25" s="239" t="str">
        <f t="shared" si="2"/>
        <v>ZV Vyžád. Detail</v>
      </c>
      <c r="B25" s="240" t="s">
        <v>182</v>
      </c>
      <c r="C25" s="67" t="s">
        <v>173</v>
      </c>
    </row>
    <row r="26" spans="1:3" ht="14.4" customHeight="1" thickBot="1" x14ac:dyDescent="0.35">
      <c r="A26" s="241" t="str">
        <f t="shared" si="2"/>
        <v>OD TISS</v>
      </c>
      <c r="B26" s="242" t="s">
        <v>199</v>
      </c>
      <c r="C26" s="67" t="s">
        <v>172</v>
      </c>
    </row>
    <row r="27" spans="1:3" ht="14.4" customHeight="1" x14ac:dyDescent="0.3">
      <c r="A27" s="68"/>
      <c r="B27" s="68"/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7" customWidth="1"/>
    <col min="7" max="7" width="10" style="97" customWidth="1"/>
    <col min="8" max="8" width="6.77734375" style="90" bestFit="1" customWidth="1"/>
    <col min="9" max="9" width="6.6640625" style="97" customWidth="1"/>
    <col min="10" max="10" width="10" style="97" customWidth="1"/>
    <col min="11" max="11" width="6.77734375" style="90" bestFit="1" customWidth="1"/>
    <col min="12" max="12" width="6.6640625" style="97" customWidth="1"/>
    <col min="13" max="13" width="10" style="97" customWidth="1"/>
    <col min="14" max="16384" width="8.88671875" style="69"/>
  </cols>
  <sheetData>
    <row r="1" spans="1:13" ht="18.600000000000001" customHeight="1" thickBot="1" x14ac:dyDescent="0.4">
      <c r="A1" s="403" t="s">
        <v>191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369"/>
      <c r="M1" s="369"/>
    </row>
    <row r="2" spans="1:13" ht="14.4" customHeight="1" thickBot="1" x14ac:dyDescent="0.35">
      <c r="A2" s="478" t="s">
        <v>215</v>
      </c>
      <c r="B2" s="95"/>
      <c r="C2" s="95"/>
      <c r="D2" s="95"/>
      <c r="E2" s="95"/>
      <c r="F2" s="96"/>
      <c r="G2" s="96"/>
      <c r="H2" s="290"/>
      <c r="I2" s="96"/>
      <c r="J2" s="96"/>
      <c r="K2" s="290"/>
      <c r="L2" s="96"/>
    </row>
    <row r="3" spans="1:13" ht="14.4" customHeight="1" thickBot="1" x14ac:dyDescent="0.35">
      <c r="E3" s="142" t="s">
        <v>183</v>
      </c>
      <c r="F3" s="56">
        <f>SUBTOTAL(9,F6:F1048576)</f>
        <v>91.6</v>
      </c>
      <c r="G3" s="56">
        <f>SUBTOTAL(9,G6:G1048576)</f>
        <v>10912.953089859649</v>
      </c>
      <c r="H3" s="57">
        <f>IF(M3=0,0,G3/M3)</f>
        <v>4.9358837051674938E-2</v>
      </c>
      <c r="I3" s="56">
        <f>SUBTOTAL(9,I6:I1048576)</f>
        <v>902.0333333333333</v>
      </c>
      <c r="J3" s="56">
        <f>SUBTOTAL(9,J6:J1048576)</f>
        <v>210181.25701956052</v>
      </c>
      <c r="K3" s="57">
        <f>IF(M3=0,0,J3/M3)</f>
        <v>0.95064116294832535</v>
      </c>
      <c r="L3" s="56">
        <f>SUBTOTAL(9,L6:L1048576)</f>
        <v>993.63333333333333</v>
      </c>
      <c r="M3" s="58">
        <f>SUBTOTAL(9,M6:M1048576)</f>
        <v>221094.21010942012</v>
      </c>
    </row>
    <row r="4" spans="1:13" ht="14.4" customHeight="1" thickBot="1" x14ac:dyDescent="0.35">
      <c r="A4" s="54"/>
      <c r="B4" s="54"/>
      <c r="C4" s="54"/>
      <c r="D4" s="54"/>
      <c r="E4" s="55"/>
      <c r="F4" s="407" t="s">
        <v>185</v>
      </c>
      <c r="G4" s="408"/>
      <c r="H4" s="409"/>
      <c r="I4" s="410" t="s">
        <v>184</v>
      </c>
      <c r="J4" s="408"/>
      <c r="K4" s="409"/>
      <c r="L4" s="411" t="s">
        <v>6</v>
      </c>
      <c r="M4" s="412"/>
    </row>
    <row r="5" spans="1:13" ht="14.4" customHeight="1" thickBot="1" x14ac:dyDescent="0.35">
      <c r="A5" s="535" t="s">
        <v>186</v>
      </c>
      <c r="B5" s="552" t="s">
        <v>187</v>
      </c>
      <c r="C5" s="552" t="s">
        <v>114</v>
      </c>
      <c r="D5" s="552" t="s">
        <v>188</v>
      </c>
      <c r="E5" s="552" t="s">
        <v>189</v>
      </c>
      <c r="F5" s="553" t="s">
        <v>18</v>
      </c>
      <c r="G5" s="553" t="s">
        <v>17</v>
      </c>
      <c r="H5" s="537" t="s">
        <v>190</v>
      </c>
      <c r="I5" s="536" t="s">
        <v>18</v>
      </c>
      <c r="J5" s="553" t="s">
        <v>17</v>
      </c>
      <c r="K5" s="537" t="s">
        <v>190</v>
      </c>
      <c r="L5" s="536" t="s">
        <v>18</v>
      </c>
      <c r="M5" s="554" t="s">
        <v>17</v>
      </c>
    </row>
    <row r="6" spans="1:13" ht="14.4" customHeight="1" x14ac:dyDescent="0.3">
      <c r="A6" s="517" t="s">
        <v>459</v>
      </c>
      <c r="B6" s="518" t="s">
        <v>1215</v>
      </c>
      <c r="C6" s="518" t="s">
        <v>627</v>
      </c>
      <c r="D6" s="518" t="s">
        <v>628</v>
      </c>
      <c r="E6" s="518" t="s">
        <v>629</v>
      </c>
      <c r="F6" s="521"/>
      <c r="G6" s="521"/>
      <c r="H6" s="539">
        <v>0</v>
      </c>
      <c r="I6" s="521">
        <v>1</v>
      </c>
      <c r="J6" s="521">
        <v>189.25550000000001</v>
      </c>
      <c r="K6" s="539">
        <v>1</v>
      </c>
      <c r="L6" s="521">
        <v>1</v>
      </c>
      <c r="M6" s="522">
        <v>189.25550000000001</v>
      </c>
    </row>
    <row r="7" spans="1:13" ht="14.4" customHeight="1" x14ac:dyDescent="0.3">
      <c r="A7" s="523" t="s">
        <v>459</v>
      </c>
      <c r="B7" s="524" t="s">
        <v>1216</v>
      </c>
      <c r="C7" s="524" t="s">
        <v>578</v>
      </c>
      <c r="D7" s="524" t="s">
        <v>1217</v>
      </c>
      <c r="E7" s="524" t="s">
        <v>1218</v>
      </c>
      <c r="F7" s="527"/>
      <c r="G7" s="527"/>
      <c r="H7" s="540">
        <v>0</v>
      </c>
      <c r="I7" s="527">
        <v>4</v>
      </c>
      <c r="J7" s="527">
        <v>766.47685836486005</v>
      </c>
      <c r="K7" s="540">
        <v>1</v>
      </c>
      <c r="L7" s="527">
        <v>4</v>
      </c>
      <c r="M7" s="528">
        <v>766.47685836486005</v>
      </c>
    </row>
    <row r="8" spans="1:13" ht="14.4" customHeight="1" x14ac:dyDescent="0.3">
      <c r="A8" s="523" t="s">
        <v>459</v>
      </c>
      <c r="B8" s="524" t="s">
        <v>1216</v>
      </c>
      <c r="C8" s="524" t="s">
        <v>574</v>
      </c>
      <c r="D8" s="524" t="s">
        <v>575</v>
      </c>
      <c r="E8" s="524" t="s">
        <v>576</v>
      </c>
      <c r="F8" s="527">
        <v>4</v>
      </c>
      <c r="G8" s="527">
        <v>876.85712783461008</v>
      </c>
      <c r="H8" s="540">
        <v>1</v>
      </c>
      <c r="I8" s="527"/>
      <c r="J8" s="527"/>
      <c r="K8" s="540">
        <v>0</v>
      </c>
      <c r="L8" s="527">
        <v>4</v>
      </c>
      <c r="M8" s="528">
        <v>876.85712783461008</v>
      </c>
    </row>
    <row r="9" spans="1:13" ht="14.4" customHeight="1" x14ac:dyDescent="0.3">
      <c r="A9" s="523" t="s">
        <v>463</v>
      </c>
      <c r="B9" s="524" t="s">
        <v>1215</v>
      </c>
      <c r="C9" s="524" t="s">
        <v>760</v>
      </c>
      <c r="D9" s="524" t="s">
        <v>1219</v>
      </c>
      <c r="E9" s="524" t="s">
        <v>1220</v>
      </c>
      <c r="F9" s="527"/>
      <c r="G9" s="527"/>
      <c r="H9" s="540">
        <v>0</v>
      </c>
      <c r="I9" s="527">
        <v>3</v>
      </c>
      <c r="J9" s="527">
        <v>270.1621781920378</v>
      </c>
      <c r="K9" s="540">
        <v>1</v>
      </c>
      <c r="L9" s="527">
        <v>3</v>
      </c>
      <c r="M9" s="528">
        <v>270.1621781920378</v>
      </c>
    </row>
    <row r="10" spans="1:13" ht="14.4" customHeight="1" x14ac:dyDescent="0.3">
      <c r="A10" s="523" t="s">
        <v>463</v>
      </c>
      <c r="B10" s="524" t="s">
        <v>1221</v>
      </c>
      <c r="C10" s="524" t="s">
        <v>756</v>
      </c>
      <c r="D10" s="524" t="s">
        <v>1222</v>
      </c>
      <c r="E10" s="524" t="s">
        <v>1223</v>
      </c>
      <c r="F10" s="527"/>
      <c r="G10" s="527"/>
      <c r="H10" s="540">
        <v>0</v>
      </c>
      <c r="I10" s="527">
        <v>0.83333333333333404</v>
      </c>
      <c r="J10" s="527">
        <v>3140.2166666666694</v>
      </c>
      <c r="K10" s="540">
        <v>1</v>
      </c>
      <c r="L10" s="527">
        <v>0.83333333333333404</v>
      </c>
      <c r="M10" s="528">
        <v>3140.2166666666694</v>
      </c>
    </row>
    <row r="11" spans="1:13" ht="14.4" customHeight="1" x14ac:dyDescent="0.3">
      <c r="A11" s="523" t="s">
        <v>463</v>
      </c>
      <c r="B11" s="524" t="s">
        <v>1224</v>
      </c>
      <c r="C11" s="524" t="s">
        <v>768</v>
      </c>
      <c r="D11" s="524" t="s">
        <v>769</v>
      </c>
      <c r="E11" s="524" t="s">
        <v>1225</v>
      </c>
      <c r="F11" s="527"/>
      <c r="G11" s="527"/>
      <c r="H11" s="540">
        <v>0</v>
      </c>
      <c r="I11" s="527">
        <v>2</v>
      </c>
      <c r="J11" s="527">
        <v>213.74</v>
      </c>
      <c r="K11" s="540">
        <v>1</v>
      </c>
      <c r="L11" s="527">
        <v>2</v>
      </c>
      <c r="M11" s="528">
        <v>213.74</v>
      </c>
    </row>
    <row r="12" spans="1:13" ht="14.4" customHeight="1" x14ac:dyDescent="0.3">
      <c r="A12" s="523" t="s">
        <v>463</v>
      </c>
      <c r="B12" s="524" t="s">
        <v>1226</v>
      </c>
      <c r="C12" s="524" t="s">
        <v>735</v>
      </c>
      <c r="D12" s="524" t="s">
        <v>736</v>
      </c>
      <c r="E12" s="524" t="s">
        <v>737</v>
      </c>
      <c r="F12" s="527"/>
      <c r="G12" s="527"/>
      <c r="H12" s="540">
        <v>0</v>
      </c>
      <c r="I12" s="527">
        <v>1</v>
      </c>
      <c r="J12" s="527">
        <v>2158.4129817548401</v>
      </c>
      <c r="K12" s="540">
        <v>1</v>
      </c>
      <c r="L12" s="527">
        <v>1</v>
      </c>
      <c r="M12" s="528">
        <v>2158.4129817548401</v>
      </c>
    </row>
    <row r="13" spans="1:13" ht="14.4" customHeight="1" x14ac:dyDescent="0.3">
      <c r="A13" s="523" t="s">
        <v>463</v>
      </c>
      <c r="B13" s="524" t="s">
        <v>1227</v>
      </c>
      <c r="C13" s="524" t="s">
        <v>772</v>
      </c>
      <c r="D13" s="524" t="s">
        <v>773</v>
      </c>
      <c r="E13" s="524" t="s">
        <v>1228</v>
      </c>
      <c r="F13" s="527"/>
      <c r="G13" s="527"/>
      <c r="H13" s="540">
        <v>0</v>
      </c>
      <c r="I13" s="527">
        <v>1</v>
      </c>
      <c r="J13" s="527">
        <v>90.890224389052904</v>
      </c>
      <c r="K13" s="540">
        <v>1</v>
      </c>
      <c r="L13" s="527">
        <v>1</v>
      </c>
      <c r="M13" s="528">
        <v>90.890224389052904</v>
      </c>
    </row>
    <row r="14" spans="1:13" ht="14.4" customHeight="1" x14ac:dyDescent="0.3">
      <c r="A14" s="523" t="s">
        <v>463</v>
      </c>
      <c r="B14" s="524" t="s">
        <v>1229</v>
      </c>
      <c r="C14" s="524" t="s">
        <v>764</v>
      </c>
      <c r="D14" s="524" t="s">
        <v>1230</v>
      </c>
      <c r="E14" s="524" t="s">
        <v>1231</v>
      </c>
      <c r="F14" s="527"/>
      <c r="G14" s="527"/>
      <c r="H14" s="540">
        <v>0</v>
      </c>
      <c r="I14" s="527">
        <v>10</v>
      </c>
      <c r="J14" s="527">
        <v>4490.9800000000005</v>
      </c>
      <c r="K14" s="540">
        <v>1</v>
      </c>
      <c r="L14" s="527">
        <v>10</v>
      </c>
      <c r="M14" s="528">
        <v>4490.9800000000005</v>
      </c>
    </row>
    <row r="15" spans="1:13" ht="14.4" customHeight="1" x14ac:dyDescent="0.3">
      <c r="A15" s="523" t="s">
        <v>463</v>
      </c>
      <c r="B15" s="524" t="s">
        <v>1232</v>
      </c>
      <c r="C15" s="524" t="s">
        <v>732</v>
      </c>
      <c r="D15" s="524" t="s">
        <v>733</v>
      </c>
      <c r="E15" s="524" t="s">
        <v>734</v>
      </c>
      <c r="F15" s="527"/>
      <c r="G15" s="527"/>
      <c r="H15" s="540">
        <v>0</v>
      </c>
      <c r="I15" s="527">
        <v>2</v>
      </c>
      <c r="J15" s="527">
        <v>117.76</v>
      </c>
      <c r="K15" s="540">
        <v>1</v>
      </c>
      <c r="L15" s="527">
        <v>2</v>
      </c>
      <c r="M15" s="528">
        <v>117.76</v>
      </c>
    </row>
    <row r="16" spans="1:13" ht="14.4" customHeight="1" x14ac:dyDescent="0.3">
      <c r="A16" s="523" t="s">
        <v>463</v>
      </c>
      <c r="B16" s="524" t="s">
        <v>1233</v>
      </c>
      <c r="C16" s="524" t="s">
        <v>739</v>
      </c>
      <c r="D16" s="524" t="s">
        <v>740</v>
      </c>
      <c r="E16" s="524" t="s">
        <v>1234</v>
      </c>
      <c r="F16" s="527"/>
      <c r="G16" s="527"/>
      <c r="H16" s="540">
        <v>0</v>
      </c>
      <c r="I16" s="527">
        <v>1</v>
      </c>
      <c r="J16" s="527">
        <v>194.380327534065</v>
      </c>
      <c r="K16" s="540">
        <v>1</v>
      </c>
      <c r="L16" s="527">
        <v>1</v>
      </c>
      <c r="M16" s="528">
        <v>194.380327534065</v>
      </c>
    </row>
    <row r="17" spans="1:13" ht="14.4" customHeight="1" x14ac:dyDescent="0.3">
      <c r="A17" s="523" t="s">
        <v>463</v>
      </c>
      <c r="B17" s="524" t="s">
        <v>1233</v>
      </c>
      <c r="C17" s="524" t="s">
        <v>743</v>
      </c>
      <c r="D17" s="524" t="s">
        <v>744</v>
      </c>
      <c r="E17" s="524" t="s">
        <v>1235</v>
      </c>
      <c r="F17" s="527"/>
      <c r="G17" s="527"/>
      <c r="H17" s="540">
        <v>0</v>
      </c>
      <c r="I17" s="527">
        <v>2</v>
      </c>
      <c r="J17" s="527">
        <v>369.53999999999996</v>
      </c>
      <c r="K17" s="540">
        <v>1</v>
      </c>
      <c r="L17" s="527">
        <v>2</v>
      </c>
      <c r="M17" s="528">
        <v>369.53999999999996</v>
      </c>
    </row>
    <row r="18" spans="1:13" ht="14.4" customHeight="1" x14ac:dyDescent="0.3">
      <c r="A18" s="523" t="s">
        <v>463</v>
      </c>
      <c r="B18" s="524" t="s">
        <v>1216</v>
      </c>
      <c r="C18" s="524" t="s">
        <v>746</v>
      </c>
      <c r="D18" s="524" t="s">
        <v>747</v>
      </c>
      <c r="E18" s="524" t="s">
        <v>748</v>
      </c>
      <c r="F18" s="527">
        <v>5</v>
      </c>
      <c r="G18" s="527">
        <v>1869.6507469123501</v>
      </c>
      <c r="H18" s="540">
        <v>1</v>
      </c>
      <c r="I18" s="527"/>
      <c r="J18" s="527"/>
      <c r="K18" s="540">
        <v>0</v>
      </c>
      <c r="L18" s="527">
        <v>5</v>
      </c>
      <c r="M18" s="528">
        <v>1869.6507469123501</v>
      </c>
    </row>
    <row r="19" spans="1:13" ht="14.4" customHeight="1" x14ac:dyDescent="0.3">
      <c r="A19" s="523" t="s">
        <v>465</v>
      </c>
      <c r="B19" s="524" t="s">
        <v>1236</v>
      </c>
      <c r="C19" s="524" t="s">
        <v>1082</v>
      </c>
      <c r="D19" s="524" t="s">
        <v>1237</v>
      </c>
      <c r="E19" s="524" t="s">
        <v>1238</v>
      </c>
      <c r="F19" s="527"/>
      <c r="G19" s="527"/>
      <c r="H19" s="540">
        <v>0</v>
      </c>
      <c r="I19" s="527">
        <v>5</v>
      </c>
      <c r="J19" s="527">
        <v>417.64356052506082</v>
      </c>
      <c r="K19" s="540">
        <v>1</v>
      </c>
      <c r="L19" s="527">
        <v>5</v>
      </c>
      <c r="M19" s="528">
        <v>417.64356052506082</v>
      </c>
    </row>
    <row r="20" spans="1:13" ht="14.4" customHeight="1" x14ac:dyDescent="0.3">
      <c r="A20" s="523" t="s">
        <v>465</v>
      </c>
      <c r="B20" s="524" t="s">
        <v>1239</v>
      </c>
      <c r="C20" s="524" t="s">
        <v>904</v>
      </c>
      <c r="D20" s="524" t="s">
        <v>905</v>
      </c>
      <c r="E20" s="524" t="s">
        <v>906</v>
      </c>
      <c r="F20" s="527"/>
      <c r="G20" s="527"/>
      <c r="H20" s="540">
        <v>0</v>
      </c>
      <c r="I20" s="527">
        <v>1</v>
      </c>
      <c r="J20" s="527">
        <v>53.079941475334799</v>
      </c>
      <c r="K20" s="540">
        <v>1</v>
      </c>
      <c r="L20" s="527">
        <v>1</v>
      </c>
      <c r="M20" s="528">
        <v>53.079941475334799</v>
      </c>
    </row>
    <row r="21" spans="1:13" ht="14.4" customHeight="1" x14ac:dyDescent="0.3">
      <c r="A21" s="523" t="s">
        <v>465</v>
      </c>
      <c r="B21" s="524" t="s">
        <v>1239</v>
      </c>
      <c r="C21" s="524" t="s">
        <v>776</v>
      </c>
      <c r="D21" s="524" t="s">
        <v>1240</v>
      </c>
      <c r="E21" s="524" t="s">
        <v>1241</v>
      </c>
      <c r="F21" s="527">
        <v>31</v>
      </c>
      <c r="G21" s="527">
        <v>2350.6599984279242</v>
      </c>
      <c r="H21" s="540">
        <v>0.4322954087919087</v>
      </c>
      <c r="I21" s="527">
        <v>39</v>
      </c>
      <c r="J21" s="527">
        <v>3086.9642525375693</v>
      </c>
      <c r="K21" s="540">
        <v>0.56770459120809136</v>
      </c>
      <c r="L21" s="527">
        <v>70</v>
      </c>
      <c r="M21" s="528">
        <v>5437.624250965493</v>
      </c>
    </row>
    <row r="22" spans="1:13" ht="14.4" customHeight="1" x14ac:dyDescent="0.3">
      <c r="A22" s="523" t="s">
        <v>465</v>
      </c>
      <c r="B22" s="524" t="s">
        <v>1242</v>
      </c>
      <c r="C22" s="524" t="s">
        <v>979</v>
      </c>
      <c r="D22" s="524" t="s">
        <v>980</v>
      </c>
      <c r="E22" s="524" t="s">
        <v>981</v>
      </c>
      <c r="F22" s="527">
        <v>4</v>
      </c>
      <c r="G22" s="527">
        <v>1375.08</v>
      </c>
      <c r="H22" s="540">
        <v>1</v>
      </c>
      <c r="I22" s="527"/>
      <c r="J22" s="527"/>
      <c r="K22" s="540">
        <v>0</v>
      </c>
      <c r="L22" s="527">
        <v>4</v>
      </c>
      <c r="M22" s="528">
        <v>1375.08</v>
      </c>
    </row>
    <row r="23" spans="1:13" ht="14.4" customHeight="1" x14ac:dyDescent="0.3">
      <c r="A23" s="523" t="s">
        <v>465</v>
      </c>
      <c r="B23" s="524" t="s">
        <v>1243</v>
      </c>
      <c r="C23" s="524" t="s">
        <v>1090</v>
      </c>
      <c r="D23" s="524" t="s">
        <v>1091</v>
      </c>
      <c r="E23" s="524" t="s">
        <v>1092</v>
      </c>
      <c r="F23" s="527"/>
      <c r="G23" s="527"/>
      <c r="H23" s="540">
        <v>0</v>
      </c>
      <c r="I23" s="527">
        <v>1</v>
      </c>
      <c r="J23" s="527">
        <v>414</v>
      </c>
      <c r="K23" s="540">
        <v>1</v>
      </c>
      <c r="L23" s="527">
        <v>1</v>
      </c>
      <c r="M23" s="528">
        <v>414</v>
      </c>
    </row>
    <row r="24" spans="1:13" ht="14.4" customHeight="1" x14ac:dyDescent="0.3">
      <c r="A24" s="523" t="s">
        <v>465</v>
      </c>
      <c r="B24" s="524" t="s">
        <v>1215</v>
      </c>
      <c r="C24" s="524" t="s">
        <v>1155</v>
      </c>
      <c r="D24" s="524" t="s">
        <v>1244</v>
      </c>
      <c r="E24" s="524" t="s">
        <v>1245</v>
      </c>
      <c r="F24" s="527"/>
      <c r="G24" s="527"/>
      <c r="H24" s="540">
        <v>0</v>
      </c>
      <c r="I24" s="527">
        <v>3.2</v>
      </c>
      <c r="J24" s="527">
        <v>718.36199999999997</v>
      </c>
      <c r="K24" s="540">
        <v>1</v>
      </c>
      <c r="L24" s="527">
        <v>3.2</v>
      </c>
      <c r="M24" s="528">
        <v>718.36199999999997</v>
      </c>
    </row>
    <row r="25" spans="1:13" ht="14.4" customHeight="1" x14ac:dyDescent="0.3">
      <c r="A25" s="523" t="s">
        <v>465</v>
      </c>
      <c r="B25" s="524" t="s">
        <v>1215</v>
      </c>
      <c r="C25" s="524" t="s">
        <v>627</v>
      </c>
      <c r="D25" s="524" t="s">
        <v>628</v>
      </c>
      <c r="E25" s="524" t="s">
        <v>629</v>
      </c>
      <c r="F25" s="527"/>
      <c r="G25" s="527"/>
      <c r="H25" s="540">
        <v>0</v>
      </c>
      <c r="I25" s="527">
        <v>6</v>
      </c>
      <c r="J25" s="527">
        <v>1135.5509999999999</v>
      </c>
      <c r="K25" s="540">
        <v>1</v>
      </c>
      <c r="L25" s="527">
        <v>6</v>
      </c>
      <c r="M25" s="528">
        <v>1135.5509999999999</v>
      </c>
    </row>
    <row r="26" spans="1:13" ht="14.4" customHeight="1" x14ac:dyDescent="0.3">
      <c r="A26" s="523" t="s">
        <v>465</v>
      </c>
      <c r="B26" s="524" t="s">
        <v>1215</v>
      </c>
      <c r="C26" s="524" t="s">
        <v>760</v>
      </c>
      <c r="D26" s="524" t="s">
        <v>1219</v>
      </c>
      <c r="E26" s="524" t="s">
        <v>1220</v>
      </c>
      <c r="F26" s="527"/>
      <c r="G26" s="527"/>
      <c r="H26" s="540">
        <v>0</v>
      </c>
      <c r="I26" s="527">
        <v>1</v>
      </c>
      <c r="J26" s="527">
        <v>90.52</v>
      </c>
      <c r="K26" s="540">
        <v>1</v>
      </c>
      <c r="L26" s="527">
        <v>1</v>
      </c>
      <c r="M26" s="528">
        <v>90.52</v>
      </c>
    </row>
    <row r="27" spans="1:13" ht="14.4" customHeight="1" x14ac:dyDescent="0.3">
      <c r="A27" s="523" t="s">
        <v>465</v>
      </c>
      <c r="B27" s="524" t="s">
        <v>1215</v>
      </c>
      <c r="C27" s="524" t="s">
        <v>1128</v>
      </c>
      <c r="D27" s="524" t="s">
        <v>1246</v>
      </c>
      <c r="E27" s="524" t="s">
        <v>1247</v>
      </c>
      <c r="F27" s="527">
        <v>3.6</v>
      </c>
      <c r="G27" s="527">
        <v>1372.0661124026039</v>
      </c>
      <c r="H27" s="540">
        <v>1</v>
      </c>
      <c r="I27" s="527"/>
      <c r="J27" s="527"/>
      <c r="K27" s="540">
        <v>0</v>
      </c>
      <c r="L27" s="527">
        <v>3.6</v>
      </c>
      <c r="M27" s="528">
        <v>1372.0661124026039</v>
      </c>
    </row>
    <row r="28" spans="1:13" ht="14.4" customHeight="1" x14ac:dyDescent="0.3">
      <c r="A28" s="523" t="s">
        <v>465</v>
      </c>
      <c r="B28" s="524" t="s">
        <v>1221</v>
      </c>
      <c r="C28" s="524" t="s">
        <v>756</v>
      </c>
      <c r="D28" s="524" t="s">
        <v>1222</v>
      </c>
      <c r="E28" s="524" t="s">
        <v>1223</v>
      </c>
      <c r="F28" s="527"/>
      <c r="G28" s="527"/>
      <c r="H28" s="540">
        <v>0</v>
      </c>
      <c r="I28" s="527">
        <v>4</v>
      </c>
      <c r="J28" s="527">
        <v>15314.80655940697</v>
      </c>
      <c r="K28" s="540">
        <v>1</v>
      </c>
      <c r="L28" s="527">
        <v>4</v>
      </c>
      <c r="M28" s="528">
        <v>15314.80655940697</v>
      </c>
    </row>
    <row r="29" spans="1:13" ht="14.4" customHeight="1" x14ac:dyDescent="0.3">
      <c r="A29" s="523" t="s">
        <v>465</v>
      </c>
      <c r="B29" s="524" t="s">
        <v>1224</v>
      </c>
      <c r="C29" s="524" t="s">
        <v>768</v>
      </c>
      <c r="D29" s="524" t="s">
        <v>769</v>
      </c>
      <c r="E29" s="524" t="s">
        <v>1225</v>
      </c>
      <c r="F29" s="527"/>
      <c r="G29" s="527"/>
      <c r="H29" s="540">
        <v>0</v>
      </c>
      <c r="I29" s="527">
        <v>2</v>
      </c>
      <c r="J29" s="527">
        <v>213.54</v>
      </c>
      <c r="K29" s="540">
        <v>1</v>
      </c>
      <c r="L29" s="527">
        <v>2</v>
      </c>
      <c r="M29" s="528">
        <v>213.54</v>
      </c>
    </row>
    <row r="30" spans="1:13" ht="14.4" customHeight="1" x14ac:dyDescent="0.3">
      <c r="A30" s="523" t="s">
        <v>465</v>
      </c>
      <c r="B30" s="524" t="s">
        <v>1224</v>
      </c>
      <c r="C30" s="524" t="s">
        <v>1163</v>
      </c>
      <c r="D30" s="524" t="s">
        <v>1248</v>
      </c>
      <c r="E30" s="524" t="s">
        <v>1249</v>
      </c>
      <c r="F30" s="527"/>
      <c r="G30" s="527"/>
      <c r="H30" s="540">
        <v>0</v>
      </c>
      <c r="I30" s="527">
        <v>10</v>
      </c>
      <c r="J30" s="527">
        <v>462.40278997312242</v>
      </c>
      <c r="K30" s="540">
        <v>1</v>
      </c>
      <c r="L30" s="527">
        <v>10</v>
      </c>
      <c r="M30" s="528">
        <v>462.40278997312242</v>
      </c>
    </row>
    <row r="31" spans="1:13" ht="14.4" customHeight="1" x14ac:dyDescent="0.3">
      <c r="A31" s="523" t="s">
        <v>465</v>
      </c>
      <c r="B31" s="524" t="s">
        <v>1250</v>
      </c>
      <c r="C31" s="524" t="s">
        <v>1124</v>
      </c>
      <c r="D31" s="524" t="s">
        <v>1125</v>
      </c>
      <c r="E31" s="524" t="s">
        <v>1126</v>
      </c>
      <c r="F31" s="527">
        <v>30</v>
      </c>
      <c r="G31" s="527">
        <v>972.90000000000009</v>
      </c>
      <c r="H31" s="540">
        <v>1</v>
      </c>
      <c r="I31" s="527"/>
      <c r="J31" s="527"/>
      <c r="K31" s="540">
        <v>0</v>
      </c>
      <c r="L31" s="527">
        <v>30</v>
      </c>
      <c r="M31" s="528">
        <v>972.90000000000009</v>
      </c>
    </row>
    <row r="32" spans="1:13" ht="14.4" customHeight="1" x14ac:dyDescent="0.3">
      <c r="A32" s="523" t="s">
        <v>465</v>
      </c>
      <c r="B32" s="524" t="s">
        <v>1251</v>
      </c>
      <c r="C32" s="524" t="s">
        <v>826</v>
      </c>
      <c r="D32" s="524" t="s">
        <v>827</v>
      </c>
      <c r="E32" s="524" t="s">
        <v>828</v>
      </c>
      <c r="F32" s="527"/>
      <c r="G32" s="527"/>
      <c r="H32" s="540">
        <v>0</v>
      </c>
      <c r="I32" s="527">
        <v>3</v>
      </c>
      <c r="J32" s="527">
        <v>1813.8673024861264</v>
      </c>
      <c r="K32" s="540">
        <v>1</v>
      </c>
      <c r="L32" s="527">
        <v>3</v>
      </c>
      <c r="M32" s="528">
        <v>1813.8673024861264</v>
      </c>
    </row>
    <row r="33" spans="1:13" ht="14.4" customHeight="1" x14ac:dyDescent="0.3">
      <c r="A33" s="523" t="s">
        <v>465</v>
      </c>
      <c r="B33" s="524" t="s">
        <v>1252</v>
      </c>
      <c r="C33" s="524" t="s">
        <v>1167</v>
      </c>
      <c r="D33" s="524" t="s">
        <v>1168</v>
      </c>
      <c r="E33" s="524" t="s">
        <v>1253</v>
      </c>
      <c r="F33" s="527"/>
      <c r="G33" s="527"/>
      <c r="H33" s="540">
        <v>0</v>
      </c>
      <c r="I33" s="527">
        <v>10</v>
      </c>
      <c r="J33" s="527">
        <v>1984.8996740546281</v>
      </c>
      <c r="K33" s="540">
        <v>1</v>
      </c>
      <c r="L33" s="527">
        <v>10</v>
      </c>
      <c r="M33" s="528">
        <v>1984.8996740546281</v>
      </c>
    </row>
    <row r="34" spans="1:13" ht="14.4" customHeight="1" x14ac:dyDescent="0.3">
      <c r="A34" s="523" t="s">
        <v>465</v>
      </c>
      <c r="B34" s="524" t="s">
        <v>1254</v>
      </c>
      <c r="C34" s="524" t="s">
        <v>1139</v>
      </c>
      <c r="D34" s="524" t="s">
        <v>1255</v>
      </c>
      <c r="E34" s="524" t="s">
        <v>1256</v>
      </c>
      <c r="F34" s="527"/>
      <c r="G34" s="527"/>
      <c r="H34" s="540">
        <v>0</v>
      </c>
      <c r="I34" s="527">
        <v>1</v>
      </c>
      <c r="J34" s="527">
        <v>2738.74</v>
      </c>
      <c r="K34" s="540">
        <v>1</v>
      </c>
      <c r="L34" s="527">
        <v>1</v>
      </c>
      <c r="M34" s="528">
        <v>2738.74</v>
      </c>
    </row>
    <row r="35" spans="1:13" ht="14.4" customHeight="1" x14ac:dyDescent="0.3">
      <c r="A35" s="523" t="s">
        <v>465</v>
      </c>
      <c r="B35" s="524" t="s">
        <v>1226</v>
      </c>
      <c r="C35" s="524" t="s">
        <v>735</v>
      </c>
      <c r="D35" s="524" t="s">
        <v>736</v>
      </c>
      <c r="E35" s="524" t="s">
        <v>737</v>
      </c>
      <c r="F35" s="527"/>
      <c r="G35" s="527"/>
      <c r="H35" s="540">
        <v>0</v>
      </c>
      <c r="I35" s="527">
        <v>14</v>
      </c>
      <c r="J35" s="527">
        <v>30182.499735231358</v>
      </c>
      <c r="K35" s="540">
        <v>1</v>
      </c>
      <c r="L35" s="527">
        <v>14</v>
      </c>
      <c r="M35" s="528">
        <v>30182.499735231358</v>
      </c>
    </row>
    <row r="36" spans="1:13" ht="14.4" customHeight="1" x14ac:dyDescent="0.3">
      <c r="A36" s="523" t="s">
        <v>465</v>
      </c>
      <c r="B36" s="524" t="s">
        <v>1257</v>
      </c>
      <c r="C36" s="524" t="s">
        <v>1151</v>
      </c>
      <c r="D36" s="524" t="s">
        <v>1152</v>
      </c>
      <c r="E36" s="524" t="s">
        <v>1258</v>
      </c>
      <c r="F36" s="527"/>
      <c r="G36" s="527"/>
      <c r="H36" s="540">
        <v>0</v>
      </c>
      <c r="I36" s="527">
        <v>60</v>
      </c>
      <c r="J36" s="527">
        <v>16132.8</v>
      </c>
      <c r="K36" s="540">
        <v>1</v>
      </c>
      <c r="L36" s="527">
        <v>60</v>
      </c>
      <c r="M36" s="528">
        <v>16132.8</v>
      </c>
    </row>
    <row r="37" spans="1:13" ht="14.4" customHeight="1" x14ac:dyDescent="0.3">
      <c r="A37" s="523" t="s">
        <v>465</v>
      </c>
      <c r="B37" s="524" t="s">
        <v>1259</v>
      </c>
      <c r="C37" s="524" t="s">
        <v>1159</v>
      </c>
      <c r="D37" s="524" t="s">
        <v>1260</v>
      </c>
      <c r="E37" s="524" t="s">
        <v>1261</v>
      </c>
      <c r="F37" s="527"/>
      <c r="G37" s="527"/>
      <c r="H37" s="540">
        <v>0</v>
      </c>
      <c r="I37" s="527">
        <v>30</v>
      </c>
      <c r="J37" s="527">
        <v>4843.5</v>
      </c>
      <c r="K37" s="540">
        <v>1</v>
      </c>
      <c r="L37" s="527">
        <v>30</v>
      </c>
      <c r="M37" s="528">
        <v>4843.5</v>
      </c>
    </row>
    <row r="38" spans="1:13" ht="14.4" customHeight="1" x14ac:dyDescent="0.3">
      <c r="A38" s="523" t="s">
        <v>465</v>
      </c>
      <c r="B38" s="524" t="s">
        <v>1229</v>
      </c>
      <c r="C38" s="524" t="s">
        <v>764</v>
      </c>
      <c r="D38" s="524" t="s">
        <v>1230</v>
      </c>
      <c r="E38" s="524" t="s">
        <v>1231</v>
      </c>
      <c r="F38" s="527"/>
      <c r="G38" s="527"/>
      <c r="H38" s="540">
        <v>0</v>
      </c>
      <c r="I38" s="527">
        <v>90</v>
      </c>
      <c r="J38" s="527">
        <v>47936.165089971073</v>
      </c>
      <c r="K38" s="540">
        <v>1</v>
      </c>
      <c r="L38" s="527">
        <v>90</v>
      </c>
      <c r="M38" s="528">
        <v>47936.165089971073</v>
      </c>
    </row>
    <row r="39" spans="1:13" ht="14.4" customHeight="1" x14ac:dyDescent="0.3">
      <c r="A39" s="523" t="s">
        <v>465</v>
      </c>
      <c r="B39" s="524" t="s">
        <v>1262</v>
      </c>
      <c r="C39" s="524" t="s">
        <v>1175</v>
      </c>
      <c r="D39" s="524" t="s">
        <v>1263</v>
      </c>
      <c r="E39" s="524" t="s">
        <v>1264</v>
      </c>
      <c r="F39" s="527"/>
      <c r="G39" s="527"/>
      <c r="H39" s="540">
        <v>0</v>
      </c>
      <c r="I39" s="527">
        <v>106</v>
      </c>
      <c r="J39" s="527">
        <v>9721.2593373058717</v>
      </c>
      <c r="K39" s="540">
        <v>1</v>
      </c>
      <c r="L39" s="527">
        <v>106</v>
      </c>
      <c r="M39" s="528">
        <v>9721.2593373058717</v>
      </c>
    </row>
    <row r="40" spans="1:13" ht="14.4" customHeight="1" x14ac:dyDescent="0.3">
      <c r="A40" s="523" t="s">
        <v>465</v>
      </c>
      <c r="B40" s="524" t="s">
        <v>1265</v>
      </c>
      <c r="C40" s="524" t="s">
        <v>1098</v>
      </c>
      <c r="D40" s="524" t="s">
        <v>1099</v>
      </c>
      <c r="E40" s="524" t="s">
        <v>1100</v>
      </c>
      <c r="F40" s="527"/>
      <c r="G40" s="527"/>
      <c r="H40" s="540">
        <v>0</v>
      </c>
      <c r="I40" s="527">
        <v>11</v>
      </c>
      <c r="J40" s="527">
        <v>2552.62</v>
      </c>
      <c r="K40" s="540">
        <v>1</v>
      </c>
      <c r="L40" s="527">
        <v>11</v>
      </c>
      <c r="M40" s="528">
        <v>2552.62</v>
      </c>
    </row>
    <row r="41" spans="1:13" ht="14.4" customHeight="1" x14ac:dyDescent="0.3">
      <c r="A41" s="523" t="s">
        <v>465</v>
      </c>
      <c r="B41" s="524" t="s">
        <v>1266</v>
      </c>
      <c r="C41" s="524" t="s">
        <v>1094</v>
      </c>
      <c r="D41" s="524" t="s">
        <v>1267</v>
      </c>
      <c r="E41" s="524" t="s">
        <v>1096</v>
      </c>
      <c r="F41" s="527"/>
      <c r="G41" s="527"/>
      <c r="H41" s="540">
        <v>0</v>
      </c>
      <c r="I41" s="527">
        <v>360</v>
      </c>
      <c r="J41" s="527">
        <v>30169.386150518971</v>
      </c>
      <c r="K41" s="540">
        <v>1</v>
      </c>
      <c r="L41" s="527">
        <v>360</v>
      </c>
      <c r="M41" s="528">
        <v>30169.386150518971</v>
      </c>
    </row>
    <row r="42" spans="1:13" ht="14.4" customHeight="1" x14ac:dyDescent="0.3">
      <c r="A42" s="523" t="s">
        <v>465</v>
      </c>
      <c r="B42" s="524" t="s">
        <v>1268</v>
      </c>
      <c r="C42" s="524" t="s">
        <v>1078</v>
      </c>
      <c r="D42" s="524" t="s">
        <v>1079</v>
      </c>
      <c r="E42" s="524" t="s">
        <v>1080</v>
      </c>
      <c r="F42" s="527"/>
      <c r="G42" s="527"/>
      <c r="H42" s="540">
        <v>0</v>
      </c>
      <c r="I42" s="527">
        <v>91</v>
      </c>
      <c r="J42" s="527">
        <v>13152.218789064978</v>
      </c>
      <c r="K42" s="540">
        <v>1</v>
      </c>
      <c r="L42" s="527">
        <v>91</v>
      </c>
      <c r="M42" s="528">
        <v>13152.218789064978</v>
      </c>
    </row>
    <row r="43" spans="1:13" ht="14.4" customHeight="1" x14ac:dyDescent="0.3">
      <c r="A43" s="523" t="s">
        <v>465</v>
      </c>
      <c r="B43" s="524" t="s">
        <v>1268</v>
      </c>
      <c r="C43" s="524" t="s">
        <v>779</v>
      </c>
      <c r="D43" s="524" t="s">
        <v>1269</v>
      </c>
      <c r="E43" s="524" t="s">
        <v>1080</v>
      </c>
      <c r="F43" s="527">
        <v>8</v>
      </c>
      <c r="G43" s="527">
        <v>864.27993464490203</v>
      </c>
      <c r="H43" s="540">
        <v>1</v>
      </c>
      <c r="I43" s="527"/>
      <c r="J43" s="527"/>
      <c r="K43" s="540">
        <v>0</v>
      </c>
      <c r="L43" s="527">
        <v>8</v>
      </c>
      <c r="M43" s="528">
        <v>864.27993464490203</v>
      </c>
    </row>
    <row r="44" spans="1:13" ht="14.4" customHeight="1" x14ac:dyDescent="0.3">
      <c r="A44" s="523" t="s">
        <v>465</v>
      </c>
      <c r="B44" s="524" t="s">
        <v>1270</v>
      </c>
      <c r="C44" s="524" t="s">
        <v>1086</v>
      </c>
      <c r="D44" s="524" t="s">
        <v>1087</v>
      </c>
      <c r="E44" s="524" t="s">
        <v>1271</v>
      </c>
      <c r="F44" s="527"/>
      <c r="G44" s="527"/>
      <c r="H44" s="540">
        <v>0</v>
      </c>
      <c r="I44" s="527">
        <v>7</v>
      </c>
      <c r="J44" s="527">
        <v>438.96952748265642</v>
      </c>
      <c r="K44" s="540">
        <v>1</v>
      </c>
      <c r="L44" s="527">
        <v>7</v>
      </c>
      <c r="M44" s="528">
        <v>438.96952748265642</v>
      </c>
    </row>
    <row r="45" spans="1:13" ht="14.4" customHeight="1" x14ac:dyDescent="0.3">
      <c r="A45" s="523" t="s">
        <v>465</v>
      </c>
      <c r="B45" s="524" t="s">
        <v>1233</v>
      </c>
      <c r="C45" s="524" t="s">
        <v>743</v>
      </c>
      <c r="D45" s="524" t="s">
        <v>744</v>
      </c>
      <c r="E45" s="524" t="s">
        <v>1235</v>
      </c>
      <c r="F45" s="527"/>
      <c r="G45" s="527"/>
      <c r="H45" s="540">
        <v>0</v>
      </c>
      <c r="I45" s="527">
        <v>7</v>
      </c>
      <c r="J45" s="527">
        <v>1366.8911022861259</v>
      </c>
      <c r="K45" s="540">
        <v>1</v>
      </c>
      <c r="L45" s="527">
        <v>7</v>
      </c>
      <c r="M45" s="528">
        <v>1366.8911022861259</v>
      </c>
    </row>
    <row r="46" spans="1:13" ht="14.4" customHeight="1" x14ac:dyDescent="0.3">
      <c r="A46" s="523" t="s">
        <v>465</v>
      </c>
      <c r="B46" s="524" t="s">
        <v>1216</v>
      </c>
      <c r="C46" s="524" t="s">
        <v>578</v>
      </c>
      <c r="D46" s="524" t="s">
        <v>1217</v>
      </c>
      <c r="E46" s="524" t="s">
        <v>1218</v>
      </c>
      <c r="F46" s="527">
        <v>2</v>
      </c>
      <c r="G46" s="527">
        <v>377.099169637258</v>
      </c>
      <c r="H46" s="540">
        <v>1</v>
      </c>
      <c r="I46" s="527"/>
      <c r="J46" s="527"/>
      <c r="K46" s="540">
        <v>0</v>
      </c>
      <c r="L46" s="527">
        <v>2</v>
      </c>
      <c r="M46" s="528">
        <v>377.099169637258</v>
      </c>
    </row>
    <row r="47" spans="1:13" ht="14.4" customHeight="1" x14ac:dyDescent="0.3">
      <c r="A47" s="523" t="s">
        <v>465</v>
      </c>
      <c r="B47" s="524" t="s">
        <v>1216</v>
      </c>
      <c r="C47" s="524" t="s">
        <v>1102</v>
      </c>
      <c r="D47" s="524" t="s">
        <v>1103</v>
      </c>
      <c r="E47" s="524" t="s">
        <v>1104</v>
      </c>
      <c r="F47" s="527"/>
      <c r="G47" s="527"/>
      <c r="H47" s="540">
        <v>0</v>
      </c>
      <c r="I47" s="527">
        <v>3</v>
      </c>
      <c r="J47" s="527">
        <v>986.25</v>
      </c>
      <c r="K47" s="540">
        <v>1</v>
      </c>
      <c r="L47" s="527">
        <v>3</v>
      </c>
      <c r="M47" s="528">
        <v>986.25</v>
      </c>
    </row>
    <row r="48" spans="1:13" ht="14.4" customHeight="1" x14ac:dyDescent="0.3">
      <c r="A48" s="523" t="s">
        <v>465</v>
      </c>
      <c r="B48" s="524" t="s">
        <v>1216</v>
      </c>
      <c r="C48" s="524" t="s">
        <v>574</v>
      </c>
      <c r="D48" s="524" t="s">
        <v>575</v>
      </c>
      <c r="E48" s="524" t="s">
        <v>576</v>
      </c>
      <c r="F48" s="527">
        <v>4</v>
      </c>
      <c r="G48" s="527">
        <v>854.36</v>
      </c>
      <c r="H48" s="540">
        <v>1</v>
      </c>
      <c r="I48" s="527"/>
      <c r="J48" s="527"/>
      <c r="K48" s="540">
        <v>0</v>
      </c>
      <c r="L48" s="527">
        <v>4</v>
      </c>
      <c r="M48" s="528">
        <v>854.36</v>
      </c>
    </row>
    <row r="49" spans="1:13" ht="14.4" customHeight="1" thickBot="1" x14ac:dyDescent="0.35">
      <c r="A49" s="529" t="s">
        <v>465</v>
      </c>
      <c r="B49" s="530" t="s">
        <v>1216</v>
      </c>
      <c r="C49" s="530" t="s">
        <v>1121</v>
      </c>
      <c r="D49" s="530" t="s">
        <v>1122</v>
      </c>
      <c r="E49" s="530" t="s">
        <v>576</v>
      </c>
      <c r="F49" s="533"/>
      <c r="G49" s="533"/>
      <c r="H49" s="541">
        <v>0</v>
      </c>
      <c r="I49" s="533">
        <v>9</v>
      </c>
      <c r="J49" s="533">
        <v>12252.505470339162</v>
      </c>
      <c r="K49" s="541">
        <v>1</v>
      </c>
      <c r="L49" s="533">
        <v>9</v>
      </c>
      <c r="M49" s="534">
        <v>12252.505470339162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4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8" bestFit="1" customWidth="1"/>
    <col min="2" max="2" width="9.33203125" style="88" customWidth="1"/>
    <col min="3" max="3" width="28.88671875" style="69" bestFit="1" customWidth="1"/>
    <col min="4" max="5" width="11.109375" style="89" customWidth="1"/>
    <col min="6" max="6" width="6.6640625" style="90" customWidth="1"/>
    <col min="7" max="7" width="12.21875" style="97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396" t="s">
        <v>195</v>
      </c>
      <c r="B1" s="397"/>
      <c r="C1" s="397"/>
      <c r="D1" s="397"/>
      <c r="E1" s="397"/>
      <c r="F1" s="397"/>
      <c r="G1" s="370"/>
    </row>
    <row r="2" spans="1:8" ht="14.4" customHeight="1" thickBot="1" x14ac:dyDescent="0.35">
      <c r="A2" s="478" t="s">
        <v>215</v>
      </c>
      <c r="B2" s="95"/>
      <c r="C2" s="95"/>
      <c r="D2" s="95"/>
      <c r="E2" s="95"/>
      <c r="F2" s="95"/>
    </row>
    <row r="3" spans="1:8" ht="14.4" customHeight="1" thickBot="1" x14ac:dyDescent="0.35">
      <c r="A3" s="144" t="s">
        <v>0</v>
      </c>
      <c r="B3" s="145" t="s">
        <v>1</v>
      </c>
      <c r="C3" s="272" t="s">
        <v>2</v>
      </c>
      <c r="D3" s="273" t="s">
        <v>3</v>
      </c>
      <c r="E3" s="273" t="s">
        <v>4</v>
      </c>
      <c r="F3" s="273" t="s">
        <v>5</v>
      </c>
      <c r="G3" s="274" t="s">
        <v>202</v>
      </c>
    </row>
    <row r="4" spans="1:8" ht="14.4" customHeight="1" x14ac:dyDescent="0.3">
      <c r="A4" s="508" t="s">
        <v>443</v>
      </c>
      <c r="B4" s="509" t="s">
        <v>444</v>
      </c>
      <c r="C4" s="510" t="s">
        <v>445</v>
      </c>
      <c r="D4" s="510" t="s">
        <v>444</v>
      </c>
      <c r="E4" s="510" t="s">
        <v>444</v>
      </c>
      <c r="F4" s="511" t="s">
        <v>444</v>
      </c>
      <c r="G4" s="510" t="s">
        <v>444</v>
      </c>
      <c r="H4" s="510" t="s">
        <v>96</v>
      </c>
    </row>
    <row r="5" spans="1:8" ht="14.4" customHeight="1" x14ac:dyDescent="0.3">
      <c r="A5" s="508" t="s">
        <v>443</v>
      </c>
      <c r="B5" s="509" t="s">
        <v>1272</v>
      </c>
      <c r="C5" s="510" t="s">
        <v>1273</v>
      </c>
      <c r="D5" s="510">
        <v>169668.83365649421</v>
      </c>
      <c r="E5" s="510">
        <v>125608.54999999999</v>
      </c>
      <c r="F5" s="511">
        <v>0.74031598669619436</v>
      </c>
      <c r="G5" s="510">
        <v>-44060.283656494226</v>
      </c>
      <c r="H5" s="510" t="s">
        <v>2</v>
      </c>
    </row>
    <row r="6" spans="1:8" ht="14.4" customHeight="1" x14ac:dyDescent="0.3">
      <c r="A6" s="508" t="s">
        <v>443</v>
      </c>
      <c r="B6" s="509" t="s">
        <v>1274</v>
      </c>
      <c r="C6" s="510" t="s">
        <v>1275</v>
      </c>
      <c r="D6" s="510">
        <v>1952910.7285340808</v>
      </c>
      <c r="E6" s="510">
        <v>2030512.8700000015</v>
      </c>
      <c r="F6" s="511">
        <v>1.0397366558194758</v>
      </c>
      <c r="G6" s="510">
        <v>77602.141465920722</v>
      </c>
      <c r="H6" s="510" t="s">
        <v>2</v>
      </c>
    </row>
    <row r="7" spans="1:8" ht="14.4" customHeight="1" x14ac:dyDescent="0.3">
      <c r="A7" s="508" t="s">
        <v>443</v>
      </c>
      <c r="B7" s="509" t="s">
        <v>1276</v>
      </c>
      <c r="C7" s="510" t="s">
        <v>1277</v>
      </c>
      <c r="D7" s="510">
        <v>10686.823106618247</v>
      </c>
      <c r="E7" s="510">
        <v>4022.1399999999994</v>
      </c>
      <c r="F7" s="511">
        <v>0.37636442185602631</v>
      </c>
      <c r="G7" s="510">
        <v>-6664.6831066182476</v>
      </c>
      <c r="H7" s="510" t="s">
        <v>2</v>
      </c>
    </row>
    <row r="8" spans="1:8" ht="14.4" customHeight="1" x14ac:dyDescent="0.3">
      <c r="A8" s="508" t="s">
        <v>443</v>
      </c>
      <c r="B8" s="509" t="s">
        <v>1278</v>
      </c>
      <c r="C8" s="510" t="s">
        <v>1279</v>
      </c>
      <c r="D8" s="510">
        <v>0</v>
      </c>
      <c r="E8" s="510">
        <v>216.11</v>
      </c>
      <c r="F8" s="511" t="s">
        <v>444</v>
      </c>
      <c r="G8" s="510">
        <v>216.11</v>
      </c>
      <c r="H8" s="510" t="s">
        <v>2</v>
      </c>
    </row>
    <row r="9" spans="1:8" ht="14.4" customHeight="1" x14ac:dyDescent="0.3">
      <c r="A9" s="508" t="s">
        <v>443</v>
      </c>
      <c r="B9" s="509" t="s">
        <v>1280</v>
      </c>
      <c r="C9" s="510" t="s">
        <v>1281</v>
      </c>
      <c r="D9" s="510">
        <v>157157.05989439876</v>
      </c>
      <c r="E9" s="510">
        <v>80071.75</v>
      </c>
      <c r="F9" s="511">
        <v>0.50950145067491071</v>
      </c>
      <c r="G9" s="510">
        <v>-77085.309894398757</v>
      </c>
      <c r="H9" s="510" t="s">
        <v>2</v>
      </c>
    </row>
    <row r="10" spans="1:8" ht="14.4" customHeight="1" x14ac:dyDescent="0.3">
      <c r="A10" s="508" t="s">
        <v>443</v>
      </c>
      <c r="B10" s="509" t="s">
        <v>1282</v>
      </c>
      <c r="C10" s="510" t="s">
        <v>1283</v>
      </c>
      <c r="D10" s="510">
        <v>65144.378419162349</v>
      </c>
      <c r="E10" s="510">
        <v>55672.86</v>
      </c>
      <c r="F10" s="511">
        <v>0.85460727926177771</v>
      </c>
      <c r="G10" s="510">
        <v>-9471.5184191623484</v>
      </c>
      <c r="H10" s="510" t="s">
        <v>2</v>
      </c>
    </row>
    <row r="11" spans="1:8" ht="14.4" customHeight="1" x14ac:dyDescent="0.3">
      <c r="A11" s="508" t="s">
        <v>443</v>
      </c>
      <c r="B11" s="509" t="s">
        <v>1284</v>
      </c>
      <c r="C11" s="510" t="s">
        <v>1285</v>
      </c>
      <c r="D11" s="510">
        <v>7125.140548477335</v>
      </c>
      <c r="E11" s="510">
        <v>6668.8900000000012</v>
      </c>
      <c r="F11" s="511">
        <v>0.93596609844070577</v>
      </c>
      <c r="G11" s="510">
        <v>-456.25054847733372</v>
      </c>
      <c r="H11" s="510" t="s">
        <v>2</v>
      </c>
    </row>
    <row r="12" spans="1:8" ht="14.4" customHeight="1" x14ac:dyDescent="0.3">
      <c r="A12" s="508" t="s">
        <v>443</v>
      </c>
      <c r="B12" s="509" t="s">
        <v>1286</v>
      </c>
      <c r="C12" s="510" t="s">
        <v>1287</v>
      </c>
      <c r="D12" s="510">
        <v>6413.3382785018648</v>
      </c>
      <c r="E12" s="510">
        <v>5820.54</v>
      </c>
      <c r="F12" s="511">
        <v>0.90756790726461722</v>
      </c>
      <c r="G12" s="510">
        <v>-592.79827850186484</v>
      </c>
      <c r="H12" s="510" t="s">
        <v>2</v>
      </c>
    </row>
    <row r="13" spans="1:8" ht="14.4" customHeight="1" x14ac:dyDescent="0.3">
      <c r="A13" s="508" t="s">
        <v>443</v>
      </c>
      <c r="B13" s="509" t="s">
        <v>1288</v>
      </c>
      <c r="C13" s="510" t="s">
        <v>1289</v>
      </c>
      <c r="D13" s="510">
        <v>113083.55699340662</v>
      </c>
      <c r="E13" s="510">
        <v>110927.59999999999</v>
      </c>
      <c r="F13" s="511">
        <v>0.98093483216545507</v>
      </c>
      <c r="G13" s="510">
        <v>-2155.956993406624</v>
      </c>
      <c r="H13" s="510" t="s">
        <v>2</v>
      </c>
    </row>
    <row r="14" spans="1:8" ht="14.4" customHeight="1" x14ac:dyDescent="0.3">
      <c r="A14" s="508" t="s">
        <v>443</v>
      </c>
      <c r="B14" s="509" t="s">
        <v>1290</v>
      </c>
      <c r="C14" s="510" t="s">
        <v>1291</v>
      </c>
      <c r="D14" s="510">
        <v>286160.93904075993</v>
      </c>
      <c r="E14" s="510">
        <v>257019.80401601273</v>
      </c>
      <c r="F14" s="511">
        <v>0.89816522435790436</v>
      </c>
      <c r="G14" s="510">
        <v>-29141.1350247472</v>
      </c>
      <c r="H14" s="510" t="s">
        <v>2</v>
      </c>
    </row>
    <row r="15" spans="1:8" ht="14.4" customHeight="1" x14ac:dyDescent="0.3">
      <c r="A15" s="508" t="s">
        <v>443</v>
      </c>
      <c r="B15" s="509" t="s">
        <v>6</v>
      </c>
      <c r="C15" s="510" t="s">
        <v>445</v>
      </c>
      <c r="D15" s="510">
        <v>2768350.7984718997</v>
      </c>
      <c r="E15" s="510">
        <v>2676541.1140160142</v>
      </c>
      <c r="F15" s="511">
        <v>0.9668359643920259</v>
      </c>
      <c r="G15" s="510">
        <v>-91809.684455885552</v>
      </c>
      <c r="H15" s="510" t="s">
        <v>458</v>
      </c>
    </row>
    <row r="17" spans="1:8" ht="14.4" customHeight="1" x14ac:dyDescent="0.3">
      <c r="A17" s="508" t="s">
        <v>443</v>
      </c>
      <c r="B17" s="509" t="s">
        <v>444</v>
      </c>
      <c r="C17" s="510" t="s">
        <v>445</v>
      </c>
      <c r="D17" s="510" t="s">
        <v>444</v>
      </c>
      <c r="E17" s="510" t="s">
        <v>444</v>
      </c>
      <c r="F17" s="511" t="s">
        <v>444</v>
      </c>
      <c r="G17" s="510" t="s">
        <v>444</v>
      </c>
      <c r="H17" s="510" t="s">
        <v>96</v>
      </c>
    </row>
    <row r="18" spans="1:8" ht="14.4" customHeight="1" x14ac:dyDescent="0.3">
      <c r="A18" s="508" t="s">
        <v>459</v>
      </c>
      <c r="B18" s="509" t="s">
        <v>1272</v>
      </c>
      <c r="C18" s="510" t="s">
        <v>1273</v>
      </c>
      <c r="D18" s="510">
        <v>38345.355159054525</v>
      </c>
      <c r="E18" s="510">
        <v>30938.680000000004</v>
      </c>
      <c r="F18" s="511">
        <v>0.80684296368277153</v>
      </c>
      <c r="G18" s="510">
        <v>-7406.6751590545209</v>
      </c>
      <c r="H18" s="510" t="s">
        <v>2</v>
      </c>
    </row>
    <row r="19" spans="1:8" ht="14.4" customHeight="1" x14ac:dyDescent="0.3">
      <c r="A19" s="508" t="s">
        <v>459</v>
      </c>
      <c r="B19" s="509" t="s">
        <v>1274</v>
      </c>
      <c r="C19" s="510" t="s">
        <v>1275</v>
      </c>
      <c r="D19" s="510">
        <v>122212.365391923</v>
      </c>
      <c r="E19" s="510">
        <v>123315.49</v>
      </c>
      <c r="F19" s="511">
        <v>1.0090262929167551</v>
      </c>
      <c r="G19" s="510">
        <v>1103.124608077007</v>
      </c>
      <c r="H19" s="510" t="s">
        <v>2</v>
      </c>
    </row>
    <row r="20" spans="1:8" ht="14.4" customHeight="1" x14ac:dyDescent="0.3">
      <c r="A20" s="508" t="s">
        <v>459</v>
      </c>
      <c r="B20" s="509" t="s">
        <v>1276</v>
      </c>
      <c r="C20" s="510" t="s">
        <v>1277</v>
      </c>
      <c r="D20" s="510">
        <v>712.43207503619772</v>
      </c>
      <c r="E20" s="510">
        <v>1306.8</v>
      </c>
      <c r="F20" s="511">
        <v>1.8342801311038714</v>
      </c>
      <c r="G20" s="510">
        <v>594.36792496380224</v>
      </c>
      <c r="H20" s="510" t="s">
        <v>2</v>
      </c>
    </row>
    <row r="21" spans="1:8" ht="14.4" customHeight="1" x14ac:dyDescent="0.3">
      <c r="A21" s="508" t="s">
        <v>459</v>
      </c>
      <c r="B21" s="509" t="s">
        <v>1282</v>
      </c>
      <c r="C21" s="510" t="s">
        <v>1283</v>
      </c>
      <c r="D21" s="510">
        <v>2250</v>
      </c>
      <c r="E21" s="510">
        <v>2105.4</v>
      </c>
      <c r="F21" s="511">
        <v>0.93573333333333342</v>
      </c>
      <c r="G21" s="510">
        <v>-144.59999999999991</v>
      </c>
      <c r="H21" s="510" t="s">
        <v>2</v>
      </c>
    </row>
    <row r="22" spans="1:8" ht="14.4" customHeight="1" x14ac:dyDescent="0.3">
      <c r="A22" s="508" t="s">
        <v>459</v>
      </c>
      <c r="B22" s="509" t="s">
        <v>1286</v>
      </c>
      <c r="C22" s="510" t="s">
        <v>1287</v>
      </c>
      <c r="D22" s="510">
        <v>712.57413931860447</v>
      </c>
      <c r="E22" s="510">
        <v>658</v>
      </c>
      <c r="F22" s="511">
        <v>0.92341268605286364</v>
      </c>
      <c r="G22" s="510">
        <v>-54.574139318604466</v>
      </c>
      <c r="H22" s="510" t="s">
        <v>2</v>
      </c>
    </row>
    <row r="23" spans="1:8" ht="14.4" customHeight="1" x14ac:dyDescent="0.3">
      <c r="A23" s="508" t="s">
        <v>459</v>
      </c>
      <c r="B23" s="509" t="s">
        <v>1288</v>
      </c>
      <c r="C23" s="510" t="s">
        <v>1289</v>
      </c>
      <c r="D23" s="510">
        <v>22090.451655285524</v>
      </c>
      <c r="E23" s="510">
        <v>21325</v>
      </c>
      <c r="F23" s="511">
        <v>0.96534920755672393</v>
      </c>
      <c r="G23" s="510">
        <v>-765.45165528552388</v>
      </c>
      <c r="H23" s="510" t="s">
        <v>2</v>
      </c>
    </row>
    <row r="24" spans="1:8" ht="14.4" customHeight="1" x14ac:dyDescent="0.3">
      <c r="A24" s="508" t="s">
        <v>459</v>
      </c>
      <c r="B24" s="509" t="s">
        <v>1290</v>
      </c>
      <c r="C24" s="510" t="s">
        <v>1291</v>
      </c>
      <c r="D24" s="510">
        <v>67437.949718489399</v>
      </c>
      <c r="E24" s="510">
        <v>49368.886047532986</v>
      </c>
      <c r="F24" s="511">
        <v>0.73206386394629019</v>
      </c>
      <c r="G24" s="510">
        <v>-18069.063670956413</v>
      </c>
      <c r="H24" s="510" t="s">
        <v>2</v>
      </c>
    </row>
    <row r="25" spans="1:8" ht="14.4" customHeight="1" x14ac:dyDescent="0.3">
      <c r="A25" s="508" t="s">
        <v>459</v>
      </c>
      <c r="B25" s="509" t="s">
        <v>6</v>
      </c>
      <c r="C25" s="510" t="s">
        <v>460</v>
      </c>
      <c r="D25" s="510">
        <v>253761.12813910726</v>
      </c>
      <c r="E25" s="510">
        <v>229018.25604753298</v>
      </c>
      <c r="F25" s="511">
        <v>0.90249542050423626</v>
      </c>
      <c r="G25" s="510">
        <v>-24742.872091574274</v>
      </c>
      <c r="H25" s="510" t="s">
        <v>461</v>
      </c>
    </row>
    <row r="26" spans="1:8" ht="14.4" customHeight="1" x14ac:dyDescent="0.3">
      <c r="A26" s="508" t="s">
        <v>444</v>
      </c>
      <c r="B26" s="509" t="s">
        <v>444</v>
      </c>
      <c r="C26" s="510" t="s">
        <v>444</v>
      </c>
      <c r="D26" s="510" t="s">
        <v>444</v>
      </c>
      <c r="E26" s="510" t="s">
        <v>444</v>
      </c>
      <c r="F26" s="511" t="s">
        <v>444</v>
      </c>
      <c r="G26" s="510" t="s">
        <v>444</v>
      </c>
      <c r="H26" s="510" t="s">
        <v>462</v>
      </c>
    </row>
    <row r="27" spans="1:8" ht="14.4" customHeight="1" x14ac:dyDescent="0.3">
      <c r="A27" s="508" t="s">
        <v>463</v>
      </c>
      <c r="B27" s="509" t="s">
        <v>1272</v>
      </c>
      <c r="C27" s="510" t="s">
        <v>1273</v>
      </c>
      <c r="D27" s="510">
        <v>18103.37126034945</v>
      </c>
      <c r="E27" s="510">
        <v>12826.830000000004</v>
      </c>
      <c r="F27" s="511">
        <v>0.70853267137561904</v>
      </c>
      <c r="G27" s="510">
        <v>-5276.541260349446</v>
      </c>
      <c r="H27" s="510" t="s">
        <v>2</v>
      </c>
    </row>
    <row r="28" spans="1:8" ht="14.4" customHeight="1" x14ac:dyDescent="0.3">
      <c r="A28" s="508" t="s">
        <v>463</v>
      </c>
      <c r="B28" s="509" t="s">
        <v>1274</v>
      </c>
      <c r="C28" s="510" t="s">
        <v>1275</v>
      </c>
      <c r="D28" s="510">
        <v>255074.76162875249</v>
      </c>
      <c r="E28" s="510">
        <v>255672.80000000008</v>
      </c>
      <c r="F28" s="511">
        <v>1.002344561129564</v>
      </c>
      <c r="G28" s="510">
        <v>598.03837124758866</v>
      </c>
      <c r="H28" s="510" t="s">
        <v>2</v>
      </c>
    </row>
    <row r="29" spans="1:8" ht="14.4" customHeight="1" x14ac:dyDescent="0.3">
      <c r="A29" s="508" t="s">
        <v>463</v>
      </c>
      <c r="B29" s="509" t="s">
        <v>1276</v>
      </c>
      <c r="C29" s="510" t="s">
        <v>1277</v>
      </c>
      <c r="D29" s="510">
        <v>712.43207503619772</v>
      </c>
      <c r="E29" s="510">
        <v>101.74</v>
      </c>
      <c r="F29" s="511">
        <v>0.14280659667776852</v>
      </c>
      <c r="G29" s="510">
        <v>-610.69207503619771</v>
      </c>
      <c r="H29" s="510" t="s">
        <v>2</v>
      </c>
    </row>
    <row r="30" spans="1:8" ht="14.4" customHeight="1" x14ac:dyDescent="0.3">
      <c r="A30" s="508" t="s">
        <v>463</v>
      </c>
      <c r="B30" s="509" t="s">
        <v>1284</v>
      </c>
      <c r="C30" s="510" t="s">
        <v>1285</v>
      </c>
      <c r="D30" s="510">
        <v>0</v>
      </c>
      <c r="E30" s="510">
        <v>666.84</v>
      </c>
      <c r="F30" s="511" t="s">
        <v>444</v>
      </c>
      <c r="G30" s="510">
        <v>666.84</v>
      </c>
      <c r="H30" s="510" t="s">
        <v>2</v>
      </c>
    </row>
    <row r="31" spans="1:8" ht="14.4" customHeight="1" x14ac:dyDescent="0.3">
      <c r="A31" s="508" t="s">
        <v>463</v>
      </c>
      <c r="B31" s="509" t="s">
        <v>1286</v>
      </c>
      <c r="C31" s="510" t="s">
        <v>1287</v>
      </c>
      <c r="D31" s="510">
        <v>712.57413931860447</v>
      </c>
      <c r="E31" s="510">
        <v>483.75</v>
      </c>
      <c r="F31" s="511">
        <v>0.67887672777822605</v>
      </c>
      <c r="G31" s="510">
        <v>-228.82413931860447</v>
      </c>
      <c r="H31" s="510" t="s">
        <v>2</v>
      </c>
    </row>
    <row r="32" spans="1:8" ht="14.4" customHeight="1" x14ac:dyDescent="0.3">
      <c r="A32" s="508" t="s">
        <v>463</v>
      </c>
      <c r="B32" s="509" t="s">
        <v>1288</v>
      </c>
      <c r="C32" s="510" t="s">
        <v>1289</v>
      </c>
      <c r="D32" s="510">
        <v>29929.037634951528</v>
      </c>
      <c r="E32" s="510">
        <v>27161.8</v>
      </c>
      <c r="F32" s="511">
        <v>0.90754003958617391</v>
      </c>
      <c r="G32" s="510">
        <v>-2767.2376349515289</v>
      </c>
      <c r="H32" s="510" t="s">
        <v>2</v>
      </c>
    </row>
    <row r="33" spans="1:8" ht="14.4" customHeight="1" x14ac:dyDescent="0.3">
      <c r="A33" s="508" t="s">
        <v>463</v>
      </c>
      <c r="B33" s="509" t="s">
        <v>1290</v>
      </c>
      <c r="C33" s="510" t="s">
        <v>1291</v>
      </c>
      <c r="D33" s="510">
        <v>0</v>
      </c>
      <c r="E33" s="510">
        <v>1597.2</v>
      </c>
      <c r="F33" s="511" t="s">
        <v>444</v>
      </c>
      <c r="G33" s="510">
        <v>1597.2</v>
      </c>
      <c r="H33" s="510" t="s">
        <v>2</v>
      </c>
    </row>
    <row r="34" spans="1:8" ht="14.4" customHeight="1" x14ac:dyDescent="0.3">
      <c r="A34" s="508" t="s">
        <v>463</v>
      </c>
      <c r="B34" s="509" t="s">
        <v>6</v>
      </c>
      <c r="C34" s="510" t="s">
        <v>464</v>
      </c>
      <c r="D34" s="510">
        <v>304532.17673840834</v>
      </c>
      <c r="E34" s="510">
        <v>298510.96000000008</v>
      </c>
      <c r="F34" s="511">
        <v>0.98022797852464549</v>
      </c>
      <c r="G34" s="510">
        <v>-6021.2167384082568</v>
      </c>
      <c r="H34" s="510" t="s">
        <v>461</v>
      </c>
    </row>
    <row r="35" spans="1:8" ht="14.4" customHeight="1" x14ac:dyDescent="0.3">
      <c r="A35" s="508" t="s">
        <v>444</v>
      </c>
      <c r="B35" s="509" t="s">
        <v>444</v>
      </c>
      <c r="C35" s="510" t="s">
        <v>444</v>
      </c>
      <c r="D35" s="510" t="s">
        <v>444</v>
      </c>
      <c r="E35" s="510" t="s">
        <v>444</v>
      </c>
      <c r="F35" s="511" t="s">
        <v>444</v>
      </c>
      <c r="G35" s="510" t="s">
        <v>444</v>
      </c>
      <c r="H35" s="510" t="s">
        <v>462</v>
      </c>
    </row>
    <row r="36" spans="1:8" ht="14.4" customHeight="1" x14ac:dyDescent="0.3">
      <c r="A36" s="508" t="s">
        <v>465</v>
      </c>
      <c r="B36" s="509" t="s">
        <v>1272</v>
      </c>
      <c r="C36" s="510" t="s">
        <v>1273</v>
      </c>
      <c r="D36" s="510">
        <v>113220.10723709024</v>
      </c>
      <c r="E36" s="510">
        <v>81843.040000000008</v>
      </c>
      <c r="F36" s="511">
        <v>0.72286665325811239</v>
      </c>
      <c r="G36" s="510">
        <v>-31377.067237090232</v>
      </c>
      <c r="H36" s="510" t="s">
        <v>2</v>
      </c>
    </row>
    <row r="37" spans="1:8" ht="14.4" customHeight="1" x14ac:dyDescent="0.3">
      <c r="A37" s="508" t="s">
        <v>465</v>
      </c>
      <c r="B37" s="509" t="s">
        <v>1274</v>
      </c>
      <c r="C37" s="510" t="s">
        <v>1275</v>
      </c>
      <c r="D37" s="510">
        <v>1575623.6015134051</v>
      </c>
      <c r="E37" s="510">
        <v>1651524.5800000005</v>
      </c>
      <c r="F37" s="511">
        <v>1.0481720243424202</v>
      </c>
      <c r="G37" s="510">
        <v>75900.978486595443</v>
      </c>
      <c r="H37" s="510" t="s">
        <v>2</v>
      </c>
    </row>
    <row r="38" spans="1:8" ht="14.4" customHeight="1" x14ac:dyDescent="0.3">
      <c r="A38" s="508" t="s">
        <v>465</v>
      </c>
      <c r="B38" s="509" t="s">
        <v>1276</v>
      </c>
      <c r="C38" s="510" t="s">
        <v>1277</v>
      </c>
      <c r="D38" s="510">
        <v>9261.95895654585</v>
      </c>
      <c r="E38" s="510">
        <v>2613.6</v>
      </c>
      <c r="F38" s="511">
        <v>0.28218652363524555</v>
      </c>
      <c r="G38" s="510">
        <v>-6648.3589565458497</v>
      </c>
      <c r="H38" s="510" t="s">
        <v>2</v>
      </c>
    </row>
    <row r="39" spans="1:8" ht="14.4" customHeight="1" x14ac:dyDescent="0.3">
      <c r="A39" s="508" t="s">
        <v>465</v>
      </c>
      <c r="B39" s="509" t="s">
        <v>1278</v>
      </c>
      <c r="C39" s="510" t="s">
        <v>1279</v>
      </c>
      <c r="D39" s="510">
        <v>0</v>
      </c>
      <c r="E39" s="510">
        <v>216.11</v>
      </c>
      <c r="F39" s="511" t="s">
        <v>444</v>
      </c>
      <c r="G39" s="510">
        <v>216.11</v>
      </c>
      <c r="H39" s="510" t="s">
        <v>2</v>
      </c>
    </row>
    <row r="40" spans="1:8" ht="14.4" customHeight="1" x14ac:dyDescent="0.3">
      <c r="A40" s="508" t="s">
        <v>465</v>
      </c>
      <c r="B40" s="509" t="s">
        <v>1280</v>
      </c>
      <c r="C40" s="510" t="s">
        <v>1281</v>
      </c>
      <c r="D40" s="510">
        <v>157157.05989439876</v>
      </c>
      <c r="E40" s="510">
        <v>80071.75</v>
      </c>
      <c r="F40" s="511">
        <v>0.50950145067491071</v>
      </c>
      <c r="G40" s="510">
        <v>-77085.309894398757</v>
      </c>
      <c r="H40" s="510" t="s">
        <v>2</v>
      </c>
    </row>
    <row r="41" spans="1:8" ht="14.4" customHeight="1" x14ac:dyDescent="0.3">
      <c r="A41" s="508" t="s">
        <v>465</v>
      </c>
      <c r="B41" s="509" t="s">
        <v>1282</v>
      </c>
      <c r="C41" s="510" t="s">
        <v>1283</v>
      </c>
      <c r="D41" s="510">
        <v>62894.378419162349</v>
      </c>
      <c r="E41" s="510">
        <v>53567.46</v>
      </c>
      <c r="F41" s="511">
        <v>0.85170505451214273</v>
      </c>
      <c r="G41" s="510">
        <v>-9326.9184191623499</v>
      </c>
      <c r="H41" s="510" t="s">
        <v>2</v>
      </c>
    </row>
    <row r="42" spans="1:8" ht="14.4" customHeight="1" x14ac:dyDescent="0.3">
      <c r="A42" s="508" t="s">
        <v>465</v>
      </c>
      <c r="B42" s="509" t="s">
        <v>1284</v>
      </c>
      <c r="C42" s="510" t="s">
        <v>1285</v>
      </c>
      <c r="D42" s="510">
        <v>7125.140548477335</v>
      </c>
      <c r="E42" s="510">
        <v>6002.05</v>
      </c>
      <c r="F42" s="511">
        <v>0.8423763656539599</v>
      </c>
      <c r="G42" s="510">
        <v>-1123.0905484773348</v>
      </c>
      <c r="H42" s="510" t="s">
        <v>2</v>
      </c>
    </row>
    <row r="43" spans="1:8" ht="14.4" customHeight="1" x14ac:dyDescent="0.3">
      <c r="A43" s="508" t="s">
        <v>465</v>
      </c>
      <c r="B43" s="509" t="s">
        <v>1286</v>
      </c>
      <c r="C43" s="510" t="s">
        <v>1287</v>
      </c>
      <c r="D43" s="510">
        <v>4988.189999864655</v>
      </c>
      <c r="E43" s="510">
        <v>4678.79</v>
      </c>
      <c r="F43" s="511">
        <v>0.93797349341684055</v>
      </c>
      <c r="G43" s="510">
        <v>-309.399999864655</v>
      </c>
      <c r="H43" s="510" t="s">
        <v>2</v>
      </c>
    </row>
    <row r="44" spans="1:8" ht="14.4" customHeight="1" x14ac:dyDescent="0.3">
      <c r="A44" s="508" t="s">
        <v>465</v>
      </c>
      <c r="B44" s="509" t="s">
        <v>1288</v>
      </c>
      <c r="C44" s="510" t="s">
        <v>1289</v>
      </c>
      <c r="D44" s="510">
        <v>61064.06770316956</v>
      </c>
      <c r="E44" s="510">
        <v>62440.800000000003</v>
      </c>
      <c r="F44" s="511">
        <v>1.0225457023846281</v>
      </c>
      <c r="G44" s="510">
        <v>1376.7322968304434</v>
      </c>
      <c r="H44" s="510" t="s">
        <v>2</v>
      </c>
    </row>
    <row r="45" spans="1:8" ht="14.4" customHeight="1" x14ac:dyDescent="0.3">
      <c r="A45" s="508" t="s">
        <v>465</v>
      </c>
      <c r="B45" s="509" t="s">
        <v>1290</v>
      </c>
      <c r="C45" s="510" t="s">
        <v>1291</v>
      </c>
      <c r="D45" s="510">
        <v>218722.9893222705</v>
      </c>
      <c r="E45" s="510">
        <v>206053.71796847973</v>
      </c>
      <c r="F45" s="511">
        <v>0.94207617867217597</v>
      </c>
      <c r="G45" s="510">
        <v>-12669.271353790769</v>
      </c>
      <c r="H45" s="510" t="s">
        <v>2</v>
      </c>
    </row>
    <row r="46" spans="1:8" ht="14.4" customHeight="1" x14ac:dyDescent="0.3">
      <c r="A46" s="508" t="s">
        <v>465</v>
      </c>
      <c r="B46" s="509" t="s">
        <v>6</v>
      </c>
      <c r="C46" s="510" t="s">
        <v>466</v>
      </c>
      <c r="D46" s="510">
        <v>2210057.4935943843</v>
      </c>
      <c r="E46" s="510">
        <v>2149011.8979684804</v>
      </c>
      <c r="F46" s="511">
        <v>0.9723782771249897</v>
      </c>
      <c r="G46" s="510">
        <v>-61045.595625903923</v>
      </c>
      <c r="H46" s="510" t="s">
        <v>461</v>
      </c>
    </row>
    <row r="47" spans="1:8" ht="14.4" customHeight="1" x14ac:dyDescent="0.3">
      <c r="A47" s="508" t="s">
        <v>444</v>
      </c>
      <c r="B47" s="509" t="s">
        <v>444</v>
      </c>
      <c r="C47" s="510" t="s">
        <v>444</v>
      </c>
      <c r="D47" s="510" t="s">
        <v>444</v>
      </c>
      <c r="E47" s="510" t="s">
        <v>444</v>
      </c>
      <c r="F47" s="511" t="s">
        <v>444</v>
      </c>
      <c r="G47" s="510" t="s">
        <v>444</v>
      </c>
      <c r="H47" s="510" t="s">
        <v>462</v>
      </c>
    </row>
    <row r="48" spans="1:8" ht="14.4" customHeight="1" x14ac:dyDescent="0.3">
      <c r="A48" s="508" t="s">
        <v>443</v>
      </c>
      <c r="B48" s="509" t="s">
        <v>6</v>
      </c>
      <c r="C48" s="510" t="s">
        <v>445</v>
      </c>
      <c r="D48" s="510">
        <v>2768350.7984718997</v>
      </c>
      <c r="E48" s="510">
        <v>2676541.1140160132</v>
      </c>
      <c r="F48" s="511">
        <v>0.96683596439202557</v>
      </c>
      <c r="G48" s="510">
        <v>-91809.684455886483</v>
      </c>
      <c r="H48" s="510" t="s">
        <v>458</v>
      </c>
    </row>
  </sheetData>
  <autoFilter ref="A3:G3"/>
  <mergeCells count="1">
    <mergeCell ref="A1:G1"/>
  </mergeCells>
  <conditionalFormatting sqref="F16 F49:F65536">
    <cfRule type="cellIs" dxfId="36" priority="19" stopIfTrue="1" operator="greaterThan">
      <formula>1</formula>
    </cfRule>
  </conditionalFormatting>
  <conditionalFormatting sqref="G4:G15">
    <cfRule type="cellIs" dxfId="35" priority="12" operator="greaterThan">
      <formula>0</formula>
    </cfRule>
  </conditionalFormatting>
  <conditionalFormatting sqref="F4:F15">
    <cfRule type="cellIs" dxfId="34" priority="14" operator="greaterThan">
      <formula>1</formula>
    </cfRule>
  </conditionalFormatting>
  <conditionalFormatting sqref="B4:B15">
    <cfRule type="expression" dxfId="33" priority="18">
      <formula>AND(LEFT(H4,6)&lt;&gt;"mezera",H4&lt;&gt;"")</formula>
    </cfRule>
  </conditionalFormatting>
  <conditionalFormatting sqref="A4:A15">
    <cfRule type="expression" dxfId="32" priority="15">
      <formula>AND(H4&lt;&gt;"",H4&lt;&gt;"mezeraKL")</formula>
    </cfRule>
  </conditionalFormatting>
  <conditionalFormatting sqref="B4:G15">
    <cfRule type="expression" dxfId="31" priority="16">
      <formula>$H4="SumaNS"</formula>
    </cfRule>
    <cfRule type="expression" dxfId="30" priority="17">
      <formula>OR($H4="KL",$H4="SumaKL")</formula>
    </cfRule>
  </conditionalFormatting>
  <conditionalFormatting sqref="A4:G15">
    <cfRule type="expression" dxfId="29" priority="13">
      <formula>$H4&lt;&gt;""</formula>
    </cfRule>
  </conditionalFormatting>
  <conditionalFormatting sqref="F4:F15">
    <cfRule type="cellIs" dxfId="28" priority="9" operator="greaterThan">
      <formula>1</formula>
    </cfRule>
  </conditionalFormatting>
  <conditionalFormatting sqref="F4:F15">
    <cfRule type="expression" dxfId="27" priority="10">
      <formula>$H4="SumaNS"</formula>
    </cfRule>
    <cfRule type="expression" dxfId="26" priority="11">
      <formula>OR($H4="KL",$H4="SumaKL")</formula>
    </cfRule>
  </conditionalFormatting>
  <conditionalFormatting sqref="F4:F15">
    <cfRule type="expression" dxfId="25" priority="8">
      <formula>$H4&lt;&gt;""</formula>
    </cfRule>
  </conditionalFormatting>
  <conditionalFormatting sqref="G17:G48">
    <cfRule type="cellIs" dxfId="24" priority="1" operator="greaterThan">
      <formula>0</formula>
    </cfRule>
  </conditionalFormatting>
  <conditionalFormatting sqref="F17:F48">
    <cfRule type="cellIs" dxfId="23" priority="3" operator="greaterThan">
      <formula>1</formula>
    </cfRule>
  </conditionalFormatting>
  <conditionalFormatting sqref="B17:B48">
    <cfRule type="expression" dxfId="22" priority="7">
      <formula>AND(LEFT(H17,6)&lt;&gt;"mezera",H17&lt;&gt;"")</formula>
    </cfRule>
  </conditionalFormatting>
  <conditionalFormatting sqref="A17:A48">
    <cfRule type="expression" dxfId="21" priority="4">
      <formula>AND(H17&lt;&gt;"",H17&lt;&gt;"mezeraKL")</formula>
    </cfRule>
  </conditionalFormatting>
  <conditionalFormatting sqref="B17:G48">
    <cfRule type="expression" dxfId="20" priority="5">
      <formula>$H17="SumaNS"</formula>
    </cfRule>
    <cfRule type="expression" dxfId="19" priority="6">
      <formula>OR($H17="KL",$H17="SumaKL")</formula>
    </cfRule>
  </conditionalFormatting>
  <conditionalFormatting sqref="A17:G48">
    <cfRule type="expression" dxfId="18" priority="2">
      <formula>$H17&lt;&gt;""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89" bestFit="1" customWidth="1" collapsed="1"/>
    <col min="4" max="4" width="18.77734375" style="91" customWidth="1"/>
    <col min="5" max="5" width="9" style="89" bestFit="1" customWidth="1"/>
    <col min="6" max="6" width="18.77734375" style="91" customWidth="1"/>
    <col min="7" max="7" width="12.44140625" style="89" hidden="1" customWidth="1" outlineLevel="1"/>
    <col min="8" max="8" width="25.77734375" style="89" customWidth="1" collapsed="1"/>
    <col min="9" max="9" width="7.77734375" style="97" customWidth="1"/>
    <col min="10" max="10" width="10" style="97" customWidth="1"/>
    <col min="11" max="11" width="11.109375" style="97" customWidth="1"/>
    <col min="12" max="16384" width="8.88671875" style="69"/>
  </cols>
  <sheetData>
    <row r="1" spans="1:11" ht="18.600000000000001" customHeight="1" thickBot="1" x14ac:dyDescent="0.4">
      <c r="A1" s="402" t="s">
        <v>196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 ht="14.4" customHeight="1" thickBot="1" x14ac:dyDescent="0.35">
      <c r="A2" s="478" t="s">
        <v>215</v>
      </c>
      <c r="B2" s="87"/>
      <c r="C2" s="275"/>
      <c r="D2" s="275"/>
      <c r="E2" s="275"/>
      <c r="F2" s="275"/>
      <c r="G2" s="275"/>
      <c r="H2" s="275"/>
      <c r="I2" s="276"/>
      <c r="J2" s="276"/>
      <c r="K2" s="276"/>
    </row>
    <row r="3" spans="1:11" ht="14.4" customHeight="1" thickBot="1" x14ac:dyDescent="0.35">
      <c r="A3" s="87"/>
      <c r="B3" s="87"/>
      <c r="C3" s="398"/>
      <c r="D3" s="399"/>
      <c r="E3" s="399"/>
      <c r="F3" s="399"/>
      <c r="G3" s="399"/>
      <c r="H3" s="280" t="s">
        <v>183</v>
      </c>
      <c r="I3" s="277">
        <f>IF(J3&lt;&gt;0,K3/J3,0)</f>
        <v>5.8460121243446395</v>
      </c>
      <c r="J3" s="277">
        <f>SUBTOTAL(9,J5:J1048576)</f>
        <v>457840.5</v>
      </c>
      <c r="K3" s="278">
        <f>SUBTOTAL(9,K5:K1048576)</f>
        <v>2676541.1140160118</v>
      </c>
    </row>
    <row r="4" spans="1:11" s="88" customFormat="1" ht="14.4" customHeight="1" thickBot="1" x14ac:dyDescent="0.35">
      <c r="A4" s="512" t="s">
        <v>7</v>
      </c>
      <c r="B4" s="513" t="s">
        <v>8</v>
      </c>
      <c r="C4" s="513" t="s">
        <v>0</v>
      </c>
      <c r="D4" s="513" t="s">
        <v>9</v>
      </c>
      <c r="E4" s="513" t="s">
        <v>10</v>
      </c>
      <c r="F4" s="513" t="s">
        <v>2</v>
      </c>
      <c r="G4" s="513" t="s">
        <v>114</v>
      </c>
      <c r="H4" s="514" t="s">
        <v>14</v>
      </c>
      <c r="I4" s="515" t="s">
        <v>203</v>
      </c>
      <c r="J4" s="515" t="s">
        <v>16</v>
      </c>
      <c r="K4" s="516" t="s">
        <v>214</v>
      </c>
    </row>
    <row r="5" spans="1:11" ht="14.4" customHeight="1" x14ac:dyDescent="0.3">
      <c r="A5" s="517" t="s">
        <v>443</v>
      </c>
      <c r="B5" s="518" t="s">
        <v>445</v>
      </c>
      <c r="C5" s="519" t="s">
        <v>459</v>
      </c>
      <c r="D5" s="520" t="s">
        <v>460</v>
      </c>
      <c r="E5" s="519" t="s">
        <v>1272</v>
      </c>
      <c r="F5" s="520" t="s">
        <v>1273</v>
      </c>
      <c r="G5" s="519" t="s">
        <v>1292</v>
      </c>
      <c r="H5" s="519" t="s">
        <v>1293</v>
      </c>
      <c r="I5" s="521">
        <v>4.3</v>
      </c>
      <c r="J5" s="521">
        <v>24</v>
      </c>
      <c r="K5" s="522">
        <v>103.2</v>
      </c>
    </row>
    <row r="6" spans="1:11" ht="14.4" customHeight="1" x14ac:dyDescent="0.3">
      <c r="A6" s="523" t="s">
        <v>443</v>
      </c>
      <c r="B6" s="524" t="s">
        <v>445</v>
      </c>
      <c r="C6" s="525" t="s">
        <v>459</v>
      </c>
      <c r="D6" s="526" t="s">
        <v>460</v>
      </c>
      <c r="E6" s="525" t="s">
        <v>1272</v>
      </c>
      <c r="F6" s="526" t="s">
        <v>1273</v>
      </c>
      <c r="G6" s="525" t="s">
        <v>1294</v>
      </c>
      <c r="H6" s="525" t="s">
        <v>1295</v>
      </c>
      <c r="I6" s="527">
        <v>0.39500000000000002</v>
      </c>
      <c r="J6" s="527">
        <v>700</v>
      </c>
      <c r="K6" s="528">
        <v>275</v>
      </c>
    </row>
    <row r="7" spans="1:11" ht="14.4" customHeight="1" x14ac:dyDescent="0.3">
      <c r="A7" s="523" t="s">
        <v>443</v>
      </c>
      <c r="B7" s="524" t="s">
        <v>445</v>
      </c>
      <c r="C7" s="525" t="s">
        <v>459</v>
      </c>
      <c r="D7" s="526" t="s">
        <v>460</v>
      </c>
      <c r="E7" s="525" t="s">
        <v>1272</v>
      </c>
      <c r="F7" s="526" t="s">
        <v>1273</v>
      </c>
      <c r="G7" s="525" t="s">
        <v>1296</v>
      </c>
      <c r="H7" s="525" t="s">
        <v>1297</v>
      </c>
      <c r="I7" s="527">
        <v>27.302500000000002</v>
      </c>
      <c r="J7" s="527">
        <v>20</v>
      </c>
      <c r="K7" s="528">
        <v>546.7700000000001</v>
      </c>
    </row>
    <row r="8" spans="1:11" ht="14.4" customHeight="1" x14ac:dyDescent="0.3">
      <c r="A8" s="523" t="s">
        <v>443</v>
      </c>
      <c r="B8" s="524" t="s">
        <v>445</v>
      </c>
      <c r="C8" s="525" t="s">
        <v>459</v>
      </c>
      <c r="D8" s="526" t="s">
        <v>460</v>
      </c>
      <c r="E8" s="525" t="s">
        <v>1272</v>
      </c>
      <c r="F8" s="526" t="s">
        <v>1273</v>
      </c>
      <c r="G8" s="525" t="s">
        <v>1298</v>
      </c>
      <c r="H8" s="525" t="s">
        <v>1299</v>
      </c>
      <c r="I8" s="527">
        <v>0.14374999999999999</v>
      </c>
      <c r="J8" s="527">
        <v>2800</v>
      </c>
      <c r="K8" s="528">
        <v>403</v>
      </c>
    </row>
    <row r="9" spans="1:11" ht="14.4" customHeight="1" x14ac:dyDescent="0.3">
      <c r="A9" s="523" t="s">
        <v>443</v>
      </c>
      <c r="B9" s="524" t="s">
        <v>445</v>
      </c>
      <c r="C9" s="525" t="s">
        <v>459</v>
      </c>
      <c r="D9" s="526" t="s">
        <v>460</v>
      </c>
      <c r="E9" s="525" t="s">
        <v>1272</v>
      </c>
      <c r="F9" s="526" t="s">
        <v>1273</v>
      </c>
      <c r="G9" s="525" t="s">
        <v>1300</v>
      </c>
      <c r="H9" s="525" t="s">
        <v>1301</v>
      </c>
      <c r="I9" s="527">
        <v>2.69</v>
      </c>
      <c r="J9" s="527">
        <v>100</v>
      </c>
      <c r="K9" s="528">
        <v>269</v>
      </c>
    </row>
    <row r="10" spans="1:11" ht="14.4" customHeight="1" x14ac:dyDescent="0.3">
      <c r="A10" s="523" t="s">
        <v>443</v>
      </c>
      <c r="B10" s="524" t="s">
        <v>445</v>
      </c>
      <c r="C10" s="525" t="s">
        <v>459</v>
      </c>
      <c r="D10" s="526" t="s">
        <v>460</v>
      </c>
      <c r="E10" s="525" t="s">
        <v>1272</v>
      </c>
      <c r="F10" s="526" t="s">
        <v>1273</v>
      </c>
      <c r="G10" s="525" t="s">
        <v>1302</v>
      </c>
      <c r="H10" s="525" t="s">
        <v>1303</v>
      </c>
      <c r="I10" s="527">
        <v>0.3</v>
      </c>
      <c r="J10" s="527">
        <v>4000</v>
      </c>
      <c r="K10" s="528">
        <v>1213.4100000000001</v>
      </c>
    </row>
    <row r="11" spans="1:11" ht="14.4" customHeight="1" x14ac:dyDescent="0.3">
      <c r="A11" s="523" t="s">
        <v>443</v>
      </c>
      <c r="B11" s="524" t="s">
        <v>445</v>
      </c>
      <c r="C11" s="525" t="s">
        <v>459</v>
      </c>
      <c r="D11" s="526" t="s">
        <v>460</v>
      </c>
      <c r="E11" s="525" t="s">
        <v>1272</v>
      </c>
      <c r="F11" s="526" t="s">
        <v>1273</v>
      </c>
      <c r="G11" s="525" t="s">
        <v>1304</v>
      </c>
      <c r="H11" s="525" t="s">
        <v>1305</v>
      </c>
      <c r="I11" s="527">
        <v>0.3</v>
      </c>
      <c r="J11" s="527">
        <v>90000</v>
      </c>
      <c r="K11" s="528">
        <v>26679.3</v>
      </c>
    </row>
    <row r="12" spans="1:11" ht="14.4" customHeight="1" x14ac:dyDescent="0.3">
      <c r="A12" s="523" t="s">
        <v>443</v>
      </c>
      <c r="B12" s="524" t="s">
        <v>445</v>
      </c>
      <c r="C12" s="525" t="s">
        <v>459</v>
      </c>
      <c r="D12" s="526" t="s">
        <v>460</v>
      </c>
      <c r="E12" s="525" t="s">
        <v>1272</v>
      </c>
      <c r="F12" s="526" t="s">
        <v>1273</v>
      </c>
      <c r="G12" s="525" t="s">
        <v>1306</v>
      </c>
      <c r="H12" s="525" t="s">
        <v>1307</v>
      </c>
      <c r="I12" s="527">
        <v>7.82</v>
      </c>
      <c r="J12" s="527">
        <v>600</v>
      </c>
      <c r="K12" s="528">
        <v>1449</v>
      </c>
    </row>
    <row r="13" spans="1:11" ht="14.4" customHeight="1" x14ac:dyDescent="0.3">
      <c r="A13" s="523" t="s">
        <v>443</v>
      </c>
      <c r="B13" s="524" t="s">
        <v>445</v>
      </c>
      <c r="C13" s="525" t="s">
        <v>459</v>
      </c>
      <c r="D13" s="526" t="s">
        <v>460</v>
      </c>
      <c r="E13" s="525" t="s">
        <v>1274</v>
      </c>
      <c r="F13" s="526" t="s">
        <v>1275</v>
      </c>
      <c r="G13" s="525" t="s">
        <v>1308</v>
      </c>
      <c r="H13" s="525" t="s">
        <v>1309</v>
      </c>
      <c r="I13" s="527">
        <v>16.36</v>
      </c>
      <c r="J13" s="527">
        <v>120</v>
      </c>
      <c r="K13" s="528">
        <v>1963.2</v>
      </c>
    </row>
    <row r="14" spans="1:11" ht="14.4" customHeight="1" x14ac:dyDescent="0.3">
      <c r="A14" s="523" t="s">
        <v>443</v>
      </c>
      <c r="B14" s="524" t="s">
        <v>445</v>
      </c>
      <c r="C14" s="525" t="s">
        <v>459</v>
      </c>
      <c r="D14" s="526" t="s">
        <v>460</v>
      </c>
      <c r="E14" s="525" t="s">
        <v>1274</v>
      </c>
      <c r="F14" s="526" t="s">
        <v>1275</v>
      </c>
      <c r="G14" s="525" t="s">
        <v>1310</v>
      </c>
      <c r="H14" s="525" t="s">
        <v>1311</v>
      </c>
      <c r="I14" s="527">
        <v>15.46</v>
      </c>
      <c r="J14" s="527">
        <v>100</v>
      </c>
      <c r="K14" s="528">
        <v>1546</v>
      </c>
    </row>
    <row r="15" spans="1:11" ht="14.4" customHeight="1" x14ac:dyDescent="0.3">
      <c r="A15" s="523" t="s">
        <v>443</v>
      </c>
      <c r="B15" s="524" t="s">
        <v>445</v>
      </c>
      <c r="C15" s="525" t="s">
        <v>459</v>
      </c>
      <c r="D15" s="526" t="s">
        <v>460</v>
      </c>
      <c r="E15" s="525" t="s">
        <v>1274</v>
      </c>
      <c r="F15" s="526" t="s">
        <v>1275</v>
      </c>
      <c r="G15" s="525" t="s">
        <v>1312</v>
      </c>
      <c r="H15" s="525" t="s">
        <v>1313</v>
      </c>
      <c r="I15" s="527">
        <v>2.382857142857143</v>
      </c>
      <c r="J15" s="527">
        <v>500</v>
      </c>
      <c r="K15" s="528">
        <v>1180</v>
      </c>
    </row>
    <row r="16" spans="1:11" ht="14.4" customHeight="1" x14ac:dyDescent="0.3">
      <c r="A16" s="523" t="s">
        <v>443</v>
      </c>
      <c r="B16" s="524" t="s">
        <v>445</v>
      </c>
      <c r="C16" s="525" t="s">
        <v>459</v>
      </c>
      <c r="D16" s="526" t="s">
        <v>460</v>
      </c>
      <c r="E16" s="525" t="s">
        <v>1274</v>
      </c>
      <c r="F16" s="526" t="s">
        <v>1275</v>
      </c>
      <c r="G16" s="525" t="s">
        <v>1314</v>
      </c>
      <c r="H16" s="525" t="s">
        <v>1315</v>
      </c>
      <c r="I16" s="527">
        <v>31.914999999999999</v>
      </c>
      <c r="J16" s="527">
        <v>100</v>
      </c>
      <c r="K16" s="528">
        <v>3191.5</v>
      </c>
    </row>
    <row r="17" spans="1:11" ht="14.4" customHeight="1" x14ac:dyDescent="0.3">
      <c r="A17" s="523" t="s">
        <v>443</v>
      </c>
      <c r="B17" s="524" t="s">
        <v>445</v>
      </c>
      <c r="C17" s="525" t="s">
        <v>459</v>
      </c>
      <c r="D17" s="526" t="s">
        <v>460</v>
      </c>
      <c r="E17" s="525" t="s">
        <v>1274</v>
      </c>
      <c r="F17" s="526" t="s">
        <v>1275</v>
      </c>
      <c r="G17" s="525" t="s">
        <v>1316</v>
      </c>
      <c r="H17" s="525" t="s">
        <v>1317</v>
      </c>
      <c r="I17" s="527">
        <v>2.7</v>
      </c>
      <c r="J17" s="527">
        <v>400</v>
      </c>
      <c r="K17" s="528">
        <v>1080</v>
      </c>
    </row>
    <row r="18" spans="1:11" ht="14.4" customHeight="1" x14ac:dyDescent="0.3">
      <c r="A18" s="523" t="s">
        <v>443</v>
      </c>
      <c r="B18" s="524" t="s">
        <v>445</v>
      </c>
      <c r="C18" s="525" t="s">
        <v>459</v>
      </c>
      <c r="D18" s="526" t="s">
        <v>460</v>
      </c>
      <c r="E18" s="525" t="s">
        <v>1274</v>
      </c>
      <c r="F18" s="526" t="s">
        <v>1275</v>
      </c>
      <c r="G18" s="525" t="s">
        <v>1318</v>
      </c>
      <c r="H18" s="525" t="s">
        <v>1319</v>
      </c>
      <c r="I18" s="527">
        <v>4.1399999999999997</v>
      </c>
      <c r="J18" s="527">
        <v>50</v>
      </c>
      <c r="K18" s="528">
        <v>207</v>
      </c>
    </row>
    <row r="19" spans="1:11" ht="14.4" customHeight="1" x14ac:dyDescent="0.3">
      <c r="A19" s="523" t="s">
        <v>443</v>
      </c>
      <c r="B19" s="524" t="s">
        <v>445</v>
      </c>
      <c r="C19" s="525" t="s">
        <v>459</v>
      </c>
      <c r="D19" s="526" t="s">
        <v>460</v>
      </c>
      <c r="E19" s="525" t="s">
        <v>1274</v>
      </c>
      <c r="F19" s="526" t="s">
        <v>1275</v>
      </c>
      <c r="G19" s="525" t="s">
        <v>1320</v>
      </c>
      <c r="H19" s="525" t="s">
        <v>1321</v>
      </c>
      <c r="I19" s="527">
        <v>0.92333333333333323</v>
      </c>
      <c r="J19" s="527">
        <v>2000</v>
      </c>
      <c r="K19" s="528">
        <v>1849</v>
      </c>
    </row>
    <row r="20" spans="1:11" ht="14.4" customHeight="1" x14ac:dyDescent="0.3">
      <c r="A20" s="523" t="s">
        <v>443</v>
      </c>
      <c r="B20" s="524" t="s">
        <v>445</v>
      </c>
      <c r="C20" s="525" t="s">
        <v>459</v>
      </c>
      <c r="D20" s="526" t="s">
        <v>460</v>
      </c>
      <c r="E20" s="525" t="s">
        <v>1274</v>
      </c>
      <c r="F20" s="526" t="s">
        <v>1275</v>
      </c>
      <c r="G20" s="525" t="s">
        <v>1322</v>
      </c>
      <c r="H20" s="525" t="s">
        <v>1323</v>
      </c>
      <c r="I20" s="527">
        <v>1.4149999999999998</v>
      </c>
      <c r="J20" s="527">
        <v>8200</v>
      </c>
      <c r="K20" s="528">
        <v>11606</v>
      </c>
    </row>
    <row r="21" spans="1:11" ht="14.4" customHeight="1" x14ac:dyDescent="0.3">
      <c r="A21" s="523" t="s">
        <v>443</v>
      </c>
      <c r="B21" s="524" t="s">
        <v>445</v>
      </c>
      <c r="C21" s="525" t="s">
        <v>459</v>
      </c>
      <c r="D21" s="526" t="s">
        <v>460</v>
      </c>
      <c r="E21" s="525" t="s">
        <v>1274</v>
      </c>
      <c r="F21" s="526" t="s">
        <v>1275</v>
      </c>
      <c r="G21" s="525" t="s">
        <v>1324</v>
      </c>
      <c r="H21" s="525" t="s">
        <v>1325</v>
      </c>
      <c r="I21" s="527">
        <v>0.41222222222222227</v>
      </c>
      <c r="J21" s="527">
        <v>1900</v>
      </c>
      <c r="K21" s="528">
        <v>783</v>
      </c>
    </row>
    <row r="22" spans="1:11" ht="14.4" customHeight="1" x14ac:dyDescent="0.3">
      <c r="A22" s="523" t="s">
        <v>443</v>
      </c>
      <c r="B22" s="524" t="s">
        <v>445</v>
      </c>
      <c r="C22" s="525" t="s">
        <v>459</v>
      </c>
      <c r="D22" s="526" t="s">
        <v>460</v>
      </c>
      <c r="E22" s="525" t="s">
        <v>1274</v>
      </c>
      <c r="F22" s="526" t="s">
        <v>1275</v>
      </c>
      <c r="G22" s="525" t="s">
        <v>1326</v>
      </c>
      <c r="H22" s="525" t="s">
        <v>1327</v>
      </c>
      <c r="I22" s="527">
        <v>0.56888888888888878</v>
      </c>
      <c r="J22" s="527">
        <v>2000</v>
      </c>
      <c r="K22" s="528">
        <v>1134</v>
      </c>
    </row>
    <row r="23" spans="1:11" ht="14.4" customHeight="1" x14ac:dyDescent="0.3">
      <c r="A23" s="523" t="s">
        <v>443</v>
      </c>
      <c r="B23" s="524" t="s">
        <v>445</v>
      </c>
      <c r="C23" s="525" t="s">
        <v>459</v>
      </c>
      <c r="D23" s="526" t="s">
        <v>460</v>
      </c>
      <c r="E23" s="525" t="s">
        <v>1274</v>
      </c>
      <c r="F23" s="526" t="s">
        <v>1275</v>
      </c>
      <c r="G23" s="525" t="s">
        <v>1328</v>
      </c>
      <c r="H23" s="525" t="s">
        <v>1329</v>
      </c>
      <c r="I23" s="527">
        <v>3.1966666666666672</v>
      </c>
      <c r="J23" s="527">
        <v>1100</v>
      </c>
      <c r="K23" s="528">
        <v>3501.36</v>
      </c>
    </row>
    <row r="24" spans="1:11" ht="14.4" customHeight="1" x14ac:dyDescent="0.3">
      <c r="A24" s="523" t="s">
        <v>443</v>
      </c>
      <c r="B24" s="524" t="s">
        <v>445</v>
      </c>
      <c r="C24" s="525" t="s">
        <v>459</v>
      </c>
      <c r="D24" s="526" t="s">
        <v>460</v>
      </c>
      <c r="E24" s="525" t="s">
        <v>1274</v>
      </c>
      <c r="F24" s="526" t="s">
        <v>1275</v>
      </c>
      <c r="G24" s="525" t="s">
        <v>1330</v>
      </c>
      <c r="H24" s="525" t="s">
        <v>1331</v>
      </c>
      <c r="I24" s="527">
        <v>2.36</v>
      </c>
      <c r="J24" s="527">
        <v>1800</v>
      </c>
      <c r="K24" s="528">
        <v>4248</v>
      </c>
    </row>
    <row r="25" spans="1:11" ht="14.4" customHeight="1" x14ac:dyDescent="0.3">
      <c r="A25" s="523" t="s">
        <v>443</v>
      </c>
      <c r="B25" s="524" t="s">
        <v>445</v>
      </c>
      <c r="C25" s="525" t="s">
        <v>459</v>
      </c>
      <c r="D25" s="526" t="s">
        <v>460</v>
      </c>
      <c r="E25" s="525" t="s">
        <v>1274</v>
      </c>
      <c r="F25" s="526" t="s">
        <v>1275</v>
      </c>
      <c r="G25" s="525" t="s">
        <v>1332</v>
      </c>
      <c r="H25" s="525" t="s">
        <v>1333</v>
      </c>
      <c r="I25" s="527">
        <v>35.090000000000003</v>
      </c>
      <c r="J25" s="527">
        <v>50</v>
      </c>
      <c r="K25" s="528">
        <v>1754.5</v>
      </c>
    </row>
    <row r="26" spans="1:11" ht="14.4" customHeight="1" x14ac:dyDescent="0.3">
      <c r="A26" s="523" t="s">
        <v>443</v>
      </c>
      <c r="B26" s="524" t="s">
        <v>445</v>
      </c>
      <c r="C26" s="525" t="s">
        <v>459</v>
      </c>
      <c r="D26" s="526" t="s">
        <v>460</v>
      </c>
      <c r="E26" s="525" t="s">
        <v>1274</v>
      </c>
      <c r="F26" s="526" t="s">
        <v>1275</v>
      </c>
      <c r="G26" s="525" t="s">
        <v>1334</v>
      </c>
      <c r="H26" s="525" t="s">
        <v>1335</v>
      </c>
      <c r="I26" s="527">
        <v>32.67</v>
      </c>
      <c r="J26" s="527">
        <v>50</v>
      </c>
      <c r="K26" s="528">
        <v>1633.5</v>
      </c>
    </row>
    <row r="27" spans="1:11" ht="14.4" customHeight="1" x14ac:dyDescent="0.3">
      <c r="A27" s="523" t="s">
        <v>443</v>
      </c>
      <c r="B27" s="524" t="s">
        <v>445</v>
      </c>
      <c r="C27" s="525" t="s">
        <v>459</v>
      </c>
      <c r="D27" s="526" t="s">
        <v>460</v>
      </c>
      <c r="E27" s="525" t="s">
        <v>1274</v>
      </c>
      <c r="F27" s="526" t="s">
        <v>1275</v>
      </c>
      <c r="G27" s="525" t="s">
        <v>1336</v>
      </c>
      <c r="H27" s="525" t="s">
        <v>1337</v>
      </c>
      <c r="I27" s="527">
        <v>25.977500000000003</v>
      </c>
      <c r="J27" s="527">
        <v>160</v>
      </c>
      <c r="K27" s="528">
        <v>4157</v>
      </c>
    </row>
    <row r="28" spans="1:11" ht="14.4" customHeight="1" x14ac:dyDescent="0.3">
      <c r="A28" s="523" t="s">
        <v>443</v>
      </c>
      <c r="B28" s="524" t="s">
        <v>445</v>
      </c>
      <c r="C28" s="525" t="s">
        <v>459</v>
      </c>
      <c r="D28" s="526" t="s">
        <v>460</v>
      </c>
      <c r="E28" s="525" t="s">
        <v>1274</v>
      </c>
      <c r="F28" s="526" t="s">
        <v>1275</v>
      </c>
      <c r="G28" s="525" t="s">
        <v>1338</v>
      </c>
      <c r="H28" s="525" t="s">
        <v>1339</v>
      </c>
      <c r="I28" s="527">
        <v>9.1474999999999991</v>
      </c>
      <c r="J28" s="527">
        <v>400</v>
      </c>
      <c r="K28" s="528">
        <v>3658.3</v>
      </c>
    </row>
    <row r="29" spans="1:11" ht="14.4" customHeight="1" x14ac:dyDescent="0.3">
      <c r="A29" s="523" t="s">
        <v>443</v>
      </c>
      <c r="B29" s="524" t="s">
        <v>445</v>
      </c>
      <c r="C29" s="525" t="s">
        <v>459</v>
      </c>
      <c r="D29" s="526" t="s">
        <v>460</v>
      </c>
      <c r="E29" s="525" t="s">
        <v>1274</v>
      </c>
      <c r="F29" s="526" t="s">
        <v>1275</v>
      </c>
      <c r="G29" s="525" t="s">
        <v>1340</v>
      </c>
      <c r="H29" s="525" t="s">
        <v>1341</v>
      </c>
      <c r="I29" s="527">
        <v>5.41</v>
      </c>
      <c r="J29" s="527">
        <v>200</v>
      </c>
      <c r="K29" s="528">
        <v>1081.94</v>
      </c>
    </row>
    <row r="30" spans="1:11" ht="14.4" customHeight="1" x14ac:dyDescent="0.3">
      <c r="A30" s="523" t="s">
        <v>443</v>
      </c>
      <c r="B30" s="524" t="s">
        <v>445</v>
      </c>
      <c r="C30" s="525" t="s">
        <v>459</v>
      </c>
      <c r="D30" s="526" t="s">
        <v>460</v>
      </c>
      <c r="E30" s="525" t="s">
        <v>1274</v>
      </c>
      <c r="F30" s="526" t="s">
        <v>1275</v>
      </c>
      <c r="G30" s="525" t="s">
        <v>1342</v>
      </c>
      <c r="H30" s="525" t="s">
        <v>1343</v>
      </c>
      <c r="I30" s="527">
        <v>1326.2060000000001</v>
      </c>
      <c r="J30" s="527">
        <v>7</v>
      </c>
      <c r="K30" s="528">
        <v>9283.3300000000017</v>
      </c>
    </row>
    <row r="31" spans="1:11" ht="14.4" customHeight="1" x14ac:dyDescent="0.3">
      <c r="A31" s="523" t="s">
        <v>443</v>
      </c>
      <c r="B31" s="524" t="s">
        <v>445</v>
      </c>
      <c r="C31" s="525" t="s">
        <v>459</v>
      </c>
      <c r="D31" s="526" t="s">
        <v>460</v>
      </c>
      <c r="E31" s="525" t="s">
        <v>1274</v>
      </c>
      <c r="F31" s="526" t="s">
        <v>1275</v>
      </c>
      <c r="G31" s="525" t="s">
        <v>1344</v>
      </c>
      <c r="H31" s="525" t="s">
        <v>1345</v>
      </c>
      <c r="I31" s="527">
        <v>2.2511111111111108</v>
      </c>
      <c r="J31" s="527">
        <v>1300</v>
      </c>
      <c r="K31" s="528">
        <v>2948</v>
      </c>
    </row>
    <row r="32" spans="1:11" ht="14.4" customHeight="1" x14ac:dyDescent="0.3">
      <c r="A32" s="523" t="s">
        <v>443</v>
      </c>
      <c r="B32" s="524" t="s">
        <v>445</v>
      </c>
      <c r="C32" s="525" t="s">
        <v>459</v>
      </c>
      <c r="D32" s="526" t="s">
        <v>460</v>
      </c>
      <c r="E32" s="525" t="s">
        <v>1274</v>
      </c>
      <c r="F32" s="526" t="s">
        <v>1275</v>
      </c>
      <c r="G32" s="525" t="s">
        <v>1346</v>
      </c>
      <c r="H32" s="525" t="s">
        <v>1347</v>
      </c>
      <c r="I32" s="527">
        <v>58.79</v>
      </c>
      <c r="J32" s="527">
        <v>12</v>
      </c>
      <c r="K32" s="528">
        <v>705.43</v>
      </c>
    </row>
    <row r="33" spans="1:11" ht="14.4" customHeight="1" x14ac:dyDescent="0.3">
      <c r="A33" s="523" t="s">
        <v>443</v>
      </c>
      <c r="B33" s="524" t="s">
        <v>445</v>
      </c>
      <c r="C33" s="525" t="s">
        <v>459</v>
      </c>
      <c r="D33" s="526" t="s">
        <v>460</v>
      </c>
      <c r="E33" s="525" t="s">
        <v>1274</v>
      </c>
      <c r="F33" s="526" t="s">
        <v>1275</v>
      </c>
      <c r="G33" s="525" t="s">
        <v>1348</v>
      </c>
      <c r="H33" s="525" t="s">
        <v>1349</v>
      </c>
      <c r="I33" s="527">
        <v>2.0528571428571434</v>
      </c>
      <c r="J33" s="527">
        <v>70</v>
      </c>
      <c r="K33" s="528">
        <v>143.69999999999999</v>
      </c>
    </row>
    <row r="34" spans="1:11" ht="14.4" customHeight="1" x14ac:dyDescent="0.3">
      <c r="A34" s="523" t="s">
        <v>443</v>
      </c>
      <c r="B34" s="524" t="s">
        <v>445</v>
      </c>
      <c r="C34" s="525" t="s">
        <v>459</v>
      </c>
      <c r="D34" s="526" t="s">
        <v>460</v>
      </c>
      <c r="E34" s="525" t="s">
        <v>1274</v>
      </c>
      <c r="F34" s="526" t="s">
        <v>1275</v>
      </c>
      <c r="G34" s="525" t="s">
        <v>1350</v>
      </c>
      <c r="H34" s="525" t="s">
        <v>1351</v>
      </c>
      <c r="I34" s="527">
        <v>204.85</v>
      </c>
      <c r="J34" s="527">
        <v>24</v>
      </c>
      <c r="K34" s="528">
        <v>4916.47</v>
      </c>
    </row>
    <row r="35" spans="1:11" ht="14.4" customHeight="1" x14ac:dyDescent="0.3">
      <c r="A35" s="523" t="s">
        <v>443</v>
      </c>
      <c r="B35" s="524" t="s">
        <v>445</v>
      </c>
      <c r="C35" s="525" t="s">
        <v>459</v>
      </c>
      <c r="D35" s="526" t="s">
        <v>460</v>
      </c>
      <c r="E35" s="525" t="s">
        <v>1274</v>
      </c>
      <c r="F35" s="526" t="s">
        <v>1275</v>
      </c>
      <c r="G35" s="525" t="s">
        <v>1352</v>
      </c>
      <c r="H35" s="525" t="s">
        <v>1353</v>
      </c>
      <c r="I35" s="527">
        <v>403.77499999999998</v>
      </c>
      <c r="J35" s="527">
        <v>40</v>
      </c>
      <c r="K35" s="528">
        <v>16151.02</v>
      </c>
    </row>
    <row r="36" spans="1:11" ht="14.4" customHeight="1" x14ac:dyDescent="0.3">
      <c r="A36" s="523" t="s">
        <v>443</v>
      </c>
      <c r="B36" s="524" t="s">
        <v>445</v>
      </c>
      <c r="C36" s="525" t="s">
        <v>459</v>
      </c>
      <c r="D36" s="526" t="s">
        <v>460</v>
      </c>
      <c r="E36" s="525" t="s">
        <v>1274</v>
      </c>
      <c r="F36" s="526" t="s">
        <v>1275</v>
      </c>
      <c r="G36" s="525" t="s">
        <v>1354</v>
      </c>
      <c r="H36" s="525" t="s">
        <v>1355</v>
      </c>
      <c r="I36" s="527">
        <v>17.059999999999999</v>
      </c>
      <c r="J36" s="527">
        <v>10</v>
      </c>
      <c r="K36" s="528">
        <v>170.61</v>
      </c>
    </row>
    <row r="37" spans="1:11" ht="14.4" customHeight="1" x14ac:dyDescent="0.3">
      <c r="A37" s="523" t="s">
        <v>443</v>
      </c>
      <c r="B37" s="524" t="s">
        <v>445</v>
      </c>
      <c r="C37" s="525" t="s">
        <v>459</v>
      </c>
      <c r="D37" s="526" t="s">
        <v>460</v>
      </c>
      <c r="E37" s="525" t="s">
        <v>1274</v>
      </c>
      <c r="F37" s="526" t="s">
        <v>1275</v>
      </c>
      <c r="G37" s="525" t="s">
        <v>1356</v>
      </c>
      <c r="H37" s="525" t="s">
        <v>1357</v>
      </c>
      <c r="I37" s="527">
        <v>2.3690000000000007</v>
      </c>
      <c r="J37" s="527">
        <v>3000</v>
      </c>
      <c r="K37" s="528">
        <v>7100.73</v>
      </c>
    </row>
    <row r="38" spans="1:11" ht="14.4" customHeight="1" x14ac:dyDescent="0.3">
      <c r="A38" s="523" t="s">
        <v>443</v>
      </c>
      <c r="B38" s="524" t="s">
        <v>445</v>
      </c>
      <c r="C38" s="525" t="s">
        <v>459</v>
      </c>
      <c r="D38" s="526" t="s">
        <v>460</v>
      </c>
      <c r="E38" s="525" t="s">
        <v>1274</v>
      </c>
      <c r="F38" s="526" t="s">
        <v>1275</v>
      </c>
      <c r="G38" s="525" t="s">
        <v>1358</v>
      </c>
      <c r="H38" s="525" t="s">
        <v>1359</v>
      </c>
      <c r="I38" s="527">
        <v>4.7133333333333338</v>
      </c>
      <c r="J38" s="527">
        <v>480</v>
      </c>
      <c r="K38" s="528">
        <v>2263</v>
      </c>
    </row>
    <row r="39" spans="1:11" ht="14.4" customHeight="1" x14ac:dyDescent="0.3">
      <c r="A39" s="523" t="s">
        <v>443</v>
      </c>
      <c r="B39" s="524" t="s">
        <v>445</v>
      </c>
      <c r="C39" s="525" t="s">
        <v>459</v>
      </c>
      <c r="D39" s="526" t="s">
        <v>460</v>
      </c>
      <c r="E39" s="525" t="s">
        <v>1274</v>
      </c>
      <c r="F39" s="526" t="s">
        <v>1275</v>
      </c>
      <c r="G39" s="525" t="s">
        <v>1360</v>
      </c>
      <c r="H39" s="525" t="s">
        <v>1361</v>
      </c>
      <c r="I39" s="527">
        <v>12.103333333333332</v>
      </c>
      <c r="J39" s="527">
        <v>540</v>
      </c>
      <c r="K39" s="528">
        <v>6535.8000000000011</v>
      </c>
    </row>
    <row r="40" spans="1:11" ht="14.4" customHeight="1" x14ac:dyDescent="0.3">
      <c r="A40" s="523" t="s">
        <v>443</v>
      </c>
      <c r="B40" s="524" t="s">
        <v>445</v>
      </c>
      <c r="C40" s="525" t="s">
        <v>459</v>
      </c>
      <c r="D40" s="526" t="s">
        <v>460</v>
      </c>
      <c r="E40" s="525" t="s">
        <v>1274</v>
      </c>
      <c r="F40" s="526" t="s">
        <v>1275</v>
      </c>
      <c r="G40" s="525" t="s">
        <v>1362</v>
      </c>
      <c r="H40" s="525" t="s">
        <v>1363</v>
      </c>
      <c r="I40" s="527">
        <v>2.84</v>
      </c>
      <c r="J40" s="527">
        <v>100</v>
      </c>
      <c r="K40" s="528">
        <v>284</v>
      </c>
    </row>
    <row r="41" spans="1:11" ht="14.4" customHeight="1" x14ac:dyDescent="0.3">
      <c r="A41" s="523" t="s">
        <v>443</v>
      </c>
      <c r="B41" s="524" t="s">
        <v>445</v>
      </c>
      <c r="C41" s="525" t="s">
        <v>459</v>
      </c>
      <c r="D41" s="526" t="s">
        <v>460</v>
      </c>
      <c r="E41" s="525" t="s">
        <v>1274</v>
      </c>
      <c r="F41" s="526" t="s">
        <v>1275</v>
      </c>
      <c r="G41" s="525" t="s">
        <v>1364</v>
      </c>
      <c r="H41" s="525" t="s">
        <v>1365</v>
      </c>
      <c r="I41" s="527">
        <v>36.299999999999997</v>
      </c>
      <c r="J41" s="527">
        <v>20</v>
      </c>
      <c r="K41" s="528">
        <v>726</v>
      </c>
    </row>
    <row r="42" spans="1:11" ht="14.4" customHeight="1" x14ac:dyDescent="0.3">
      <c r="A42" s="523" t="s">
        <v>443</v>
      </c>
      <c r="B42" s="524" t="s">
        <v>445</v>
      </c>
      <c r="C42" s="525" t="s">
        <v>459</v>
      </c>
      <c r="D42" s="526" t="s">
        <v>460</v>
      </c>
      <c r="E42" s="525" t="s">
        <v>1274</v>
      </c>
      <c r="F42" s="526" t="s">
        <v>1275</v>
      </c>
      <c r="G42" s="525" t="s">
        <v>1366</v>
      </c>
      <c r="H42" s="525" t="s">
        <v>1367</v>
      </c>
      <c r="I42" s="527">
        <v>21.14</v>
      </c>
      <c r="J42" s="527">
        <v>50</v>
      </c>
      <c r="K42" s="528">
        <v>1057</v>
      </c>
    </row>
    <row r="43" spans="1:11" ht="14.4" customHeight="1" x14ac:dyDescent="0.3">
      <c r="A43" s="523" t="s">
        <v>443</v>
      </c>
      <c r="B43" s="524" t="s">
        <v>445</v>
      </c>
      <c r="C43" s="525" t="s">
        <v>459</v>
      </c>
      <c r="D43" s="526" t="s">
        <v>460</v>
      </c>
      <c r="E43" s="525" t="s">
        <v>1274</v>
      </c>
      <c r="F43" s="526" t="s">
        <v>1275</v>
      </c>
      <c r="G43" s="525" t="s">
        <v>1368</v>
      </c>
      <c r="H43" s="525" t="s">
        <v>1369</v>
      </c>
      <c r="I43" s="527">
        <v>11.22</v>
      </c>
      <c r="J43" s="527">
        <v>850</v>
      </c>
      <c r="K43" s="528">
        <v>9524</v>
      </c>
    </row>
    <row r="44" spans="1:11" ht="14.4" customHeight="1" x14ac:dyDescent="0.3">
      <c r="A44" s="523" t="s">
        <v>443</v>
      </c>
      <c r="B44" s="524" t="s">
        <v>445</v>
      </c>
      <c r="C44" s="525" t="s">
        <v>459</v>
      </c>
      <c r="D44" s="526" t="s">
        <v>460</v>
      </c>
      <c r="E44" s="525" t="s">
        <v>1274</v>
      </c>
      <c r="F44" s="526" t="s">
        <v>1275</v>
      </c>
      <c r="G44" s="525" t="s">
        <v>1370</v>
      </c>
      <c r="H44" s="525" t="s">
        <v>1371</v>
      </c>
      <c r="I44" s="527">
        <v>14.31</v>
      </c>
      <c r="J44" s="527">
        <v>20</v>
      </c>
      <c r="K44" s="528">
        <v>286.15999999999997</v>
      </c>
    </row>
    <row r="45" spans="1:11" ht="14.4" customHeight="1" x14ac:dyDescent="0.3">
      <c r="A45" s="523" t="s">
        <v>443</v>
      </c>
      <c r="B45" s="524" t="s">
        <v>445</v>
      </c>
      <c r="C45" s="525" t="s">
        <v>459</v>
      </c>
      <c r="D45" s="526" t="s">
        <v>460</v>
      </c>
      <c r="E45" s="525" t="s">
        <v>1274</v>
      </c>
      <c r="F45" s="526" t="s">
        <v>1275</v>
      </c>
      <c r="G45" s="525" t="s">
        <v>1372</v>
      </c>
      <c r="H45" s="525" t="s">
        <v>1373</v>
      </c>
      <c r="I45" s="527">
        <v>27.83</v>
      </c>
      <c r="J45" s="527">
        <v>10</v>
      </c>
      <c r="K45" s="528">
        <v>278.3</v>
      </c>
    </row>
    <row r="46" spans="1:11" ht="14.4" customHeight="1" x14ac:dyDescent="0.3">
      <c r="A46" s="523" t="s">
        <v>443</v>
      </c>
      <c r="B46" s="524" t="s">
        <v>445</v>
      </c>
      <c r="C46" s="525" t="s">
        <v>459</v>
      </c>
      <c r="D46" s="526" t="s">
        <v>460</v>
      </c>
      <c r="E46" s="525" t="s">
        <v>1274</v>
      </c>
      <c r="F46" s="526" t="s">
        <v>1275</v>
      </c>
      <c r="G46" s="525" t="s">
        <v>1374</v>
      </c>
      <c r="H46" s="525" t="s">
        <v>1375</v>
      </c>
      <c r="I46" s="527">
        <v>265</v>
      </c>
      <c r="J46" s="527">
        <v>20</v>
      </c>
      <c r="K46" s="528">
        <v>5191</v>
      </c>
    </row>
    <row r="47" spans="1:11" ht="14.4" customHeight="1" x14ac:dyDescent="0.3">
      <c r="A47" s="523" t="s">
        <v>443</v>
      </c>
      <c r="B47" s="524" t="s">
        <v>445</v>
      </c>
      <c r="C47" s="525" t="s">
        <v>459</v>
      </c>
      <c r="D47" s="526" t="s">
        <v>460</v>
      </c>
      <c r="E47" s="525" t="s">
        <v>1274</v>
      </c>
      <c r="F47" s="526" t="s">
        <v>1275</v>
      </c>
      <c r="G47" s="525" t="s">
        <v>1376</v>
      </c>
      <c r="H47" s="525" t="s">
        <v>1377</v>
      </c>
      <c r="I47" s="527">
        <v>314.60000000000002</v>
      </c>
      <c r="J47" s="527">
        <v>5</v>
      </c>
      <c r="K47" s="528">
        <v>1573</v>
      </c>
    </row>
    <row r="48" spans="1:11" ht="14.4" customHeight="1" x14ac:dyDescent="0.3">
      <c r="A48" s="523" t="s">
        <v>443</v>
      </c>
      <c r="B48" s="524" t="s">
        <v>445</v>
      </c>
      <c r="C48" s="525" t="s">
        <v>459</v>
      </c>
      <c r="D48" s="526" t="s">
        <v>460</v>
      </c>
      <c r="E48" s="525" t="s">
        <v>1274</v>
      </c>
      <c r="F48" s="526" t="s">
        <v>1275</v>
      </c>
      <c r="G48" s="525" t="s">
        <v>1378</v>
      </c>
      <c r="H48" s="525" t="s">
        <v>1379</v>
      </c>
      <c r="I48" s="527">
        <v>12.1</v>
      </c>
      <c r="J48" s="527">
        <v>90</v>
      </c>
      <c r="K48" s="528">
        <v>1089</v>
      </c>
    </row>
    <row r="49" spans="1:11" ht="14.4" customHeight="1" x14ac:dyDescent="0.3">
      <c r="A49" s="523" t="s">
        <v>443</v>
      </c>
      <c r="B49" s="524" t="s">
        <v>445</v>
      </c>
      <c r="C49" s="525" t="s">
        <v>459</v>
      </c>
      <c r="D49" s="526" t="s">
        <v>460</v>
      </c>
      <c r="E49" s="525" t="s">
        <v>1274</v>
      </c>
      <c r="F49" s="526" t="s">
        <v>1275</v>
      </c>
      <c r="G49" s="525" t="s">
        <v>1380</v>
      </c>
      <c r="H49" s="525" t="s">
        <v>1381</v>
      </c>
      <c r="I49" s="527">
        <v>14.53</v>
      </c>
      <c r="J49" s="527">
        <v>30</v>
      </c>
      <c r="K49" s="528">
        <v>436</v>
      </c>
    </row>
    <row r="50" spans="1:11" ht="14.4" customHeight="1" x14ac:dyDescent="0.3">
      <c r="A50" s="523" t="s">
        <v>443</v>
      </c>
      <c r="B50" s="524" t="s">
        <v>445</v>
      </c>
      <c r="C50" s="525" t="s">
        <v>459</v>
      </c>
      <c r="D50" s="526" t="s">
        <v>460</v>
      </c>
      <c r="E50" s="525" t="s">
        <v>1274</v>
      </c>
      <c r="F50" s="526" t="s">
        <v>1275</v>
      </c>
      <c r="G50" s="525" t="s">
        <v>1382</v>
      </c>
      <c r="H50" s="525" t="s">
        <v>1383</v>
      </c>
      <c r="I50" s="527">
        <v>5.9000000000000012</v>
      </c>
      <c r="J50" s="527">
        <v>80</v>
      </c>
      <c r="K50" s="528">
        <v>472.14</v>
      </c>
    </row>
    <row r="51" spans="1:11" ht="14.4" customHeight="1" x14ac:dyDescent="0.3">
      <c r="A51" s="523" t="s">
        <v>443</v>
      </c>
      <c r="B51" s="524" t="s">
        <v>445</v>
      </c>
      <c r="C51" s="525" t="s">
        <v>459</v>
      </c>
      <c r="D51" s="526" t="s">
        <v>460</v>
      </c>
      <c r="E51" s="525" t="s">
        <v>1274</v>
      </c>
      <c r="F51" s="526" t="s">
        <v>1275</v>
      </c>
      <c r="G51" s="525" t="s">
        <v>1384</v>
      </c>
      <c r="H51" s="525" t="s">
        <v>1385</v>
      </c>
      <c r="I51" s="527">
        <v>60.52</v>
      </c>
      <c r="J51" s="527">
        <v>40</v>
      </c>
      <c r="K51" s="528">
        <v>2420.5</v>
      </c>
    </row>
    <row r="52" spans="1:11" ht="14.4" customHeight="1" x14ac:dyDescent="0.3">
      <c r="A52" s="523" t="s">
        <v>443</v>
      </c>
      <c r="B52" s="524" t="s">
        <v>445</v>
      </c>
      <c r="C52" s="525" t="s">
        <v>459</v>
      </c>
      <c r="D52" s="526" t="s">
        <v>460</v>
      </c>
      <c r="E52" s="525" t="s">
        <v>1274</v>
      </c>
      <c r="F52" s="526" t="s">
        <v>1275</v>
      </c>
      <c r="G52" s="525" t="s">
        <v>1386</v>
      </c>
      <c r="H52" s="525" t="s">
        <v>1387</v>
      </c>
      <c r="I52" s="527">
        <v>9.1999999999999993</v>
      </c>
      <c r="J52" s="527">
        <v>250</v>
      </c>
      <c r="K52" s="528">
        <v>2300</v>
      </c>
    </row>
    <row r="53" spans="1:11" ht="14.4" customHeight="1" x14ac:dyDescent="0.3">
      <c r="A53" s="523" t="s">
        <v>443</v>
      </c>
      <c r="B53" s="524" t="s">
        <v>445</v>
      </c>
      <c r="C53" s="525" t="s">
        <v>459</v>
      </c>
      <c r="D53" s="526" t="s">
        <v>460</v>
      </c>
      <c r="E53" s="525" t="s">
        <v>1274</v>
      </c>
      <c r="F53" s="526" t="s">
        <v>1275</v>
      </c>
      <c r="G53" s="525" t="s">
        <v>1388</v>
      </c>
      <c r="H53" s="525" t="s">
        <v>1389</v>
      </c>
      <c r="I53" s="527">
        <v>172.5</v>
      </c>
      <c r="J53" s="527">
        <v>2</v>
      </c>
      <c r="K53" s="528">
        <v>345</v>
      </c>
    </row>
    <row r="54" spans="1:11" ht="14.4" customHeight="1" x14ac:dyDescent="0.3">
      <c r="A54" s="523" t="s">
        <v>443</v>
      </c>
      <c r="B54" s="524" t="s">
        <v>445</v>
      </c>
      <c r="C54" s="525" t="s">
        <v>459</v>
      </c>
      <c r="D54" s="526" t="s">
        <v>460</v>
      </c>
      <c r="E54" s="525" t="s">
        <v>1274</v>
      </c>
      <c r="F54" s="526" t="s">
        <v>1275</v>
      </c>
      <c r="G54" s="525" t="s">
        <v>1390</v>
      </c>
      <c r="H54" s="525" t="s">
        <v>1391</v>
      </c>
      <c r="I54" s="527">
        <v>254.1</v>
      </c>
      <c r="J54" s="527">
        <v>10</v>
      </c>
      <c r="K54" s="528">
        <v>2541</v>
      </c>
    </row>
    <row r="55" spans="1:11" ht="14.4" customHeight="1" x14ac:dyDescent="0.3">
      <c r="A55" s="523" t="s">
        <v>443</v>
      </c>
      <c r="B55" s="524" t="s">
        <v>445</v>
      </c>
      <c r="C55" s="525" t="s">
        <v>459</v>
      </c>
      <c r="D55" s="526" t="s">
        <v>460</v>
      </c>
      <c r="E55" s="525" t="s">
        <v>1276</v>
      </c>
      <c r="F55" s="526" t="s">
        <v>1277</v>
      </c>
      <c r="G55" s="525" t="s">
        <v>1392</v>
      </c>
      <c r="H55" s="525" t="s">
        <v>1393</v>
      </c>
      <c r="I55" s="527">
        <v>24.2</v>
      </c>
      <c r="J55" s="527">
        <v>54</v>
      </c>
      <c r="K55" s="528">
        <v>1306.8</v>
      </c>
    </row>
    <row r="56" spans="1:11" ht="14.4" customHeight="1" x14ac:dyDescent="0.3">
      <c r="A56" s="523" t="s">
        <v>443</v>
      </c>
      <c r="B56" s="524" t="s">
        <v>445</v>
      </c>
      <c r="C56" s="525" t="s">
        <v>459</v>
      </c>
      <c r="D56" s="526" t="s">
        <v>460</v>
      </c>
      <c r="E56" s="525" t="s">
        <v>1282</v>
      </c>
      <c r="F56" s="526" t="s">
        <v>1283</v>
      </c>
      <c r="G56" s="525" t="s">
        <v>1394</v>
      </c>
      <c r="H56" s="525" t="s">
        <v>1395</v>
      </c>
      <c r="I56" s="527">
        <v>210.54</v>
      </c>
      <c r="J56" s="527">
        <v>10</v>
      </c>
      <c r="K56" s="528">
        <v>2105.4</v>
      </c>
    </row>
    <row r="57" spans="1:11" ht="14.4" customHeight="1" x14ac:dyDescent="0.3">
      <c r="A57" s="523" t="s">
        <v>443</v>
      </c>
      <c r="B57" s="524" t="s">
        <v>445</v>
      </c>
      <c r="C57" s="525" t="s">
        <v>459</v>
      </c>
      <c r="D57" s="526" t="s">
        <v>460</v>
      </c>
      <c r="E57" s="525" t="s">
        <v>1286</v>
      </c>
      <c r="F57" s="526" t="s">
        <v>1287</v>
      </c>
      <c r="G57" s="525" t="s">
        <v>1396</v>
      </c>
      <c r="H57" s="525" t="s">
        <v>1397</v>
      </c>
      <c r="I57" s="527">
        <v>0.3</v>
      </c>
      <c r="J57" s="527">
        <v>100</v>
      </c>
      <c r="K57" s="528">
        <v>30</v>
      </c>
    </row>
    <row r="58" spans="1:11" ht="14.4" customHeight="1" x14ac:dyDescent="0.3">
      <c r="A58" s="523" t="s">
        <v>443</v>
      </c>
      <c r="B58" s="524" t="s">
        <v>445</v>
      </c>
      <c r="C58" s="525" t="s">
        <v>459</v>
      </c>
      <c r="D58" s="526" t="s">
        <v>460</v>
      </c>
      <c r="E58" s="525" t="s">
        <v>1286</v>
      </c>
      <c r="F58" s="526" t="s">
        <v>1287</v>
      </c>
      <c r="G58" s="525" t="s">
        <v>1398</v>
      </c>
      <c r="H58" s="525" t="s">
        <v>1399</v>
      </c>
      <c r="I58" s="527">
        <v>0.29888888888888882</v>
      </c>
      <c r="J58" s="527">
        <v>1900</v>
      </c>
      <c r="K58" s="528">
        <v>568</v>
      </c>
    </row>
    <row r="59" spans="1:11" ht="14.4" customHeight="1" x14ac:dyDescent="0.3">
      <c r="A59" s="523" t="s">
        <v>443</v>
      </c>
      <c r="B59" s="524" t="s">
        <v>445</v>
      </c>
      <c r="C59" s="525" t="s">
        <v>459</v>
      </c>
      <c r="D59" s="526" t="s">
        <v>460</v>
      </c>
      <c r="E59" s="525" t="s">
        <v>1286</v>
      </c>
      <c r="F59" s="526" t="s">
        <v>1287</v>
      </c>
      <c r="G59" s="525" t="s">
        <v>1400</v>
      </c>
      <c r="H59" s="525" t="s">
        <v>1401</v>
      </c>
      <c r="I59" s="527">
        <v>0.3</v>
      </c>
      <c r="J59" s="527">
        <v>200</v>
      </c>
      <c r="K59" s="528">
        <v>60</v>
      </c>
    </row>
    <row r="60" spans="1:11" ht="14.4" customHeight="1" x14ac:dyDescent="0.3">
      <c r="A60" s="523" t="s">
        <v>443</v>
      </c>
      <c r="B60" s="524" t="s">
        <v>445</v>
      </c>
      <c r="C60" s="525" t="s">
        <v>459</v>
      </c>
      <c r="D60" s="526" t="s">
        <v>460</v>
      </c>
      <c r="E60" s="525" t="s">
        <v>1288</v>
      </c>
      <c r="F60" s="526" t="s">
        <v>1289</v>
      </c>
      <c r="G60" s="525" t="s">
        <v>1402</v>
      </c>
      <c r="H60" s="525" t="s">
        <v>1403</v>
      </c>
      <c r="I60" s="527">
        <v>0.79222222222222227</v>
      </c>
      <c r="J60" s="527">
        <v>19000</v>
      </c>
      <c r="K60" s="528">
        <v>15080</v>
      </c>
    </row>
    <row r="61" spans="1:11" ht="14.4" customHeight="1" x14ac:dyDescent="0.3">
      <c r="A61" s="523" t="s">
        <v>443</v>
      </c>
      <c r="B61" s="524" t="s">
        <v>445</v>
      </c>
      <c r="C61" s="525" t="s">
        <v>459</v>
      </c>
      <c r="D61" s="526" t="s">
        <v>460</v>
      </c>
      <c r="E61" s="525" t="s">
        <v>1288</v>
      </c>
      <c r="F61" s="526" t="s">
        <v>1289</v>
      </c>
      <c r="G61" s="525" t="s">
        <v>1404</v>
      </c>
      <c r="H61" s="525" t="s">
        <v>1405</v>
      </c>
      <c r="I61" s="527">
        <v>7.3633333333333333</v>
      </c>
      <c r="J61" s="527">
        <v>600</v>
      </c>
      <c r="K61" s="528">
        <v>4418</v>
      </c>
    </row>
    <row r="62" spans="1:11" ht="14.4" customHeight="1" x14ac:dyDescent="0.3">
      <c r="A62" s="523" t="s">
        <v>443</v>
      </c>
      <c r="B62" s="524" t="s">
        <v>445</v>
      </c>
      <c r="C62" s="525" t="s">
        <v>459</v>
      </c>
      <c r="D62" s="526" t="s">
        <v>460</v>
      </c>
      <c r="E62" s="525" t="s">
        <v>1288</v>
      </c>
      <c r="F62" s="526" t="s">
        <v>1289</v>
      </c>
      <c r="G62" s="525" t="s">
        <v>1406</v>
      </c>
      <c r="H62" s="525" t="s">
        <v>1407</v>
      </c>
      <c r="I62" s="527">
        <v>7.3674999999999997</v>
      </c>
      <c r="J62" s="527">
        <v>250</v>
      </c>
      <c r="K62" s="528">
        <v>1827</v>
      </c>
    </row>
    <row r="63" spans="1:11" ht="14.4" customHeight="1" x14ac:dyDescent="0.3">
      <c r="A63" s="523" t="s">
        <v>443</v>
      </c>
      <c r="B63" s="524" t="s">
        <v>445</v>
      </c>
      <c r="C63" s="525" t="s">
        <v>459</v>
      </c>
      <c r="D63" s="526" t="s">
        <v>460</v>
      </c>
      <c r="E63" s="525" t="s">
        <v>1290</v>
      </c>
      <c r="F63" s="526" t="s">
        <v>1291</v>
      </c>
      <c r="G63" s="525" t="s">
        <v>1408</v>
      </c>
      <c r="H63" s="525" t="s">
        <v>1409</v>
      </c>
      <c r="I63" s="527">
        <v>4114.0738372944152</v>
      </c>
      <c r="J63" s="527">
        <v>12</v>
      </c>
      <c r="K63" s="528">
        <v>49368.886047532986</v>
      </c>
    </row>
    <row r="64" spans="1:11" ht="14.4" customHeight="1" x14ac:dyDescent="0.3">
      <c r="A64" s="523" t="s">
        <v>443</v>
      </c>
      <c r="B64" s="524" t="s">
        <v>445</v>
      </c>
      <c r="C64" s="525" t="s">
        <v>463</v>
      </c>
      <c r="D64" s="526" t="s">
        <v>464</v>
      </c>
      <c r="E64" s="525" t="s">
        <v>1272</v>
      </c>
      <c r="F64" s="526" t="s">
        <v>1273</v>
      </c>
      <c r="G64" s="525" t="s">
        <v>1292</v>
      </c>
      <c r="H64" s="525" t="s">
        <v>1293</v>
      </c>
      <c r="I64" s="527">
        <v>4.3183333333333342</v>
      </c>
      <c r="J64" s="527">
        <v>168</v>
      </c>
      <c r="K64" s="528">
        <v>725.04000000000019</v>
      </c>
    </row>
    <row r="65" spans="1:11" ht="14.4" customHeight="1" x14ac:dyDescent="0.3">
      <c r="A65" s="523" t="s">
        <v>443</v>
      </c>
      <c r="B65" s="524" t="s">
        <v>445</v>
      </c>
      <c r="C65" s="525" t="s">
        <v>463</v>
      </c>
      <c r="D65" s="526" t="s">
        <v>464</v>
      </c>
      <c r="E65" s="525" t="s">
        <v>1272</v>
      </c>
      <c r="F65" s="526" t="s">
        <v>1273</v>
      </c>
      <c r="G65" s="525" t="s">
        <v>1294</v>
      </c>
      <c r="H65" s="525" t="s">
        <v>1295</v>
      </c>
      <c r="I65" s="527">
        <v>0.39749999999999996</v>
      </c>
      <c r="J65" s="527">
        <v>1200</v>
      </c>
      <c r="K65" s="528">
        <v>477</v>
      </c>
    </row>
    <row r="66" spans="1:11" ht="14.4" customHeight="1" x14ac:dyDescent="0.3">
      <c r="A66" s="523" t="s">
        <v>443</v>
      </c>
      <c r="B66" s="524" t="s">
        <v>445</v>
      </c>
      <c r="C66" s="525" t="s">
        <v>463</v>
      </c>
      <c r="D66" s="526" t="s">
        <v>464</v>
      </c>
      <c r="E66" s="525" t="s">
        <v>1272</v>
      </c>
      <c r="F66" s="526" t="s">
        <v>1273</v>
      </c>
      <c r="G66" s="525" t="s">
        <v>1410</v>
      </c>
      <c r="H66" s="525" t="s">
        <v>1411</v>
      </c>
      <c r="I66" s="527">
        <v>0.31</v>
      </c>
      <c r="J66" s="527">
        <v>4800</v>
      </c>
      <c r="K66" s="528">
        <v>1487.28</v>
      </c>
    </row>
    <row r="67" spans="1:11" ht="14.4" customHeight="1" x14ac:dyDescent="0.3">
      <c r="A67" s="523" t="s">
        <v>443</v>
      </c>
      <c r="B67" s="524" t="s">
        <v>445</v>
      </c>
      <c r="C67" s="525" t="s">
        <v>463</v>
      </c>
      <c r="D67" s="526" t="s">
        <v>464</v>
      </c>
      <c r="E67" s="525" t="s">
        <v>1272</v>
      </c>
      <c r="F67" s="526" t="s">
        <v>1273</v>
      </c>
      <c r="G67" s="525" t="s">
        <v>1300</v>
      </c>
      <c r="H67" s="525" t="s">
        <v>1301</v>
      </c>
      <c r="I67" s="527">
        <v>2.6850000000000001</v>
      </c>
      <c r="J67" s="527">
        <v>500</v>
      </c>
      <c r="K67" s="528">
        <v>1344</v>
      </c>
    </row>
    <row r="68" spans="1:11" ht="14.4" customHeight="1" x14ac:dyDescent="0.3">
      <c r="A68" s="523" t="s">
        <v>443</v>
      </c>
      <c r="B68" s="524" t="s">
        <v>445</v>
      </c>
      <c r="C68" s="525" t="s">
        <v>463</v>
      </c>
      <c r="D68" s="526" t="s">
        <v>464</v>
      </c>
      <c r="E68" s="525" t="s">
        <v>1272</v>
      </c>
      <c r="F68" s="526" t="s">
        <v>1273</v>
      </c>
      <c r="G68" s="525" t="s">
        <v>1412</v>
      </c>
      <c r="H68" s="525" t="s">
        <v>1413</v>
      </c>
      <c r="I68" s="527">
        <v>0.59666666666666668</v>
      </c>
      <c r="J68" s="527">
        <v>1500</v>
      </c>
      <c r="K68" s="528">
        <v>895</v>
      </c>
    </row>
    <row r="69" spans="1:11" ht="14.4" customHeight="1" x14ac:dyDescent="0.3">
      <c r="A69" s="523" t="s">
        <v>443</v>
      </c>
      <c r="B69" s="524" t="s">
        <v>445</v>
      </c>
      <c r="C69" s="525" t="s">
        <v>463</v>
      </c>
      <c r="D69" s="526" t="s">
        <v>464</v>
      </c>
      <c r="E69" s="525" t="s">
        <v>1272</v>
      </c>
      <c r="F69" s="526" t="s">
        <v>1273</v>
      </c>
      <c r="G69" s="525" t="s">
        <v>1414</v>
      </c>
      <c r="H69" s="525" t="s">
        <v>1415</v>
      </c>
      <c r="I69" s="527">
        <v>8.67</v>
      </c>
      <c r="J69" s="527">
        <v>24</v>
      </c>
      <c r="K69" s="528">
        <v>208.08</v>
      </c>
    </row>
    <row r="70" spans="1:11" ht="14.4" customHeight="1" x14ac:dyDescent="0.3">
      <c r="A70" s="523" t="s">
        <v>443</v>
      </c>
      <c r="B70" s="524" t="s">
        <v>445</v>
      </c>
      <c r="C70" s="525" t="s">
        <v>463</v>
      </c>
      <c r="D70" s="526" t="s">
        <v>464</v>
      </c>
      <c r="E70" s="525" t="s">
        <v>1272</v>
      </c>
      <c r="F70" s="526" t="s">
        <v>1273</v>
      </c>
      <c r="G70" s="525" t="s">
        <v>1416</v>
      </c>
      <c r="H70" s="525" t="s">
        <v>1417</v>
      </c>
      <c r="I70" s="527">
        <v>1.2314285714285715</v>
      </c>
      <c r="J70" s="527">
        <v>2100</v>
      </c>
      <c r="K70" s="528">
        <v>2586</v>
      </c>
    </row>
    <row r="71" spans="1:11" ht="14.4" customHeight="1" x14ac:dyDescent="0.3">
      <c r="A71" s="523" t="s">
        <v>443</v>
      </c>
      <c r="B71" s="524" t="s">
        <v>445</v>
      </c>
      <c r="C71" s="525" t="s">
        <v>463</v>
      </c>
      <c r="D71" s="526" t="s">
        <v>464</v>
      </c>
      <c r="E71" s="525" t="s">
        <v>1272</v>
      </c>
      <c r="F71" s="526" t="s">
        <v>1273</v>
      </c>
      <c r="G71" s="525" t="s">
        <v>1302</v>
      </c>
      <c r="H71" s="525" t="s">
        <v>1303</v>
      </c>
      <c r="I71" s="527">
        <v>0.31</v>
      </c>
      <c r="J71" s="527">
        <v>500</v>
      </c>
      <c r="K71" s="528">
        <v>153.19999999999999</v>
      </c>
    </row>
    <row r="72" spans="1:11" ht="14.4" customHeight="1" x14ac:dyDescent="0.3">
      <c r="A72" s="523" t="s">
        <v>443</v>
      </c>
      <c r="B72" s="524" t="s">
        <v>445</v>
      </c>
      <c r="C72" s="525" t="s">
        <v>463</v>
      </c>
      <c r="D72" s="526" t="s">
        <v>464</v>
      </c>
      <c r="E72" s="525" t="s">
        <v>1272</v>
      </c>
      <c r="F72" s="526" t="s">
        <v>1273</v>
      </c>
      <c r="G72" s="525" t="s">
        <v>1418</v>
      </c>
      <c r="H72" s="525" t="s">
        <v>1419</v>
      </c>
      <c r="I72" s="527">
        <v>13.209999999999999</v>
      </c>
      <c r="J72" s="527">
        <v>144</v>
      </c>
      <c r="K72" s="528">
        <v>1900.73</v>
      </c>
    </row>
    <row r="73" spans="1:11" ht="14.4" customHeight="1" x14ac:dyDescent="0.3">
      <c r="A73" s="523" t="s">
        <v>443</v>
      </c>
      <c r="B73" s="524" t="s">
        <v>445</v>
      </c>
      <c r="C73" s="525" t="s">
        <v>463</v>
      </c>
      <c r="D73" s="526" t="s">
        <v>464</v>
      </c>
      <c r="E73" s="525" t="s">
        <v>1272</v>
      </c>
      <c r="F73" s="526" t="s">
        <v>1273</v>
      </c>
      <c r="G73" s="525" t="s">
        <v>1420</v>
      </c>
      <c r="H73" s="525" t="s">
        <v>1421</v>
      </c>
      <c r="I73" s="527">
        <v>0.86</v>
      </c>
      <c r="J73" s="527">
        <v>100</v>
      </c>
      <c r="K73" s="528">
        <v>86</v>
      </c>
    </row>
    <row r="74" spans="1:11" ht="14.4" customHeight="1" x14ac:dyDescent="0.3">
      <c r="A74" s="523" t="s">
        <v>443</v>
      </c>
      <c r="B74" s="524" t="s">
        <v>445</v>
      </c>
      <c r="C74" s="525" t="s">
        <v>463</v>
      </c>
      <c r="D74" s="526" t="s">
        <v>464</v>
      </c>
      <c r="E74" s="525" t="s">
        <v>1272</v>
      </c>
      <c r="F74" s="526" t="s">
        <v>1273</v>
      </c>
      <c r="G74" s="525" t="s">
        <v>1304</v>
      </c>
      <c r="H74" s="525" t="s">
        <v>1305</v>
      </c>
      <c r="I74" s="527">
        <v>0.3</v>
      </c>
      <c r="J74" s="527">
        <v>10000</v>
      </c>
      <c r="K74" s="528">
        <v>2964.5</v>
      </c>
    </row>
    <row r="75" spans="1:11" ht="14.4" customHeight="1" x14ac:dyDescent="0.3">
      <c r="A75" s="523" t="s">
        <v>443</v>
      </c>
      <c r="B75" s="524" t="s">
        <v>445</v>
      </c>
      <c r="C75" s="525" t="s">
        <v>463</v>
      </c>
      <c r="D75" s="526" t="s">
        <v>464</v>
      </c>
      <c r="E75" s="525" t="s">
        <v>1274</v>
      </c>
      <c r="F75" s="526" t="s">
        <v>1275</v>
      </c>
      <c r="G75" s="525" t="s">
        <v>1308</v>
      </c>
      <c r="H75" s="525" t="s">
        <v>1309</v>
      </c>
      <c r="I75" s="527">
        <v>16.25</v>
      </c>
      <c r="J75" s="527">
        <v>4220</v>
      </c>
      <c r="K75" s="528">
        <v>69912.83</v>
      </c>
    </row>
    <row r="76" spans="1:11" ht="14.4" customHeight="1" x14ac:dyDescent="0.3">
      <c r="A76" s="523" t="s">
        <v>443</v>
      </c>
      <c r="B76" s="524" t="s">
        <v>445</v>
      </c>
      <c r="C76" s="525" t="s">
        <v>463</v>
      </c>
      <c r="D76" s="526" t="s">
        <v>464</v>
      </c>
      <c r="E76" s="525" t="s">
        <v>1274</v>
      </c>
      <c r="F76" s="526" t="s">
        <v>1275</v>
      </c>
      <c r="G76" s="525" t="s">
        <v>1310</v>
      </c>
      <c r="H76" s="525" t="s">
        <v>1311</v>
      </c>
      <c r="I76" s="527">
        <v>15.736666666666666</v>
      </c>
      <c r="J76" s="527">
        <v>450</v>
      </c>
      <c r="K76" s="528">
        <v>7081.5</v>
      </c>
    </row>
    <row r="77" spans="1:11" ht="14.4" customHeight="1" x14ac:dyDescent="0.3">
      <c r="A77" s="523" t="s">
        <v>443</v>
      </c>
      <c r="B77" s="524" t="s">
        <v>445</v>
      </c>
      <c r="C77" s="525" t="s">
        <v>463</v>
      </c>
      <c r="D77" s="526" t="s">
        <v>464</v>
      </c>
      <c r="E77" s="525" t="s">
        <v>1274</v>
      </c>
      <c r="F77" s="526" t="s">
        <v>1275</v>
      </c>
      <c r="G77" s="525" t="s">
        <v>1312</v>
      </c>
      <c r="H77" s="525" t="s">
        <v>1313</v>
      </c>
      <c r="I77" s="527">
        <v>2.3785714285714286</v>
      </c>
      <c r="J77" s="527">
        <v>450</v>
      </c>
      <c r="K77" s="528">
        <v>1066</v>
      </c>
    </row>
    <row r="78" spans="1:11" ht="14.4" customHeight="1" x14ac:dyDescent="0.3">
      <c r="A78" s="523" t="s">
        <v>443</v>
      </c>
      <c r="B78" s="524" t="s">
        <v>445</v>
      </c>
      <c r="C78" s="525" t="s">
        <v>463</v>
      </c>
      <c r="D78" s="526" t="s">
        <v>464</v>
      </c>
      <c r="E78" s="525" t="s">
        <v>1274</v>
      </c>
      <c r="F78" s="526" t="s">
        <v>1275</v>
      </c>
      <c r="G78" s="525" t="s">
        <v>1314</v>
      </c>
      <c r="H78" s="525" t="s">
        <v>1315</v>
      </c>
      <c r="I78" s="527">
        <v>31.709999999999997</v>
      </c>
      <c r="J78" s="527">
        <v>350</v>
      </c>
      <c r="K78" s="528">
        <v>11249.5</v>
      </c>
    </row>
    <row r="79" spans="1:11" ht="14.4" customHeight="1" x14ac:dyDescent="0.3">
      <c r="A79" s="523" t="s">
        <v>443</v>
      </c>
      <c r="B79" s="524" t="s">
        <v>445</v>
      </c>
      <c r="C79" s="525" t="s">
        <v>463</v>
      </c>
      <c r="D79" s="526" t="s">
        <v>464</v>
      </c>
      <c r="E79" s="525" t="s">
        <v>1274</v>
      </c>
      <c r="F79" s="526" t="s">
        <v>1275</v>
      </c>
      <c r="G79" s="525" t="s">
        <v>1316</v>
      </c>
      <c r="H79" s="525" t="s">
        <v>1317</v>
      </c>
      <c r="I79" s="527">
        <v>2.6625000000000001</v>
      </c>
      <c r="J79" s="527">
        <v>400</v>
      </c>
      <c r="K79" s="528">
        <v>1065</v>
      </c>
    </row>
    <row r="80" spans="1:11" ht="14.4" customHeight="1" x14ac:dyDescent="0.3">
      <c r="A80" s="523" t="s">
        <v>443</v>
      </c>
      <c r="B80" s="524" t="s">
        <v>445</v>
      </c>
      <c r="C80" s="525" t="s">
        <v>463</v>
      </c>
      <c r="D80" s="526" t="s">
        <v>464</v>
      </c>
      <c r="E80" s="525" t="s">
        <v>1274</v>
      </c>
      <c r="F80" s="526" t="s">
        <v>1275</v>
      </c>
      <c r="G80" s="525" t="s">
        <v>1318</v>
      </c>
      <c r="H80" s="525" t="s">
        <v>1319</v>
      </c>
      <c r="I80" s="527">
        <v>4.1433333333333335</v>
      </c>
      <c r="J80" s="527">
        <v>150</v>
      </c>
      <c r="K80" s="528">
        <v>621.5</v>
      </c>
    </row>
    <row r="81" spans="1:11" ht="14.4" customHeight="1" x14ac:dyDescent="0.3">
      <c r="A81" s="523" t="s">
        <v>443</v>
      </c>
      <c r="B81" s="524" t="s">
        <v>445</v>
      </c>
      <c r="C81" s="525" t="s">
        <v>463</v>
      </c>
      <c r="D81" s="526" t="s">
        <v>464</v>
      </c>
      <c r="E81" s="525" t="s">
        <v>1274</v>
      </c>
      <c r="F81" s="526" t="s">
        <v>1275</v>
      </c>
      <c r="G81" s="525" t="s">
        <v>1320</v>
      </c>
      <c r="H81" s="525" t="s">
        <v>1321</v>
      </c>
      <c r="I81" s="527">
        <v>0.93666666666666665</v>
      </c>
      <c r="J81" s="527">
        <v>300</v>
      </c>
      <c r="K81" s="528">
        <v>281</v>
      </c>
    </row>
    <row r="82" spans="1:11" ht="14.4" customHeight="1" x14ac:dyDescent="0.3">
      <c r="A82" s="523" t="s">
        <v>443</v>
      </c>
      <c r="B82" s="524" t="s">
        <v>445</v>
      </c>
      <c r="C82" s="525" t="s">
        <v>463</v>
      </c>
      <c r="D82" s="526" t="s">
        <v>464</v>
      </c>
      <c r="E82" s="525" t="s">
        <v>1274</v>
      </c>
      <c r="F82" s="526" t="s">
        <v>1275</v>
      </c>
      <c r="G82" s="525" t="s">
        <v>1322</v>
      </c>
      <c r="H82" s="525" t="s">
        <v>1323</v>
      </c>
      <c r="I82" s="527">
        <v>1.4249999999999998</v>
      </c>
      <c r="J82" s="527">
        <v>13000</v>
      </c>
      <c r="K82" s="528">
        <v>18462</v>
      </c>
    </row>
    <row r="83" spans="1:11" ht="14.4" customHeight="1" x14ac:dyDescent="0.3">
      <c r="A83" s="523" t="s">
        <v>443</v>
      </c>
      <c r="B83" s="524" t="s">
        <v>445</v>
      </c>
      <c r="C83" s="525" t="s">
        <v>463</v>
      </c>
      <c r="D83" s="526" t="s">
        <v>464</v>
      </c>
      <c r="E83" s="525" t="s">
        <v>1274</v>
      </c>
      <c r="F83" s="526" t="s">
        <v>1275</v>
      </c>
      <c r="G83" s="525" t="s">
        <v>1324</v>
      </c>
      <c r="H83" s="525" t="s">
        <v>1325</v>
      </c>
      <c r="I83" s="527">
        <v>0.41333333333333333</v>
      </c>
      <c r="J83" s="527">
        <v>3500</v>
      </c>
      <c r="K83" s="528">
        <v>1445</v>
      </c>
    </row>
    <row r="84" spans="1:11" ht="14.4" customHeight="1" x14ac:dyDescent="0.3">
      <c r="A84" s="523" t="s">
        <v>443</v>
      </c>
      <c r="B84" s="524" t="s">
        <v>445</v>
      </c>
      <c r="C84" s="525" t="s">
        <v>463</v>
      </c>
      <c r="D84" s="526" t="s">
        <v>464</v>
      </c>
      <c r="E84" s="525" t="s">
        <v>1274</v>
      </c>
      <c r="F84" s="526" t="s">
        <v>1275</v>
      </c>
      <c r="G84" s="525" t="s">
        <v>1326</v>
      </c>
      <c r="H84" s="525" t="s">
        <v>1327</v>
      </c>
      <c r="I84" s="527">
        <v>0.57111111111111112</v>
      </c>
      <c r="J84" s="527">
        <v>1100</v>
      </c>
      <c r="K84" s="528">
        <v>630</v>
      </c>
    </row>
    <row r="85" spans="1:11" ht="14.4" customHeight="1" x14ac:dyDescent="0.3">
      <c r="A85" s="523" t="s">
        <v>443</v>
      </c>
      <c r="B85" s="524" t="s">
        <v>445</v>
      </c>
      <c r="C85" s="525" t="s">
        <v>463</v>
      </c>
      <c r="D85" s="526" t="s">
        <v>464</v>
      </c>
      <c r="E85" s="525" t="s">
        <v>1274</v>
      </c>
      <c r="F85" s="526" t="s">
        <v>1275</v>
      </c>
      <c r="G85" s="525" t="s">
        <v>1328</v>
      </c>
      <c r="H85" s="525" t="s">
        <v>1329</v>
      </c>
      <c r="I85" s="527">
        <v>3.19</v>
      </c>
      <c r="J85" s="527">
        <v>500</v>
      </c>
      <c r="K85" s="528">
        <v>1589.98</v>
      </c>
    </row>
    <row r="86" spans="1:11" ht="14.4" customHeight="1" x14ac:dyDescent="0.3">
      <c r="A86" s="523" t="s">
        <v>443</v>
      </c>
      <c r="B86" s="524" t="s">
        <v>445</v>
      </c>
      <c r="C86" s="525" t="s">
        <v>463</v>
      </c>
      <c r="D86" s="526" t="s">
        <v>464</v>
      </c>
      <c r="E86" s="525" t="s">
        <v>1274</v>
      </c>
      <c r="F86" s="526" t="s">
        <v>1275</v>
      </c>
      <c r="G86" s="525" t="s">
        <v>1336</v>
      </c>
      <c r="H86" s="525" t="s">
        <v>1337</v>
      </c>
      <c r="I86" s="527">
        <v>25.992000000000001</v>
      </c>
      <c r="J86" s="527">
        <v>320</v>
      </c>
      <c r="K86" s="528">
        <v>8317.7999999999993</v>
      </c>
    </row>
    <row r="87" spans="1:11" ht="14.4" customHeight="1" x14ac:dyDescent="0.3">
      <c r="A87" s="523" t="s">
        <v>443</v>
      </c>
      <c r="B87" s="524" t="s">
        <v>445</v>
      </c>
      <c r="C87" s="525" t="s">
        <v>463</v>
      </c>
      <c r="D87" s="526" t="s">
        <v>464</v>
      </c>
      <c r="E87" s="525" t="s">
        <v>1274</v>
      </c>
      <c r="F87" s="526" t="s">
        <v>1275</v>
      </c>
      <c r="G87" s="525" t="s">
        <v>1422</v>
      </c>
      <c r="H87" s="525" t="s">
        <v>1423</v>
      </c>
      <c r="I87" s="527">
        <v>14.3</v>
      </c>
      <c r="J87" s="527">
        <v>20</v>
      </c>
      <c r="K87" s="528">
        <v>286</v>
      </c>
    </row>
    <row r="88" spans="1:11" ht="14.4" customHeight="1" x14ac:dyDescent="0.3">
      <c r="A88" s="523" t="s">
        <v>443</v>
      </c>
      <c r="B88" s="524" t="s">
        <v>445</v>
      </c>
      <c r="C88" s="525" t="s">
        <v>463</v>
      </c>
      <c r="D88" s="526" t="s">
        <v>464</v>
      </c>
      <c r="E88" s="525" t="s">
        <v>1274</v>
      </c>
      <c r="F88" s="526" t="s">
        <v>1275</v>
      </c>
      <c r="G88" s="525" t="s">
        <v>1338</v>
      </c>
      <c r="H88" s="525" t="s">
        <v>1339</v>
      </c>
      <c r="I88" s="527">
        <v>9.1466666666666665</v>
      </c>
      <c r="J88" s="527">
        <v>300</v>
      </c>
      <c r="K88" s="528">
        <v>2743.2000000000003</v>
      </c>
    </row>
    <row r="89" spans="1:11" ht="14.4" customHeight="1" x14ac:dyDescent="0.3">
      <c r="A89" s="523" t="s">
        <v>443</v>
      </c>
      <c r="B89" s="524" t="s">
        <v>445</v>
      </c>
      <c r="C89" s="525" t="s">
        <v>463</v>
      </c>
      <c r="D89" s="526" t="s">
        <v>464</v>
      </c>
      <c r="E89" s="525" t="s">
        <v>1274</v>
      </c>
      <c r="F89" s="526" t="s">
        <v>1275</v>
      </c>
      <c r="G89" s="525" t="s">
        <v>1340</v>
      </c>
      <c r="H89" s="525" t="s">
        <v>1341</v>
      </c>
      <c r="I89" s="527">
        <v>5.410000000000001</v>
      </c>
      <c r="J89" s="527">
        <v>700</v>
      </c>
      <c r="K89" s="528">
        <v>3785.58</v>
      </c>
    </row>
    <row r="90" spans="1:11" ht="14.4" customHeight="1" x14ac:dyDescent="0.3">
      <c r="A90" s="523" t="s">
        <v>443</v>
      </c>
      <c r="B90" s="524" t="s">
        <v>445</v>
      </c>
      <c r="C90" s="525" t="s">
        <v>463</v>
      </c>
      <c r="D90" s="526" t="s">
        <v>464</v>
      </c>
      <c r="E90" s="525" t="s">
        <v>1274</v>
      </c>
      <c r="F90" s="526" t="s">
        <v>1275</v>
      </c>
      <c r="G90" s="525" t="s">
        <v>1342</v>
      </c>
      <c r="H90" s="525" t="s">
        <v>1343</v>
      </c>
      <c r="I90" s="527">
        <v>1326.34</v>
      </c>
      <c r="J90" s="527">
        <v>1</v>
      </c>
      <c r="K90" s="528">
        <v>1326.34</v>
      </c>
    </row>
    <row r="91" spans="1:11" ht="14.4" customHeight="1" x14ac:dyDescent="0.3">
      <c r="A91" s="523" t="s">
        <v>443</v>
      </c>
      <c r="B91" s="524" t="s">
        <v>445</v>
      </c>
      <c r="C91" s="525" t="s">
        <v>463</v>
      </c>
      <c r="D91" s="526" t="s">
        <v>464</v>
      </c>
      <c r="E91" s="525" t="s">
        <v>1274</v>
      </c>
      <c r="F91" s="526" t="s">
        <v>1275</v>
      </c>
      <c r="G91" s="525" t="s">
        <v>1424</v>
      </c>
      <c r="H91" s="525" t="s">
        <v>1425</v>
      </c>
      <c r="I91" s="527">
        <v>16.989999999999998</v>
      </c>
      <c r="J91" s="527">
        <v>20</v>
      </c>
      <c r="K91" s="528">
        <v>339.8</v>
      </c>
    </row>
    <row r="92" spans="1:11" ht="14.4" customHeight="1" x14ac:dyDescent="0.3">
      <c r="A92" s="523" t="s">
        <v>443</v>
      </c>
      <c r="B92" s="524" t="s">
        <v>445</v>
      </c>
      <c r="C92" s="525" t="s">
        <v>463</v>
      </c>
      <c r="D92" s="526" t="s">
        <v>464</v>
      </c>
      <c r="E92" s="525" t="s">
        <v>1274</v>
      </c>
      <c r="F92" s="526" t="s">
        <v>1275</v>
      </c>
      <c r="G92" s="525" t="s">
        <v>1426</v>
      </c>
      <c r="H92" s="525" t="s">
        <v>1427</v>
      </c>
      <c r="I92" s="527">
        <v>26.01</v>
      </c>
      <c r="J92" s="527">
        <v>120</v>
      </c>
      <c r="K92" s="528">
        <v>3121.7999999999997</v>
      </c>
    </row>
    <row r="93" spans="1:11" ht="14.4" customHeight="1" x14ac:dyDescent="0.3">
      <c r="A93" s="523" t="s">
        <v>443</v>
      </c>
      <c r="B93" s="524" t="s">
        <v>445</v>
      </c>
      <c r="C93" s="525" t="s">
        <v>463</v>
      </c>
      <c r="D93" s="526" t="s">
        <v>464</v>
      </c>
      <c r="E93" s="525" t="s">
        <v>1274</v>
      </c>
      <c r="F93" s="526" t="s">
        <v>1275</v>
      </c>
      <c r="G93" s="525" t="s">
        <v>1428</v>
      </c>
      <c r="H93" s="525" t="s">
        <v>1429</v>
      </c>
      <c r="I93" s="527">
        <v>2.8977777777777778</v>
      </c>
      <c r="J93" s="527">
        <v>1700</v>
      </c>
      <c r="K93" s="528">
        <v>4928</v>
      </c>
    </row>
    <row r="94" spans="1:11" ht="14.4" customHeight="1" x14ac:dyDescent="0.3">
      <c r="A94" s="523" t="s">
        <v>443</v>
      </c>
      <c r="B94" s="524" t="s">
        <v>445</v>
      </c>
      <c r="C94" s="525" t="s">
        <v>463</v>
      </c>
      <c r="D94" s="526" t="s">
        <v>464</v>
      </c>
      <c r="E94" s="525" t="s">
        <v>1274</v>
      </c>
      <c r="F94" s="526" t="s">
        <v>1275</v>
      </c>
      <c r="G94" s="525" t="s">
        <v>1430</v>
      </c>
      <c r="H94" s="525" t="s">
        <v>1431</v>
      </c>
      <c r="I94" s="527">
        <v>4.72</v>
      </c>
      <c r="J94" s="527">
        <v>100</v>
      </c>
      <c r="K94" s="528">
        <v>472</v>
      </c>
    </row>
    <row r="95" spans="1:11" ht="14.4" customHeight="1" x14ac:dyDescent="0.3">
      <c r="A95" s="523" t="s">
        <v>443</v>
      </c>
      <c r="B95" s="524" t="s">
        <v>445</v>
      </c>
      <c r="C95" s="525" t="s">
        <v>463</v>
      </c>
      <c r="D95" s="526" t="s">
        <v>464</v>
      </c>
      <c r="E95" s="525" t="s">
        <v>1274</v>
      </c>
      <c r="F95" s="526" t="s">
        <v>1275</v>
      </c>
      <c r="G95" s="525" t="s">
        <v>1346</v>
      </c>
      <c r="H95" s="525" t="s">
        <v>1347</v>
      </c>
      <c r="I95" s="527">
        <v>58.786666666666662</v>
      </c>
      <c r="J95" s="527">
        <v>36</v>
      </c>
      <c r="K95" s="528">
        <v>2116.2399999999998</v>
      </c>
    </row>
    <row r="96" spans="1:11" ht="14.4" customHeight="1" x14ac:dyDescent="0.3">
      <c r="A96" s="523" t="s">
        <v>443</v>
      </c>
      <c r="B96" s="524" t="s">
        <v>445</v>
      </c>
      <c r="C96" s="525" t="s">
        <v>463</v>
      </c>
      <c r="D96" s="526" t="s">
        <v>464</v>
      </c>
      <c r="E96" s="525" t="s">
        <v>1274</v>
      </c>
      <c r="F96" s="526" t="s">
        <v>1275</v>
      </c>
      <c r="G96" s="525" t="s">
        <v>1348</v>
      </c>
      <c r="H96" s="525" t="s">
        <v>1349</v>
      </c>
      <c r="I96" s="527">
        <v>2.06</v>
      </c>
      <c r="J96" s="527">
        <v>20</v>
      </c>
      <c r="K96" s="528">
        <v>41.2</v>
      </c>
    </row>
    <row r="97" spans="1:11" ht="14.4" customHeight="1" x14ac:dyDescent="0.3">
      <c r="A97" s="523" t="s">
        <v>443</v>
      </c>
      <c r="B97" s="524" t="s">
        <v>445</v>
      </c>
      <c r="C97" s="525" t="s">
        <v>463</v>
      </c>
      <c r="D97" s="526" t="s">
        <v>464</v>
      </c>
      <c r="E97" s="525" t="s">
        <v>1274</v>
      </c>
      <c r="F97" s="526" t="s">
        <v>1275</v>
      </c>
      <c r="G97" s="525" t="s">
        <v>1350</v>
      </c>
      <c r="H97" s="525" t="s">
        <v>1351</v>
      </c>
      <c r="I97" s="527">
        <v>204.85250000000002</v>
      </c>
      <c r="J97" s="527">
        <v>72</v>
      </c>
      <c r="K97" s="528">
        <v>14749.48</v>
      </c>
    </row>
    <row r="98" spans="1:11" ht="14.4" customHeight="1" x14ac:dyDescent="0.3">
      <c r="A98" s="523" t="s">
        <v>443</v>
      </c>
      <c r="B98" s="524" t="s">
        <v>445</v>
      </c>
      <c r="C98" s="525" t="s">
        <v>463</v>
      </c>
      <c r="D98" s="526" t="s">
        <v>464</v>
      </c>
      <c r="E98" s="525" t="s">
        <v>1274</v>
      </c>
      <c r="F98" s="526" t="s">
        <v>1275</v>
      </c>
      <c r="G98" s="525" t="s">
        <v>1352</v>
      </c>
      <c r="H98" s="525" t="s">
        <v>1353</v>
      </c>
      <c r="I98" s="527">
        <v>403.77749999999992</v>
      </c>
      <c r="J98" s="527">
        <v>160</v>
      </c>
      <c r="K98" s="528">
        <v>64604.26</v>
      </c>
    </row>
    <row r="99" spans="1:11" ht="14.4" customHeight="1" x14ac:dyDescent="0.3">
      <c r="A99" s="523" t="s">
        <v>443</v>
      </c>
      <c r="B99" s="524" t="s">
        <v>445</v>
      </c>
      <c r="C99" s="525" t="s">
        <v>463</v>
      </c>
      <c r="D99" s="526" t="s">
        <v>464</v>
      </c>
      <c r="E99" s="525" t="s">
        <v>1274</v>
      </c>
      <c r="F99" s="526" t="s">
        <v>1275</v>
      </c>
      <c r="G99" s="525" t="s">
        <v>1356</v>
      </c>
      <c r="H99" s="525" t="s">
        <v>1357</v>
      </c>
      <c r="I99" s="527">
        <v>2.3628571428571425</v>
      </c>
      <c r="J99" s="527">
        <v>1050</v>
      </c>
      <c r="K99" s="528">
        <v>2480.6999999999998</v>
      </c>
    </row>
    <row r="100" spans="1:11" ht="14.4" customHeight="1" x14ac:dyDescent="0.3">
      <c r="A100" s="523" t="s">
        <v>443</v>
      </c>
      <c r="B100" s="524" t="s">
        <v>445</v>
      </c>
      <c r="C100" s="525" t="s">
        <v>463</v>
      </c>
      <c r="D100" s="526" t="s">
        <v>464</v>
      </c>
      <c r="E100" s="525" t="s">
        <v>1274</v>
      </c>
      <c r="F100" s="526" t="s">
        <v>1275</v>
      </c>
      <c r="G100" s="525" t="s">
        <v>1358</v>
      </c>
      <c r="H100" s="525" t="s">
        <v>1359</v>
      </c>
      <c r="I100" s="527">
        <v>4.72</v>
      </c>
      <c r="J100" s="527">
        <v>400</v>
      </c>
      <c r="K100" s="528">
        <v>1886</v>
      </c>
    </row>
    <row r="101" spans="1:11" ht="14.4" customHeight="1" x14ac:dyDescent="0.3">
      <c r="A101" s="523" t="s">
        <v>443</v>
      </c>
      <c r="B101" s="524" t="s">
        <v>445</v>
      </c>
      <c r="C101" s="525" t="s">
        <v>463</v>
      </c>
      <c r="D101" s="526" t="s">
        <v>464</v>
      </c>
      <c r="E101" s="525" t="s">
        <v>1274</v>
      </c>
      <c r="F101" s="526" t="s">
        <v>1275</v>
      </c>
      <c r="G101" s="525" t="s">
        <v>1432</v>
      </c>
      <c r="H101" s="525" t="s">
        <v>1433</v>
      </c>
      <c r="I101" s="527">
        <v>15</v>
      </c>
      <c r="J101" s="527">
        <v>20</v>
      </c>
      <c r="K101" s="528">
        <v>300</v>
      </c>
    </row>
    <row r="102" spans="1:11" ht="14.4" customHeight="1" x14ac:dyDescent="0.3">
      <c r="A102" s="523" t="s">
        <v>443</v>
      </c>
      <c r="B102" s="524" t="s">
        <v>445</v>
      </c>
      <c r="C102" s="525" t="s">
        <v>463</v>
      </c>
      <c r="D102" s="526" t="s">
        <v>464</v>
      </c>
      <c r="E102" s="525" t="s">
        <v>1274</v>
      </c>
      <c r="F102" s="526" t="s">
        <v>1275</v>
      </c>
      <c r="G102" s="525" t="s">
        <v>1360</v>
      </c>
      <c r="H102" s="525" t="s">
        <v>1361</v>
      </c>
      <c r="I102" s="527">
        <v>12.104999999999999</v>
      </c>
      <c r="J102" s="527">
        <v>310</v>
      </c>
      <c r="K102" s="528">
        <v>3752.9</v>
      </c>
    </row>
    <row r="103" spans="1:11" ht="14.4" customHeight="1" x14ac:dyDescent="0.3">
      <c r="A103" s="523" t="s">
        <v>443</v>
      </c>
      <c r="B103" s="524" t="s">
        <v>445</v>
      </c>
      <c r="C103" s="525" t="s">
        <v>463</v>
      </c>
      <c r="D103" s="526" t="s">
        <v>464</v>
      </c>
      <c r="E103" s="525" t="s">
        <v>1274</v>
      </c>
      <c r="F103" s="526" t="s">
        <v>1275</v>
      </c>
      <c r="G103" s="525" t="s">
        <v>1364</v>
      </c>
      <c r="H103" s="525" t="s">
        <v>1365</v>
      </c>
      <c r="I103" s="527">
        <v>36.299999999999997</v>
      </c>
      <c r="J103" s="527">
        <v>10</v>
      </c>
      <c r="K103" s="528">
        <v>363</v>
      </c>
    </row>
    <row r="104" spans="1:11" ht="14.4" customHeight="1" x14ac:dyDescent="0.3">
      <c r="A104" s="523" t="s">
        <v>443</v>
      </c>
      <c r="B104" s="524" t="s">
        <v>445</v>
      </c>
      <c r="C104" s="525" t="s">
        <v>463</v>
      </c>
      <c r="D104" s="526" t="s">
        <v>464</v>
      </c>
      <c r="E104" s="525" t="s">
        <v>1274</v>
      </c>
      <c r="F104" s="526" t="s">
        <v>1275</v>
      </c>
      <c r="G104" s="525" t="s">
        <v>1366</v>
      </c>
      <c r="H104" s="525" t="s">
        <v>1367</v>
      </c>
      <c r="I104" s="527">
        <v>21.204999999999998</v>
      </c>
      <c r="J104" s="527">
        <v>500</v>
      </c>
      <c r="K104" s="528">
        <v>10589.5</v>
      </c>
    </row>
    <row r="105" spans="1:11" ht="14.4" customHeight="1" x14ac:dyDescent="0.3">
      <c r="A105" s="523" t="s">
        <v>443</v>
      </c>
      <c r="B105" s="524" t="s">
        <v>445</v>
      </c>
      <c r="C105" s="525" t="s">
        <v>463</v>
      </c>
      <c r="D105" s="526" t="s">
        <v>464</v>
      </c>
      <c r="E105" s="525" t="s">
        <v>1274</v>
      </c>
      <c r="F105" s="526" t="s">
        <v>1275</v>
      </c>
      <c r="G105" s="525" t="s">
        <v>1434</v>
      </c>
      <c r="H105" s="525" t="s">
        <v>1435</v>
      </c>
      <c r="I105" s="527">
        <v>2.88</v>
      </c>
      <c r="J105" s="527">
        <v>200</v>
      </c>
      <c r="K105" s="528">
        <v>576</v>
      </c>
    </row>
    <row r="106" spans="1:11" ht="14.4" customHeight="1" x14ac:dyDescent="0.3">
      <c r="A106" s="523" t="s">
        <v>443</v>
      </c>
      <c r="B106" s="524" t="s">
        <v>445</v>
      </c>
      <c r="C106" s="525" t="s">
        <v>463</v>
      </c>
      <c r="D106" s="526" t="s">
        <v>464</v>
      </c>
      <c r="E106" s="525" t="s">
        <v>1274</v>
      </c>
      <c r="F106" s="526" t="s">
        <v>1275</v>
      </c>
      <c r="G106" s="525" t="s">
        <v>1436</v>
      </c>
      <c r="H106" s="525" t="s">
        <v>1437</v>
      </c>
      <c r="I106" s="527">
        <v>1.3999999999999997</v>
      </c>
      <c r="J106" s="527">
        <v>1500</v>
      </c>
      <c r="K106" s="528">
        <v>2093.7399999999998</v>
      </c>
    </row>
    <row r="107" spans="1:11" ht="14.4" customHeight="1" x14ac:dyDescent="0.3">
      <c r="A107" s="523" t="s">
        <v>443</v>
      </c>
      <c r="B107" s="524" t="s">
        <v>445</v>
      </c>
      <c r="C107" s="525" t="s">
        <v>463</v>
      </c>
      <c r="D107" s="526" t="s">
        <v>464</v>
      </c>
      <c r="E107" s="525" t="s">
        <v>1274</v>
      </c>
      <c r="F107" s="526" t="s">
        <v>1275</v>
      </c>
      <c r="G107" s="525" t="s">
        <v>1438</v>
      </c>
      <c r="H107" s="525" t="s">
        <v>1439</v>
      </c>
      <c r="I107" s="527">
        <v>0.27</v>
      </c>
      <c r="J107" s="527">
        <v>500</v>
      </c>
      <c r="K107" s="528">
        <v>133.1</v>
      </c>
    </row>
    <row r="108" spans="1:11" ht="14.4" customHeight="1" x14ac:dyDescent="0.3">
      <c r="A108" s="523" t="s">
        <v>443</v>
      </c>
      <c r="B108" s="524" t="s">
        <v>445</v>
      </c>
      <c r="C108" s="525" t="s">
        <v>463</v>
      </c>
      <c r="D108" s="526" t="s">
        <v>464</v>
      </c>
      <c r="E108" s="525" t="s">
        <v>1274</v>
      </c>
      <c r="F108" s="526" t="s">
        <v>1275</v>
      </c>
      <c r="G108" s="525" t="s">
        <v>1440</v>
      </c>
      <c r="H108" s="525" t="s">
        <v>1441</v>
      </c>
      <c r="I108" s="527">
        <v>0.4655555555555555</v>
      </c>
      <c r="J108" s="527">
        <v>3400</v>
      </c>
      <c r="K108" s="528">
        <v>1584</v>
      </c>
    </row>
    <row r="109" spans="1:11" ht="14.4" customHeight="1" x14ac:dyDescent="0.3">
      <c r="A109" s="523" t="s">
        <v>443</v>
      </c>
      <c r="B109" s="524" t="s">
        <v>445</v>
      </c>
      <c r="C109" s="525" t="s">
        <v>463</v>
      </c>
      <c r="D109" s="526" t="s">
        <v>464</v>
      </c>
      <c r="E109" s="525" t="s">
        <v>1274</v>
      </c>
      <c r="F109" s="526" t="s">
        <v>1275</v>
      </c>
      <c r="G109" s="525" t="s">
        <v>1442</v>
      </c>
      <c r="H109" s="525" t="s">
        <v>1443</v>
      </c>
      <c r="I109" s="527">
        <v>2.6</v>
      </c>
      <c r="J109" s="527">
        <v>50</v>
      </c>
      <c r="K109" s="528">
        <v>130</v>
      </c>
    </row>
    <row r="110" spans="1:11" ht="14.4" customHeight="1" x14ac:dyDescent="0.3">
      <c r="A110" s="523" t="s">
        <v>443</v>
      </c>
      <c r="B110" s="524" t="s">
        <v>445</v>
      </c>
      <c r="C110" s="525" t="s">
        <v>463</v>
      </c>
      <c r="D110" s="526" t="s">
        <v>464</v>
      </c>
      <c r="E110" s="525" t="s">
        <v>1274</v>
      </c>
      <c r="F110" s="526" t="s">
        <v>1275</v>
      </c>
      <c r="G110" s="525" t="s">
        <v>1444</v>
      </c>
      <c r="H110" s="525" t="s">
        <v>1445</v>
      </c>
      <c r="I110" s="527">
        <v>2.5499999999999998</v>
      </c>
      <c r="J110" s="527">
        <v>100</v>
      </c>
      <c r="K110" s="528">
        <v>255</v>
      </c>
    </row>
    <row r="111" spans="1:11" ht="14.4" customHeight="1" x14ac:dyDescent="0.3">
      <c r="A111" s="523" t="s">
        <v>443</v>
      </c>
      <c r="B111" s="524" t="s">
        <v>445</v>
      </c>
      <c r="C111" s="525" t="s">
        <v>463</v>
      </c>
      <c r="D111" s="526" t="s">
        <v>464</v>
      </c>
      <c r="E111" s="525" t="s">
        <v>1274</v>
      </c>
      <c r="F111" s="526" t="s">
        <v>1275</v>
      </c>
      <c r="G111" s="525" t="s">
        <v>1446</v>
      </c>
      <c r="H111" s="525" t="s">
        <v>1447</v>
      </c>
      <c r="I111" s="527">
        <v>26.26</v>
      </c>
      <c r="J111" s="527">
        <v>300</v>
      </c>
      <c r="K111" s="528">
        <v>7877.1</v>
      </c>
    </row>
    <row r="112" spans="1:11" ht="14.4" customHeight="1" x14ac:dyDescent="0.3">
      <c r="A112" s="523" t="s">
        <v>443</v>
      </c>
      <c r="B112" s="524" t="s">
        <v>445</v>
      </c>
      <c r="C112" s="525" t="s">
        <v>463</v>
      </c>
      <c r="D112" s="526" t="s">
        <v>464</v>
      </c>
      <c r="E112" s="525" t="s">
        <v>1274</v>
      </c>
      <c r="F112" s="526" t="s">
        <v>1275</v>
      </c>
      <c r="G112" s="525" t="s">
        <v>1448</v>
      </c>
      <c r="H112" s="525" t="s">
        <v>1449</v>
      </c>
      <c r="I112" s="527">
        <v>5</v>
      </c>
      <c r="J112" s="527">
        <v>200</v>
      </c>
      <c r="K112" s="528">
        <v>1000.18</v>
      </c>
    </row>
    <row r="113" spans="1:11" ht="14.4" customHeight="1" x14ac:dyDescent="0.3">
      <c r="A113" s="523" t="s">
        <v>443</v>
      </c>
      <c r="B113" s="524" t="s">
        <v>445</v>
      </c>
      <c r="C113" s="525" t="s">
        <v>463</v>
      </c>
      <c r="D113" s="526" t="s">
        <v>464</v>
      </c>
      <c r="E113" s="525" t="s">
        <v>1274</v>
      </c>
      <c r="F113" s="526" t="s">
        <v>1275</v>
      </c>
      <c r="G113" s="525" t="s">
        <v>1450</v>
      </c>
      <c r="H113" s="525" t="s">
        <v>1451</v>
      </c>
      <c r="I113" s="527">
        <v>25.15</v>
      </c>
      <c r="J113" s="527">
        <v>10</v>
      </c>
      <c r="K113" s="528">
        <v>251.51</v>
      </c>
    </row>
    <row r="114" spans="1:11" ht="14.4" customHeight="1" x14ac:dyDescent="0.3">
      <c r="A114" s="523" t="s">
        <v>443</v>
      </c>
      <c r="B114" s="524" t="s">
        <v>445</v>
      </c>
      <c r="C114" s="525" t="s">
        <v>463</v>
      </c>
      <c r="D114" s="526" t="s">
        <v>464</v>
      </c>
      <c r="E114" s="525" t="s">
        <v>1274</v>
      </c>
      <c r="F114" s="526" t="s">
        <v>1275</v>
      </c>
      <c r="G114" s="525" t="s">
        <v>1378</v>
      </c>
      <c r="H114" s="525" t="s">
        <v>1379</v>
      </c>
      <c r="I114" s="527">
        <v>12.1</v>
      </c>
      <c r="J114" s="527">
        <v>30</v>
      </c>
      <c r="K114" s="528">
        <v>363</v>
      </c>
    </row>
    <row r="115" spans="1:11" ht="14.4" customHeight="1" x14ac:dyDescent="0.3">
      <c r="A115" s="523" t="s">
        <v>443</v>
      </c>
      <c r="B115" s="524" t="s">
        <v>445</v>
      </c>
      <c r="C115" s="525" t="s">
        <v>463</v>
      </c>
      <c r="D115" s="526" t="s">
        <v>464</v>
      </c>
      <c r="E115" s="525" t="s">
        <v>1274</v>
      </c>
      <c r="F115" s="526" t="s">
        <v>1275</v>
      </c>
      <c r="G115" s="525" t="s">
        <v>1382</v>
      </c>
      <c r="H115" s="525" t="s">
        <v>1383</v>
      </c>
      <c r="I115" s="527">
        <v>5.91</v>
      </c>
      <c r="J115" s="527">
        <v>20</v>
      </c>
      <c r="K115" s="528">
        <v>118.2</v>
      </c>
    </row>
    <row r="116" spans="1:11" ht="14.4" customHeight="1" x14ac:dyDescent="0.3">
      <c r="A116" s="523" t="s">
        <v>443</v>
      </c>
      <c r="B116" s="524" t="s">
        <v>445</v>
      </c>
      <c r="C116" s="525" t="s">
        <v>463</v>
      </c>
      <c r="D116" s="526" t="s">
        <v>464</v>
      </c>
      <c r="E116" s="525" t="s">
        <v>1274</v>
      </c>
      <c r="F116" s="526" t="s">
        <v>1275</v>
      </c>
      <c r="G116" s="525" t="s">
        <v>1384</v>
      </c>
      <c r="H116" s="525" t="s">
        <v>1385</v>
      </c>
      <c r="I116" s="527">
        <v>60.5</v>
      </c>
      <c r="J116" s="527">
        <v>15</v>
      </c>
      <c r="K116" s="528">
        <v>907.5</v>
      </c>
    </row>
    <row r="117" spans="1:11" ht="14.4" customHeight="1" x14ac:dyDescent="0.3">
      <c r="A117" s="523" t="s">
        <v>443</v>
      </c>
      <c r="B117" s="524" t="s">
        <v>445</v>
      </c>
      <c r="C117" s="525" t="s">
        <v>463</v>
      </c>
      <c r="D117" s="526" t="s">
        <v>464</v>
      </c>
      <c r="E117" s="525" t="s">
        <v>1274</v>
      </c>
      <c r="F117" s="526" t="s">
        <v>1275</v>
      </c>
      <c r="G117" s="525" t="s">
        <v>1452</v>
      </c>
      <c r="H117" s="525" t="s">
        <v>1453</v>
      </c>
      <c r="I117" s="527">
        <v>38.770000000000003</v>
      </c>
      <c r="J117" s="527">
        <v>20</v>
      </c>
      <c r="K117" s="528">
        <v>775.36</v>
      </c>
    </row>
    <row r="118" spans="1:11" ht="14.4" customHeight="1" x14ac:dyDescent="0.3">
      <c r="A118" s="523" t="s">
        <v>443</v>
      </c>
      <c r="B118" s="524" t="s">
        <v>445</v>
      </c>
      <c r="C118" s="525" t="s">
        <v>463</v>
      </c>
      <c r="D118" s="526" t="s">
        <v>464</v>
      </c>
      <c r="E118" s="525" t="s">
        <v>1276</v>
      </c>
      <c r="F118" s="526" t="s">
        <v>1277</v>
      </c>
      <c r="G118" s="525" t="s">
        <v>1454</v>
      </c>
      <c r="H118" s="525" t="s">
        <v>1455</v>
      </c>
      <c r="I118" s="527">
        <v>101.74</v>
      </c>
      <c r="J118" s="527">
        <v>1</v>
      </c>
      <c r="K118" s="528">
        <v>101.74</v>
      </c>
    </row>
    <row r="119" spans="1:11" ht="14.4" customHeight="1" x14ac:dyDescent="0.3">
      <c r="A119" s="523" t="s">
        <v>443</v>
      </c>
      <c r="B119" s="524" t="s">
        <v>445</v>
      </c>
      <c r="C119" s="525" t="s">
        <v>463</v>
      </c>
      <c r="D119" s="526" t="s">
        <v>464</v>
      </c>
      <c r="E119" s="525" t="s">
        <v>1284</v>
      </c>
      <c r="F119" s="526" t="s">
        <v>1285</v>
      </c>
      <c r="G119" s="525" t="s">
        <v>1456</v>
      </c>
      <c r="H119" s="525" t="s">
        <v>1457</v>
      </c>
      <c r="I119" s="527">
        <v>55.57</v>
      </c>
      <c r="J119" s="527">
        <v>12</v>
      </c>
      <c r="K119" s="528">
        <v>666.84</v>
      </c>
    </row>
    <row r="120" spans="1:11" ht="14.4" customHeight="1" x14ac:dyDescent="0.3">
      <c r="A120" s="523" t="s">
        <v>443</v>
      </c>
      <c r="B120" s="524" t="s">
        <v>445</v>
      </c>
      <c r="C120" s="525" t="s">
        <v>463</v>
      </c>
      <c r="D120" s="526" t="s">
        <v>464</v>
      </c>
      <c r="E120" s="525" t="s">
        <v>1286</v>
      </c>
      <c r="F120" s="526" t="s">
        <v>1287</v>
      </c>
      <c r="G120" s="525" t="s">
        <v>1396</v>
      </c>
      <c r="H120" s="525" t="s">
        <v>1397</v>
      </c>
      <c r="I120" s="527">
        <v>0.28999999999999998</v>
      </c>
      <c r="J120" s="527">
        <v>100</v>
      </c>
      <c r="K120" s="528">
        <v>29</v>
      </c>
    </row>
    <row r="121" spans="1:11" ht="14.4" customHeight="1" x14ac:dyDescent="0.3">
      <c r="A121" s="523" t="s">
        <v>443</v>
      </c>
      <c r="B121" s="524" t="s">
        <v>445</v>
      </c>
      <c r="C121" s="525" t="s">
        <v>463</v>
      </c>
      <c r="D121" s="526" t="s">
        <v>464</v>
      </c>
      <c r="E121" s="525" t="s">
        <v>1286</v>
      </c>
      <c r="F121" s="526" t="s">
        <v>1287</v>
      </c>
      <c r="G121" s="525" t="s">
        <v>1400</v>
      </c>
      <c r="H121" s="525" t="s">
        <v>1401</v>
      </c>
      <c r="I121" s="527">
        <v>0.29799999999999999</v>
      </c>
      <c r="J121" s="527">
        <v>600</v>
      </c>
      <c r="K121" s="528">
        <v>179</v>
      </c>
    </row>
    <row r="122" spans="1:11" ht="14.4" customHeight="1" x14ac:dyDescent="0.3">
      <c r="A122" s="523" t="s">
        <v>443</v>
      </c>
      <c r="B122" s="524" t="s">
        <v>445</v>
      </c>
      <c r="C122" s="525" t="s">
        <v>463</v>
      </c>
      <c r="D122" s="526" t="s">
        <v>464</v>
      </c>
      <c r="E122" s="525" t="s">
        <v>1286</v>
      </c>
      <c r="F122" s="526" t="s">
        <v>1287</v>
      </c>
      <c r="G122" s="525" t="s">
        <v>1458</v>
      </c>
      <c r="H122" s="525" t="s">
        <v>1459</v>
      </c>
      <c r="I122" s="527">
        <v>0.30399999999999999</v>
      </c>
      <c r="J122" s="527">
        <v>900</v>
      </c>
      <c r="K122" s="528">
        <v>275.75</v>
      </c>
    </row>
    <row r="123" spans="1:11" ht="14.4" customHeight="1" x14ac:dyDescent="0.3">
      <c r="A123" s="523" t="s">
        <v>443</v>
      </c>
      <c r="B123" s="524" t="s">
        <v>445</v>
      </c>
      <c r="C123" s="525" t="s">
        <v>463</v>
      </c>
      <c r="D123" s="526" t="s">
        <v>464</v>
      </c>
      <c r="E123" s="525" t="s">
        <v>1288</v>
      </c>
      <c r="F123" s="526" t="s">
        <v>1289</v>
      </c>
      <c r="G123" s="525" t="s">
        <v>1402</v>
      </c>
      <c r="H123" s="525" t="s">
        <v>1403</v>
      </c>
      <c r="I123" s="527">
        <v>0.79111111111111121</v>
      </c>
      <c r="J123" s="527">
        <v>27500</v>
      </c>
      <c r="K123" s="528">
        <v>21885</v>
      </c>
    </row>
    <row r="124" spans="1:11" ht="14.4" customHeight="1" x14ac:dyDescent="0.3">
      <c r="A124" s="523" t="s">
        <v>443</v>
      </c>
      <c r="B124" s="524" t="s">
        <v>445</v>
      </c>
      <c r="C124" s="525" t="s">
        <v>463</v>
      </c>
      <c r="D124" s="526" t="s">
        <v>464</v>
      </c>
      <c r="E124" s="525" t="s">
        <v>1288</v>
      </c>
      <c r="F124" s="526" t="s">
        <v>1289</v>
      </c>
      <c r="G124" s="525" t="s">
        <v>1460</v>
      </c>
      <c r="H124" s="525" t="s">
        <v>1461</v>
      </c>
      <c r="I124" s="527">
        <v>11</v>
      </c>
      <c r="J124" s="527">
        <v>380</v>
      </c>
      <c r="K124" s="528">
        <v>4177.8</v>
      </c>
    </row>
    <row r="125" spans="1:11" ht="14.4" customHeight="1" x14ac:dyDescent="0.3">
      <c r="A125" s="523" t="s">
        <v>443</v>
      </c>
      <c r="B125" s="524" t="s">
        <v>445</v>
      </c>
      <c r="C125" s="525" t="s">
        <v>463</v>
      </c>
      <c r="D125" s="526" t="s">
        <v>464</v>
      </c>
      <c r="E125" s="525" t="s">
        <v>1288</v>
      </c>
      <c r="F125" s="526" t="s">
        <v>1289</v>
      </c>
      <c r="G125" s="525" t="s">
        <v>1462</v>
      </c>
      <c r="H125" s="525" t="s">
        <v>1463</v>
      </c>
      <c r="I125" s="527">
        <v>10.99</v>
      </c>
      <c r="J125" s="527">
        <v>100</v>
      </c>
      <c r="K125" s="528">
        <v>1099</v>
      </c>
    </row>
    <row r="126" spans="1:11" ht="14.4" customHeight="1" x14ac:dyDescent="0.3">
      <c r="A126" s="523" t="s">
        <v>443</v>
      </c>
      <c r="B126" s="524" t="s">
        <v>445</v>
      </c>
      <c r="C126" s="525" t="s">
        <v>463</v>
      </c>
      <c r="D126" s="526" t="s">
        <v>464</v>
      </c>
      <c r="E126" s="525" t="s">
        <v>1290</v>
      </c>
      <c r="F126" s="526" t="s">
        <v>1291</v>
      </c>
      <c r="G126" s="525" t="s">
        <v>1464</v>
      </c>
      <c r="H126" s="525" t="s">
        <v>1465</v>
      </c>
      <c r="I126" s="527">
        <v>1597.2</v>
      </c>
      <c r="J126" s="527">
        <v>1</v>
      </c>
      <c r="K126" s="528">
        <v>1597.2</v>
      </c>
    </row>
    <row r="127" spans="1:11" ht="14.4" customHeight="1" x14ac:dyDescent="0.3">
      <c r="A127" s="523" t="s">
        <v>443</v>
      </c>
      <c r="B127" s="524" t="s">
        <v>445</v>
      </c>
      <c r="C127" s="525" t="s">
        <v>465</v>
      </c>
      <c r="D127" s="526" t="s">
        <v>466</v>
      </c>
      <c r="E127" s="525" t="s">
        <v>1272</v>
      </c>
      <c r="F127" s="526" t="s">
        <v>1273</v>
      </c>
      <c r="G127" s="525" t="s">
        <v>1292</v>
      </c>
      <c r="H127" s="525" t="s">
        <v>1293</v>
      </c>
      <c r="I127" s="527">
        <v>4.3157142857142858</v>
      </c>
      <c r="J127" s="527">
        <v>264</v>
      </c>
      <c r="K127" s="528">
        <v>1139.28</v>
      </c>
    </row>
    <row r="128" spans="1:11" ht="14.4" customHeight="1" x14ac:dyDescent="0.3">
      <c r="A128" s="523" t="s">
        <v>443</v>
      </c>
      <c r="B128" s="524" t="s">
        <v>445</v>
      </c>
      <c r="C128" s="525" t="s">
        <v>465</v>
      </c>
      <c r="D128" s="526" t="s">
        <v>466</v>
      </c>
      <c r="E128" s="525" t="s">
        <v>1272</v>
      </c>
      <c r="F128" s="526" t="s">
        <v>1273</v>
      </c>
      <c r="G128" s="525" t="s">
        <v>1294</v>
      </c>
      <c r="H128" s="525" t="s">
        <v>1295</v>
      </c>
      <c r="I128" s="527">
        <v>0.39666666666666667</v>
      </c>
      <c r="J128" s="527">
        <v>800</v>
      </c>
      <c r="K128" s="528">
        <v>318</v>
      </c>
    </row>
    <row r="129" spans="1:11" ht="14.4" customHeight="1" x14ac:dyDescent="0.3">
      <c r="A129" s="523" t="s">
        <v>443</v>
      </c>
      <c r="B129" s="524" t="s">
        <v>445</v>
      </c>
      <c r="C129" s="525" t="s">
        <v>465</v>
      </c>
      <c r="D129" s="526" t="s">
        <v>466</v>
      </c>
      <c r="E129" s="525" t="s">
        <v>1272</v>
      </c>
      <c r="F129" s="526" t="s">
        <v>1273</v>
      </c>
      <c r="G129" s="525" t="s">
        <v>1296</v>
      </c>
      <c r="H129" s="525" t="s">
        <v>1297</v>
      </c>
      <c r="I129" s="527">
        <v>27.245000000000001</v>
      </c>
      <c r="J129" s="527">
        <v>4</v>
      </c>
      <c r="K129" s="528">
        <v>108.98</v>
      </c>
    </row>
    <row r="130" spans="1:11" ht="14.4" customHeight="1" x14ac:dyDescent="0.3">
      <c r="A130" s="523" t="s">
        <v>443</v>
      </c>
      <c r="B130" s="524" t="s">
        <v>445</v>
      </c>
      <c r="C130" s="525" t="s">
        <v>465</v>
      </c>
      <c r="D130" s="526" t="s">
        <v>466</v>
      </c>
      <c r="E130" s="525" t="s">
        <v>1272</v>
      </c>
      <c r="F130" s="526" t="s">
        <v>1273</v>
      </c>
      <c r="G130" s="525" t="s">
        <v>1466</v>
      </c>
      <c r="H130" s="525" t="s">
        <v>1467</v>
      </c>
      <c r="I130" s="527">
        <v>23.23</v>
      </c>
      <c r="J130" s="527">
        <v>300</v>
      </c>
      <c r="K130" s="528">
        <v>6969</v>
      </c>
    </row>
    <row r="131" spans="1:11" ht="14.4" customHeight="1" x14ac:dyDescent="0.3">
      <c r="A131" s="523" t="s">
        <v>443</v>
      </c>
      <c r="B131" s="524" t="s">
        <v>445</v>
      </c>
      <c r="C131" s="525" t="s">
        <v>465</v>
      </c>
      <c r="D131" s="526" t="s">
        <v>466</v>
      </c>
      <c r="E131" s="525" t="s">
        <v>1272</v>
      </c>
      <c r="F131" s="526" t="s">
        <v>1273</v>
      </c>
      <c r="G131" s="525" t="s">
        <v>1410</v>
      </c>
      <c r="H131" s="525" t="s">
        <v>1411</v>
      </c>
      <c r="I131" s="527">
        <v>0.30099999999999993</v>
      </c>
      <c r="J131" s="527">
        <v>26400</v>
      </c>
      <c r="K131" s="528">
        <v>8021.4800000000005</v>
      </c>
    </row>
    <row r="132" spans="1:11" ht="14.4" customHeight="1" x14ac:dyDescent="0.3">
      <c r="A132" s="523" t="s">
        <v>443</v>
      </c>
      <c r="B132" s="524" t="s">
        <v>445</v>
      </c>
      <c r="C132" s="525" t="s">
        <v>465</v>
      </c>
      <c r="D132" s="526" t="s">
        <v>466</v>
      </c>
      <c r="E132" s="525" t="s">
        <v>1272</v>
      </c>
      <c r="F132" s="526" t="s">
        <v>1273</v>
      </c>
      <c r="G132" s="525" t="s">
        <v>1468</v>
      </c>
      <c r="H132" s="525" t="s">
        <v>1469</v>
      </c>
      <c r="I132" s="527">
        <v>24.274999999999999</v>
      </c>
      <c r="J132" s="527">
        <v>100</v>
      </c>
      <c r="K132" s="528">
        <v>2427.5</v>
      </c>
    </row>
    <row r="133" spans="1:11" ht="14.4" customHeight="1" x14ac:dyDescent="0.3">
      <c r="A133" s="523" t="s">
        <v>443</v>
      </c>
      <c r="B133" s="524" t="s">
        <v>445</v>
      </c>
      <c r="C133" s="525" t="s">
        <v>465</v>
      </c>
      <c r="D133" s="526" t="s">
        <v>466</v>
      </c>
      <c r="E133" s="525" t="s">
        <v>1272</v>
      </c>
      <c r="F133" s="526" t="s">
        <v>1273</v>
      </c>
      <c r="G133" s="525" t="s">
        <v>1470</v>
      </c>
      <c r="H133" s="525" t="s">
        <v>1471</v>
      </c>
      <c r="I133" s="527">
        <v>53.43</v>
      </c>
      <c r="J133" s="527">
        <v>12</v>
      </c>
      <c r="K133" s="528">
        <v>641.20000000000005</v>
      </c>
    </row>
    <row r="134" spans="1:11" ht="14.4" customHeight="1" x14ac:dyDescent="0.3">
      <c r="A134" s="523" t="s">
        <v>443</v>
      </c>
      <c r="B134" s="524" t="s">
        <v>445</v>
      </c>
      <c r="C134" s="525" t="s">
        <v>465</v>
      </c>
      <c r="D134" s="526" t="s">
        <v>466</v>
      </c>
      <c r="E134" s="525" t="s">
        <v>1272</v>
      </c>
      <c r="F134" s="526" t="s">
        <v>1273</v>
      </c>
      <c r="G134" s="525" t="s">
        <v>1300</v>
      </c>
      <c r="H134" s="525" t="s">
        <v>1301</v>
      </c>
      <c r="I134" s="527">
        <v>2.6926666666666672</v>
      </c>
      <c r="J134" s="527">
        <v>3119</v>
      </c>
      <c r="K134" s="528">
        <v>8405.2000000000007</v>
      </c>
    </row>
    <row r="135" spans="1:11" ht="14.4" customHeight="1" x14ac:dyDescent="0.3">
      <c r="A135" s="523" t="s">
        <v>443</v>
      </c>
      <c r="B135" s="524" t="s">
        <v>445</v>
      </c>
      <c r="C135" s="525" t="s">
        <v>465</v>
      </c>
      <c r="D135" s="526" t="s">
        <v>466</v>
      </c>
      <c r="E135" s="525" t="s">
        <v>1272</v>
      </c>
      <c r="F135" s="526" t="s">
        <v>1273</v>
      </c>
      <c r="G135" s="525" t="s">
        <v>1412</v>
      </c>
      <c r="H135" s="525" t="s">
        <v>1413</v>
      </c>
      <c r="I135" s="527">
        <v>0.59666666666666657</v>
      </c>
      <c r="J135" s="527">
        <v>4700</v>
      </c>
      <c r="K135" s="528">
        <v>2805</v>
      </c>
    </row>
    <row r="136" spans="1:11" ht="14.4" customHeight="1" x14ac:dyDescent="0.3">
      <c r="A136" s="523" t="s">
        <v>443</v>
      </c>
      <c r="B136" s="524" t="s">
        <v>445</v>
      </c>
      <c r="C136" s="525" t="s">
        <v>465</v>
      </c>
      <c r="D136" s="526" t="s">
        <v>466</v>
      </c>
      <c r="E136" s="525" t="s">
        <v>1272</v>
      </c>
      <c r="F136" s="526" t="s">
        <v>1273</v>
      </c>
      <c r="G136" s="525" t="s">
        <v>1472</v>
      </c>
      <c r="H136" s="525" t="s">
        <v>1473</v>
      </c>
      <c r="I136" s="527">
        <v>52.840000000000018</v>
      </c>
      <c r="J136" s="527">
        <v>120</v>
      </c>
      <c r="K136" s="528">
        <v>6340.7999999999984</v>
      </c>
    </row>
    <row r="137" spans="1:11" ht="14.4" customHeight="1" x14ac:dyDescent="0.3">
      <c r="A137" s="523" t="s">
        <v>443</v>
      </c>
      <c r="B137" s="524" t="s">
        <v>445</v>
      </c>
      <c r="C137" s="525" t="s">
        <v>465</v>
      </c>
      <c r="D137" s="526" t="s">
        <v>466</v>
      </c>
      <c r="E137" s="525" t="s">
        <v>1272</v>
      </c>
      <c r="F137" s="526" t="s">
        <v>1273</v>
      </c>
      <c r="G137" s="525" t="s">
        <v>1416</v>
      </c>
      <c r="H137" s="525" t="s">
        <v>1417</v>
      </c>
      <c r="I137" s="527">
        <v>1.2311111111111113</v>
      </c>
      <c r="J137" s="527">
        <v>5200</v>
      </c>
      <c r="K137" s="528">
        <v>6401</v>
      </c>
    </row>
    <row r="138" spans="1:11" ht="14.4" customHeight="1" x14ac:dyDescent="0.3">
      <c r="A138" s="523" t="s">
        <v>443</v>
      </c>
      <c r="B138" s="524" t="s">
        <v>445</v>
      </c>
      <c r="C138" s="525" t="s">
        <v>465</v>
      </c>
      <c r="D138" s="526" t="s">
        <v>466</v>
      </c>
      <c r="E138" s="525" t="s">
        <v>1272</v>
      </c>
      <c r="F138" s="526" t="s">
        <v>1273</v>
      </c>
      <c r="G138" s="525" t="s">
        <v>1474</v>
      </c>
      <c r="H138" s="525" t="s">
        <v>1475</v>
      </c>
      <c r="I138" s="527">
        <v>120.69000000000001</v>
      </c>
      <c r="J138" s="527">
        <v>100</v>
      </c>
      <c r="K138" s="528">
        <v>12069.26</v>
      </c>
    </row>
    <row r="139" spans="1:11" ht="14.4" customHeight="1" x14ac:dyDescent="0.3">
      <c r="A139" s="523" t="s">
        <v>443</v>
      </c>
      <c r="B139" s="524" t="s">
        <v>445</v>
      </c>
      <c r="C139" s="525" t="s">
        <v>465</v>
      </c>
      <c r="D139" s="526" t="s">
        <v>466</v>
      </c>
      <c r="E139" s="525" t="s">
        <v>1272</v>
      </c>
      <c r="F139" s="526" t="s">
        <v>1273</v>
      </c>
      <c r="G139" s="525" t="s">
        <v>1476</v>
      </c>
      <c r="H139" s="525" t="s">
        <v>1477</v>
      </c>
      <c r="I139" s="527">
        <v>85.42</v>
      </c>
      <c r="J139" s="527">
        <v>90</v>
      </c>
      <c r="K139" s="528">
        <v>7687.9800000000014</v>
      </c>
    </row>
    <row r="140" spans="1:11" ht="14.4" customHeight="1" x14ac:dyDescent="0.3">
      <c r="A140" s="523" t="s">
        <v>443</v>
      </c>
      <c r="B140" s="524" t="s">
        <v>445</v>
      </c>
      <c r="C140" s="525" t="s">
        <v>465</v>
      </c>
      <c r="D140" s="526" t="s">
        <v>466</v>
      </c>
      <c r="E140" s="525" t="s">
        <v>1272</v>
      </c>
      <c r="F140" s="526" t="s">
        <v>1273</v>
      </c>
      <c r="G140" s="525" t="s">
        <v>1418</v>
      </c>
      <c r="H140" s="525" t="s">
        <v>1419</v>
      </c>
      <c r="I140" s="527">
        <v>13.160000000000002</v>
      </c>
      <c r="J140" s="527">
        <v>72</v>
      </c>
      <c r="K140" s="528">
        <v>947.31999999999994</v>
      </c>
    </row>
    <row r="141" spans="1:11" ht="14.4" customHeight="1" x14ac:dyDescent="0.3">
      <c r="A141" s="523" t="s">
        <v>443</v>
      </c>
      <c r="B141" s="524" t="s">
        <v>445</v>
      </c>
      <c r="C141" s="525" t="s">
        <v>465</v>
      </c>
      <c r="D141" s="526" t="s">
        <v>466</v>
      </c>
      <c r="E141" s="525" t="s">
        <v>1272</v>
      </c>
      <c r="F141" s="526" t="s">
        <v>1273</v>
      </c>
      <c r="G141" s="525" t="s">
        <v>1478</v>
      </c>
      <c r="H141" s="525" t="s">
        <v>1479</v>
      </c>
      <c r="I141" s="527">
        <v>124.41000000000001</v>
      </c>
      <c r="J141" s="527">
        <v>25</v>
      </c>
      <c r="K141" s="528">
        <v>3110.18</v>
      </c>
    </row>
    <row r="142" spans="1:11" ht="14.4" customHeight="1" x14ac:dyDescent="0.3">
      <c r="A142" s="523" t="s">
        <v>443</v>
      </c>
      <c r="B142" s="524" t="s">
        <v>445</v>
      </c>
      <c r="C142" s="525" t="s">
        <v>465</v>
      </c>
      <c r="D142" s="526" t="s">
        <v>466</v>
      </c>
      <c r="E142" s="525" t="s">
        <v>1272</v>
      </c>
      <c r="F142" s="526" t="s">
        <v>1273</v>
      </c>
      <c r="G142" s="525" t="s">
        <v>1480</v>
      </c>
      <c r="H142" s="525" t="s">
        <v>1481</v>
      </c>
      <c r="I142" s="527">
        <v>9.8800000000000008</v>
      </c>
      <c r="J142" s="527">
        <v>28</v>
      </c>
      <c r="K142" s="528">
        <v>276.64</v>
      </c>
    </row>
    <row r="143" spans="1:11" ht="14.4" customHeight="1" x14ac:dyDescent="0.3">
      <c r="A143" s="523" t="s">
        <v>443</v>
      </c>
      <c r="B143" s="524" t="s">
        <v>445</v>
      </c>
      <c r="C143" s="525" t="s">
        <v>465</v>
      </c>
      <c r="D143" s="526" t="s">
        <v>466</v>
      </c>
      <c r="E143" s="525" t="s">
        <v>1272</v>
      </c>
      <c r="F143" s="526" t="s">
        <v>1273</v>
      </c>
      <c r="G143" s="525" t="s">
        <v>1420</v>
      </c>
      <c r="H143" s="525" t="s">
        <v>1421</v>
      </c>
      <c r="I143" s="527">
        <v>0.85250000000000004</v>
      </c>
      <c r="J143" s="527">
        <v>350</v>
      </c>
      <c r="K143" s="528">
        <v>298.5</v>
      </c>
    </row>
    <row r="144" spans="1:11" ht="14.4" customHeight="1" x14ac:dyDescent="0.3">
      <c r="A144" s="523" t="s">
        <v>443</v>
      </c>
      <c r="B144" s="524" t="s">
        <v>445</v>
      </c>
      <c r="C144" s="525" t="s">
        <v>465</v>
      </c>
      <c r="D144" s="526" t="s">
        <v>466</v>
      </c>
      <c r="E144" s="525" t="s">
        <v>1272</v>
      </c>
      <c r="F144" s="526" t="s">
        <v>1273</v>
      </c>
      <c r="G144" s="525" t="s">
        <v>1482</v>
      </c>
      <c r="H144" s="525" t="s">
        <v>1483</v>
      </c>
      <c r="I144" s="527">
        <v>1.5166666666666668</v>
      </c>
      <c r="J144" s="527">
        <v>200</v>
      </c>
      <c r="K144" s="528">
        <v>303</v>
      </c>
    </row>
    <row r="145" spans="1:11" ht="14.4" customHeight="1" x14ac:dyDescent="0.3">
      <c r="A145" s="523" t="s">
        <v>443</v>
      </c>
      <c r="B145" s="524" t="s">
        <v>445</v>
      </c>
      <c r="C145" s="525" t="s">
        <v>465</v>
      </c>
      <c r="D145" s="526" t="s">
        <v>466</v>
      </c>
      <c r="E145" s="525" t="s">
        <v>1272</v>
      </c>
      <c r="F145" s="526" t="s">
        <v>1273</v>
      </c>
      <c r="G145" s="525" t="s">
        <v>1304</v>
      </c>
      <c r="H145" s="525" t="s">
        <v>1305</v>
      </c>
      <c r="I145" s="527">
        <v>0.3</v>
      </c>
      <c r="J145" s="527">
        <v>12000</v>
      </c>
      <c r="K145" s="528">
        <v>3557.4</v>
      </c>
    </row>
    <row r="146" spans="1:11" ht="14.4" customHeight="1" x14ac:dyDescent="0.3">
      <c r="A146" s="523" t="s">
        <v>443</v>
      </c>
      <c r="B146" s="524" t="s">
        <v>445</v>
      </c>
      <c r="C146" s="525" t="s">
        <v>465</v>
      </c>
      <c r="D146" s="526" t="s">
        <v>466</v>
      </c>
      <c r="E146" s="525" t="s">
        <v>1272</v>
      </c>
      <c r="F146" s="526" t="s">
        <v>1273</v>
      </c>
      <c r="G146" s="525" t="s">
        <v>1484</v>
      </c>
      <c r="H146" s="525" t="s">
        <v>1485</v>
      </c>
      <c r="I146" s="527">
        <v>17.263333333333332</v>
      </c>
      <c r="J146" s="527">
        <v>90</v>
      </c>
      <c r="K146" s="528">
        <v>1560.55</v>
      </c>
    </row>
    <row r="147" spans="1:11" ht="14.4" customHeight="1" x14ac:dyDescent="0.3">
      <c r="A147" s="523" t="s">
        <v>443</v>
      </c>
      <c r="B147" s="524" t="s">
        <v>445</v>
      </c>
      <c r="C147" s="525" t="s">
        <v>465</v>
      </c>
      <c r="D147" s="526" t="s">
        <v>466</v>
      </c>
      <c r="E147" s="525" t="s">
        <v>1272</v>
      </c>
      <c r="F147" s="526" t="s">
        <v>1273</v>
      </c>
      <c r="G147" s="525" t="s">
        <v>1486</v>
      </c>
      <c r="H147" s="525" t="s">
        <v>1487</v>
      </c>
      <c r="I147" s="527">
        <v>114.75</v>
      </c>
      <c r="J147" s="527">
        <v>2</v>
      </c>
      <c r="K147" s="528">
        <v>229.5</v>
      </c>
    </row>
    <row r="148" spans="1:11" ht="14.4" customHeight="1" x14ac:dyDescent="0.3">
      <c r="A148" s="523" t="s">
        <v>443</v>
      </c>
      <c r="B148" s="524" t="s">
        <v>445</v>
      </c>
      <c r="C148" s="525" t="s">
        <v>465</v>
      </c>
      <c r="D148" s="526" t="s">
        <v>466</v>
      </c>
      <c r="E148" s="525" t="s">
        <v>1272</v>
      </c>
      <c r="F148" s="526" t="s">
        <v>1273</v>
      </c>
      <c r="G148" s="525" t="s">
        <v>1488</v>
      </c>
      <c r="H148" s="525" t="s">
        <v>1489</v>
      </c>
      <c r="I148" s="527">
        <v>61.594999999999999</v>
      </c>
      <c r="J148" s="527">
        <v>55</v>
      </c>
      <c r="K148" s="528">
        <v>3391.8199999999997</v>
      </c>
    </row>
    <row r="149" spans="1:11" ht="14.4" customHeight="1" x14ac:dyDescent="0.3">
      <c r="A149" s="523" t="s">
        <v>443</v>
      </c>
      <c r="B149" s="524" t="s">
        <v>445</v>
      </c>
      <c r="C149" s="525" t="s">
        <v>465</v>
      </c>
      <c r="D149" s="526" t="s">
        <v>466</v>
      </c>
      <c r="E149" s="525" t="s">
        <v>1272</v>
      </c>
      <c r="F149" s="526" t="s">
        <v>1273</v>
      </c>
      <c r="G149" s="525" t="s">
        <v>1490</v>
      </c>
      <c r="H149" s="525" t="s">
        <v>1491</v>
      </c>
      <c r="I149" s="527">
        <v>1.01</v>
      </c>
      <c r="J149" s="527">
        <v>500</v>
      </c>
      <c r="K149" s="528">
        <v>502.55</v>
      </c>
    </row>
    <row r="150" spans="1:11" ht="14.4" customHeight="1" x14ac:dyDescent="0.3">
      <c r="A150" s="523" t="s">
        <v>443</v>
      </c>
      <c r="B150" s="524" t="s">
        <v>445</v>
      </c>
      <c r="C150" s="525" t="s">
        <v>465</v>
      </c>
      <c r="D150" s="526" t="s">
        <v>466</v>
      </c>
      <c r="E150" s="525" t="s">
        <v>1272</v>
      </c>
      <c r="F150" s="526" t="s">
        <v>1273</v>
      </c>
      <c r="G150" s="525" t="s">
        <v>1492</v>
      </c>
      <c r="H150" s="525" t="s">
        <v>1493</v>
      </c>
      <c r="I150" s="527">
        <v>43.31</v>
      </c>
      <c r="J150" s="527">
        <v>100</v>
      </c>
      <c r="K150" s="528">
        <v>4330.8999999999996</v>
      </c>
    </row>
    <row r="151" spans="1:11" ht="14.4" customHeight="1" x14ac:dyDescent="0.3">
      <c r="A151" s="523" t="s">
        <v>443</v>
      </c>
      <c r="B151" s="524" t="s">
        <v>445</v>
      </c>
      <c r="C151" s="525" t="s">
        <v>465</v>
      </c>
      <c r="D151" s="526" t="s">
        <v>466</v>
      </c>
      <c r="E151" s="525" t="s">
        <v>1274</v>
      </c>
      <c r="F151" s="526" t="s">
        <v>1275</v>
      </c>
      <c r="G151" s="525" t="s">
        <v>1494</v>
      </c>
      <c r="H151" s="525" t="s">
        <v>1495</v>
      </c>
      <c r="I151" s="527">
        <v>27.139999999999997</v>
      </c>
      <c r="J151" s="527">
        <v>50</v>
      </c>
      <c r="K151" s="528">
        <v>1391.4999999999998</v>
      </c>
    </row>
    <row r="152" spans="1:11" ht="14.4" customHeight="1" x14ac:dyDescent="0.3">
      <c r="A152" s="523" t="s">
        <v>443</v>
      </c>
      <c r="B152" s="524" t="s">
        <v>445</v>
      </c>
      <c r="C152" s="525" t="s">
        <v>465</v>
      </c>
      <c r="D152" s="526" t="s">
        <v>466</v>
      </c>
      <c r="E152" s="525" t="s">
        <v>1274</v>
      </c>
      <c r="F152" s="526" t="s">
        <v>1275</v>
      </c>
      <c r="G152" s="525" t="s">
        <v>1496</v>
      </c>
      <c r="H152" s="525" t="s">
        <v>1497</v>
      </c>
      <c r="I152" s="527">
        <v>2195.1799999999998</v>
      </c>
      <c r="J152" s="527">
        <v>6</v>
      </c>
      <c r="K152" s="528">
        <v>13171.079999999998</v>
      </c>
    </row>
    <row r="153" spans="1:11" ht="14.4" customHeight="1" x14ac:dyDescent="0.3">
      <c r="A153" s="523" t="s">
        <v>443</v>
      </c>
      <c r="B153" s="524" t="s">
        <v>445</v>
      </c>
      <c r="C153" s="525" t="s">
        <v>465</v>
      </c>
      <c r="D153" s="526" t="s">
        <v>466</v>
      </c>
      <c r="E153" s="525" t="s">
        <v>1274</v>
      </c>
      <c r="F153" s="526" t="s">
        <v>1275</v>
      </c>
      <c r="G153" s="525" t="s">
        <v>1308</v>
      </c>
      <c r="H153" s="525" t="s">
        <v>1309</v>
      </c>
      <c r="I153" s="527">
        <v>16.19857142857143</v>
      </c>
      <c r="J153" s="527">
        <v>4000</v>
      </c>
      <c r="K153" s="528">
        <v>64963.850000000006</v>
      </c>
    </row>
    <row r="154" spans="1:11" ht="14.4" customHeight="1" x14ac:dyDescent="0.3">
      <c r="A154" s="523" t="s">
        <v>443</v>
      </c>
      <c r="B154" s="524" t="s">
        <v>445</v>
      </c>
      <c r="C154" s="525" t="s">
        <v>465</v>
      </c>
      <c r="D154" s="526" t="s">
        <v>466</v>
      </c>
      <c r="E154" s="525" t="s">
        <v>1274</v>
      </c>
      <c r="F154" s="526" t="s">
        <v>1275</v>
      </c>
      <c r="G154" s="525" t="s">
        <v>1498</v>
      </c>
      <c r="H154" s="525" t="s">
        <v>1499</v>
      </c>
      <c r="I154" s="527">
        <v>11.24</v>
      </c>
      <c r="J154" s="527">
        <v>40</v>
      </c>
      <c r="K154" s="528">
        <v>449.6</v>
      </c>
    </row>
    <row r="155" spans="1:11" ht="14.4" customHeight="1" x14ac:dyDescent="0.3">
      <c r="A155" s="523" t="s">
        <v>443</v>
      </c>
      <c r="B155" s="524" t="s">
        <v>445</v>
      </c>
      <c r="C155" s="525" t="s">
        <v>465</v>
      </c>
      <c r="D155" s="526" t="s">
        <v>466</v>
      </c>
      <c r="E155" s="525" t="s">
        <v>1274</v>
      </c>
      <c r="F155" s="526" t="s">
        <v>1275</v>
      </c>
      <c r="G155" s="525" t="s">
        <v>1500</v>
      </c>
      <c r="H155" s="525" t="s">
        <v>1501</v>
      </c>
      <c r="I155" s="527">
        <v>253.69400000000002</v>
      </c>
      <c r="J155" s="527">
        <v>67</v>
      </c>
      <c r="K155" s="528">
        <v>17343.919999999998</v>
      </c>
    </row>
    <row r="156" spans="1:11" ht="14.4" customHeight="1" x14ac:dyDescent="0.3">
      <c r="A156" s="523" t="s">
        <v>443</v>
      </c>
      <c r="B156" s="524" t="s">
        <v>445</v>
      </c>
      <c r="C156" s="525" t="s">
        <v>465</v>
      </c>
      <c r="D156" s="526" t="s">
        <v>466</v>
      </c>
      <c r="E156" s="525" t="s">
        <v>1274</v>
      </c>
      <c r="F156" s="526" t="s">
        <v>1275</v>
      </c>
      <c r="G156" s="525" t="s">
        <v>1502</v>
      </c>
      <c r="H156" s="525" t="s">
        <v>1503</v>
      </c>
      <c r="I156" s="527">
        <v>268.62</v>
      </c>
      <c r="J156" s="527">
        <v>9</v>
      </c>
      <c r="K156" s="528">
        <v>2417.58</v>
      </c>
    </row>
    <row r="157" spans="1:11" ht="14.4" customHeight="1" x14ac:dyDescent="0.3">
      <c r="A157" s="523" t="s">
        <v>443</v>
      </c>
      <c r="B157" s="524" t="s">
        <v>445</v>
      </c>
      <c r="C157" s="525" t="s">
        <v>465</v>
      </c>
      <c r="D157" s="526" t="s">
        <v>466</v>
      </c>
      <c r="E157" s="525" t="s">
        <v>1274</v>
      </c>
      <c r="F157" s="526" t="s">
        <v>1275</v>
      </c>
      <c r="G157" s="525" t="s">
        <v>1504</v>
      </c>
      <c r="H157" s="525" t="s">
        <v>1505</v>
      </c>
      <c r="I157" s="527">
        <v>57.95333333333334</v>
      </c>
      <c r="J157" s="527">
        <v>220</v>
      </c>
      <c r="K157" s="528">
        <v>12790.779999999999</v>
      </c>
    </row>
    <row r="158" spans="1:11" ht="14.4" customHeight="1" x14ac:dyDescent="0.3">
      <c r="A158" s="523" t="s">
        <v>443</v>
      </c>
      <c r="B158" s="524" t="s">
        <v>445</v>
      </c>
      <c r="C158" s="525" t="s">
        <v>465</v>
      </c>
      <c r="D158" s="526" t="s">
        <v>466</v>
      </c>
      <c r="E158" s="525" t="s">
        <v>1274</v>
      </c>
      <c r="F158" s="526" t="s">
        <v>1275</v>
      </c>
      <c r="G158" s="525" t="s">
        <v>1506</v>
      </c>
      <c r="H158" s="525" t="s">
        <v>1507</v>
      </c>
      <c r="I158" s="527">
        <v>7.04</v>
      </c>
      <c r="J158" s="527">
        <v>40</v>
      </c>
      <c r="K158" s="528">
        <v>281.60000000000002</v>
      </c>
    </row>
    <row r="159" spans="1:11" ht="14.4" customHeight="1" x14ac:dyDescent="0.3">
      <c r="A159" s="523" t="s">
        <v>443</v>
      </c>
      <c r="B159" s="524" t="s">
        <v>445</v>
      </c>
      <c r="C159" s="525" t="s">
        <v>465</v>
      </c>
      <c r="D159" s="526" t="s">
        <v>466</v>
      </c>
      <c r="E159" s="525" t="s">
        <v>1274</v>
      </c>
      <c r="F159" s="526" t="s">
        <v>1275</v>
      </c>
      <c r="G159" s="525" t="s">
        <v>1310</v>
      </c>
      <c r="H159" s="525" t="s">
        <v>1311</v>
      </c>
      <c r="I159" s="527">
        <v>15.665000000000001</v>
      </c>
      <c r="J159" s="527">
        <v>1600</v>
      </c>
      <c r="K159" s="528">
        <v>25098.5</v>
      </c>
    </row>
    <row r="160" spans="1:11" ht="14.4" customHeight="1" x14ac:dyDescent="0.3">
      <c r="A160" s="523" t="s">
        <v>443</v>
      </c>
      <c r="B160" s="524" t="s">
        <v>445</v>
      </c>
      <c r="C160" s="525" t="s">
        <v>465</v>
      </c>
      <c r="D160" s="526" t="s">
        <v>466</v>
      </c>
      <c r="E160" s="525" t="s">
        <v>1274</v>
      </c>
      <c r="F160" s="526" t="s">
        <v>1275</v>
      </c>
      <c r="G160" s="525" t="s">
        <v>1312</v>
      </c>
      <c r="H160" s="525" t="s">
        <v>1313</v>
      </c>
      <c r="I160" s="527">
        <v>2.3844444444444441</v>
      </c>
      <c r="J160" s="527">
        <v>1450</v>
      </c>
      <c r="K160" s="528">
        <v>3452</v>
      </c>
    </row>
    <row r="161" spans="1:11" ht="14.4" customHeight="1" x14ac:dyDescent="0.3">
      <c r="A161" s="523" t="s">
        <v>443</v>
      </c>
      <c r="B161" s="524" t="s">
        <v>445</v>
      </c>
      <c r="C161" s="525" t="s">
        <v>465</v>
      </c>
      <c r="D161" s="526" t="s">
        <v>466</v>
      </c>
      <c r="E161" s="525" t="s">
        <v>1274</v>
      </c>
      <c r="F161" s="526" t="s">
        <v>1275</v>
      </c>
      <c r="G161" s="525" t="s">
        <v>1314</v>
      </c>
      <c r="H161" s="525" t="s">
        <v>1315</v>
      </c>
      <c r="I161" s="527">
        <v>31.766000000000002</v>
      </c>
      <c r="J161" s="527">
        <v>1665</v>
      </c>
      <c r="K161" s="528">
        <v>52073.25</v>
      </c>
    </row>
    <row r="162" spans="1:11" ht="14.4" customHeight="1" x14ac:dyDescent="0.3">
      <c r="A162" s="523" t="s">
        <v>443</v>
      </c>
      <c r="B162" s="524" t="s">
        <v>445</v>
      </c>
      <c r="C162" s="525" t="s">
        <v>465</v>
      </c>
      <c r="D162" s="526" t="s">
        <v>466</v>
      </c>
      <c r="E162" s="525" t="s">
        <v>1274</v>
      </c>
      <c r="F162" s="526" t="s">
        <v>1275</v>
      </c>
      <c r="G162" s="525" t="s">
        <v>1316</v>
      </c>
      <c r="H162" s="525" t="s">
        <v>1317</v>
      </c>
      <c r="I162" s="527">
        <v>2.6812500000000004</v>
      </c>
      <c r="J162" s="527">
        <v>4800</v>
      </c>
      <c r="K162" s="528">
        <v>12900</v>
      </c>
    </row>
    <row r="163" spans="1:11" ht="14.4" customHeight="1" x14ac:dyDescent="0.3">
      <c r="A163" s="523" t="s">
        <v>443</v>
      </c>
      <c r="B163" s="524" t="s">
        <v>445</v>
      </c>
      <c r="C163" s="525" t="s">
        <v>465</v>
      </c>
      <c r="D163" s="526" t="s">
        <v>466</v>
      </c>
      <c r="E163" s="525" t="s">
        <v>1274</v>
      </c>
      <c r="F163" s="526" t="s">
        <v>1275</v>
      </c>
      <c r="G163" s="525" t="s">
        <v>1508</v>
      </c>
      <c r="H163" s="525" t="s">
        <v>1509</v>
      </c>
      <c r="I163" s="527">
        <v>7.43</v>
      </c>
      <c r="J163" s="527">
        <v>1150</v>
      </c>
      <c r="K163" s="528">
        <v>8544.5</v>
      </c>
    </row>
    <row r="164" spans="1:11" ht="14.4" customHeight="1" x14ac:dyDescent="0.3">
      <c r="A164" s="523" t="s">
        <v>443</v>
      </c>
      <c r="B164" s="524" t="s">
        <v>445</v>
      </c>
      <c r="C164" s="525" t="s">
        <v>465</v>
      </c>
      <c r="D164" s="526" t="s">
        <v>466</v>
      </c>
      <c r="E164" s="525" t="s">
        <v>1274</v>
      </c>
      <c r="F164" s="526" t="s">
        <v>1275</v>
      </c>
      <c r="G164" s="525" t="s">
        <v>1510</v>
      </c>
      <c r="H164" s="525" t="s">
        <v>1511</v>
      </c>
      <c r="I164" s="527">
        <v>6.31</v>
      </c>
      <c r="J164" s="527">
        <v>1100</v>
      </c>
      <c r="K164" s="528">
        <v>6943.41</v>
      </c>
    </row>
    <row r="165" spans="1:11" ht="14.4" customHeight="1" x14ac:dyDescent="0.3">
      <c r="A165" s="523" t="s">
        <v>443</v>
      </c>
      <c r="B165" s="524" t="s">
        <v>445</v>
      </c>
      <c r="C165" s="525" t="s">
        <v>465</v>
      </c>
      <c r="D165" s="526" t="s">
        <v>466</v>
      </c>
      <c r="E165" s="525" t="s">
        <v>1274</v>
      </c>
      <c r="F165" s="526" t="s">
        <v>1275</v>
      </c>
      <c r="G165" s="525" t="s">
        <v>1318</v>
      </c>
      <c r="H165" s="525" t="s">
        <v>1319</v>
      </c>
      <c r="I165" s="527">
        <v>4.1375000000000002</v>
      </c>
      <c r="J165" s="527">
        <v>230</v>
      </c>
      <c r="K165" s="528">
        <v>951.2</v>
      </c>
    </row>
    <row r="166" spans="1:11" ht="14.4" customHeight="1" x14ac:dyDescent="0.3">
      <c r="A166" s="523" t="s">
        <v>443</v>
      </c>
      <c r="B166" s="524" t="s">
        <v>445</v>
      </c>
      <c r="C166" s="525" t="s">
        <v>465</v>
      </c>
      <c r="D166" s="526" t="s">
        <v>466</v>
      </c>
      <c r="E166" s="525" t="s">
        <v>1274</v>
      </c>
      <c r="F166" s="526" t="s">
        <v>1275</v>
      </c>
      <c r="G166" s="525" t="s">
        <v>1320</v>
      </c>
      <c r="H166" s="525" t="s">
        <v>1321</v>
      </c>
      <c r="I166" s="527">
        <v>0.92249999999999988</v>
      </c>
      <c r="J166" s="527">
        <v>3300</v>
      </c>
      <c r="K166" s="528">
        <v>3041</v>
      </c>
    </row>
    <row r="167" spans="1:11" ht="14.4" customHeight="1" x14ac:dyDescent="0.3">
      <c r="A167" s="523" t="s">
        <v>443</v>
      </c>
      <c r="B167" s="524" t="s">
        <v>445</v>
      </c>
      <c r="C167" s="525" t="s">
        <v>465</v>
      </c>
      <c r="D167" s="526" t="s">
        <v>466</v>
      </c>
      <c r="E167" s="525" t="s">
        <v>1274</v>
      </c>
      <c r="F167" s="526" t="s">
        <v>1275</v>
      </c>
      <c r="G167" s="525" t="s">
        <v>1322</v>
      </c>
      <c r="H167" s="525" t="s">
        <v>1323</v>
      </c>
      <c r="I167" s="527">
        <v>1.4189999999999998</v>
      </c>
      <c r="J167" s="527">
        <v>14500</v>
      </c>
      <c r="K167" s="528">
        <v>20615</v>
      </c>
    </row>
    <row r="168" spans="1:11" ht="14.4" customHeight="1" x14ac:dyDescent="0.3">
      <c r="A168" s="523" t="s">
        <v>443</v>
      </c>
      <c r="B168" s="524" t="s">
        <v>445</v>
      </c>
      <c r="C168" s="525" t="s">
        <v>465</v>
      </c>
      <c r="D168" s="526" t="s">
        <v>466</v>
      </c>
      <c r="E168" s="525" t="s">
        <v>1274</v>
      </c>
      <c r="F168" s="526" t="s">
        <v>1275</v>
      </c>
      <c r="G168" s="525" t="s">
        <v>1324</v>
      </c>
      <c r="H168" s="525" t="s">
        <v>1325</v>
      </c>
      <c r="I168" s="527">
        <v>0.41222222222222221</v>
      </c>
      <c r="J168" s="527">
        <v>12600</v>
      </c>
      <c r="K168" s="528">
        <v>5182</v>
      </c>
    </row>
    <row r="169" spans="1:11" ht="14.4" customHeight="1" x14ac:dyDescent="0.3">
      <c r="A169" s="523" t="s">
        <v>443</v>
      </c>
      <c r="B169" s="524" t="s">
        <v>445</v>
      </c>
      <c r="C169" s="525" t="s">
        <v>465</v>
      </c>
      <c r="D169" s="526" t="s">
        <v>466</v>
      </c>
      <c r="E169" s="525" t="s">
        <v>1274</v>
      </c>
      <c r="F169" s="526" t="s">
        <v>1275</v>
      </c>
      <c r="G169" s="525" t="s">
        <v>1326</v>
      </c>
      <c r="H169" s="525" t="s">
        <v>1327</v>
      </c>
      <c r="I169" s="527">
        <v>0.57750000000000001</v>
      </c>
      <c r="J169" s="527">
        <v>5800</v>
      </c>
      <c r="K169" s="528">
        <v>3354</v>
      </c>
    </row>
    <row r="170" spans="1:11" ht="14.4" customHeight="1" x14ac:dyDescent="0.3">
      <c r="A170" s="523" t="s">
        <v>443</v>
      </c>
      <c r="B170" s="524" t="s">
        <v>445</v>
      </c>
      <c r="C170" s="525" t="s">
        <v>465</v>
      </c>
      <c r="D170" s="526" t="s">
        <v>466</v>
      </c>
      <c r="E170" s="525" t="s">
        <v>1274</v>
      </c>
      <c r="F170" s="526" t="s">
        <v>1275</v>
      </c>
      <c r="G170" s="525" t="s">
        <v>1512</v>
      </c>
      <c r="H170" s="525" t="s">
        <v>1513</v>
      </c>
      <c r="I170" s="527">
        <v>7064.2800000000007</v>
      </c>
      <c r="J170" s="527">
        <v>7</v>
      </c>
      <c r="K170" s="528">
        <v>49449.979999999996</v>
      </c>
    </row>
    <row r="171" spans="1:11" ht="14.4" customHeight="1" x14ac:dyDescent="0.3">
      <c r="A171" s="523" t="s">
        <v>443</v>
      </c>
      <c r="B171" s="524" t="s">
        <v>445</v>
      </c>
      <c r="C171" s="525" t="s">
        <v>465</v>
      </c>
      <c r="D171" s="526" t="s">
        <v>466</v>
      </c>
      <c r="E171" s="525" t="s">
        <v>1274</v>
      </c>
      <c r="F171" s="526" t="s">
        <v>1275</v>
      </c>
      <c r="G171" s="525" t="s">
        <v>1328</v>
      </c>
      <c r="H171" s="525" t="s">
        <v>1329</v>
      </c>
      <c r="I171" s="527">
        <v>3.2019999999999995</v>
      </c>
      <c r="J171" s="527">
        <v>1400</v>
      </c>
      <c r="K171" s="528">
        <v>4498.8</v>
      </c>
    </row>
    <row r="172" spans="1:11" ht="14.4" customHeight="1" x14ac:dyDescent="0.3">
      <c r="A172" s="523" t="s">
        <v>443</v>
      </c>
      <c r="B172" s="524" t="s">
        <v>445</v>
      </c>
      <c r="C172" s="525" t="s">
        <v>465</v>
      </c>
      <c r="D172" s="526" t="s">
        <v>466</v>
      </c>
      <c r="E172" s="525" t="s">
        <v>1274</v>
      </c>
      <c r="F172" s="526" t="s">
        <v>1275</v>
      </c>
      <c r="G172" s="525" t="s">
        <v>1514</v>
      </c>
      <c r="H172" s="525" t="s">
        <v>1515</v>
      </c>
      <c r="I172" s="527">
        <v>27.14</v>
      </c>
      <c r="J172" s="527">
        <v>70</v>
      </c>
      <c r="K172" s="528">
        <v>1948.1</v>
      </c>
    </row>
    <row r="173" spans="1:11" ht="14.4" customHeight="1" x14ac:dyDescent="0.3">
      <c r="A173" s="523" t="s">
        <v>443</v>
      </c>
      <c r="B173" s="524" t="s">
        <v>445</v>
      </c>
      <c r="C173" s="525" t="s">
        <v>465</v>
      </c>
      <c r="D173" s="526" t="s">
        <v>466</v>
      </c>
      <c r="E173" s="525" t="s">
        <v>1274</v>
      </c>
      <c r="F173" s="526" t="s">
        <v>1275</v>
      </c>
      <c r="G173" s="525" t="s">
        <v>1516</v>
      </c>
      <c r="H173" s="525" t="s">
        <v>1517</v>
      </c>
      <c r="I173" s="527">
        <v>81.739999999999995</v>
      </c>
      <c r="J173" s="527">
        <v>270</v>
      </c>
      <c r="K173" s="528">
        <v>22068.799999999996</v>
      </c>
    </row>
    <row r="174" spans="1:11" ht="14.4" customHeight="1" x14ac:dyDescent="0.3">
      <c r="A174" s="523" t="s">
        <v>443</v>
      </c>
      <c r="B174" s="524" t="s">
        <v>445</v>
      </c>
      <c r="C174" s="525" t="s">
        <v>465</v>
      </c>
      <c r="D174" s="526" t="s">
        <v>466</v>
      </c>
      <c r="E174" s="525" t="s">
        <v>1274</v>
      </c>
      <c r="F174" s="526" t="s">
        <v>1275</v>
      </c>
      <c r="G174" s="525" t="s">
        <v>1518</v>
      </c>
      <c r="H174" s="525" t="s">
        <v>1519</v>
      </c>
      <c r="I174" s="527">
        <v>79.412499999999994</v>
      </c>
      <c r="J174" s="527">
        <v>90</v>
      </c>
      <c r="K174" s="528">
        <v>7019.1</v>
      </c>
    </row>
    <row r="175" spans="1:11" ht="14.4" customHeight="1" x14ac:dyDescent="0.3">
      <c r="A175" s="523" t="s">
        <v>443</v>
      </c>
      <c r="B175" s="524" t="s">
        <v>445</v>
      </c>
      <c r="C175" s="525" t="s">
        <v>465</v>
      </c>
      <c r="D175" s="526" t="s">
        <v>466</v>
      </c>
      <c r="E175" s="525" t="s">
        <v>1274</v>
      </c>
      <c r="F175" s="526" t="s">
        <v>1275</v>
      </c>
      <c r="G175" s="525" t="s">
        <v>1520</v>
      </c>
      <c r="H175" s="525" t="s">
        <v>1521</v>
      </c>
      <c r="I175" s="527">
        <v>21.78</v>
      </c>
      <c r="J175" s="527">
        <v>10</v>
      </c>
      <c r="K175" s="528">
        <v>217.8</v>
      </c>
    </row>
    <row r="176" spans="1:11" ht="14.4" customHeight="1" x14ac:dyDescent="0.3">
      <c r="A176" s="523" t="s">
        <v>443</v>
      </c>
      <c r="B176" s="524" t="s">
        <v>445</v>
      </c>
      <c r="C176" s="525" t="s">
        <v>465</v>
      </c>
      <c r="D176" s="526" t="s">
        <v>466</v>
      </c>
      <c r="E176" s="525" t="s">
        <v>1274</v>
      </c>
      <c r="F176" s="526" t="s">
        <v>1275</v>
      </c>
      <c r="G176" s="525" t="s">
        <v>1522</v>
      </c>
      <c r="H176" s="525" t="s">
        <v>1523</v>
      </c>
      <c r="I176" s="527">
        <v>150</v>
      </c>
      <c r="J176" s="527">
        <v>10</v>
      </c>
      <c r="K176" s="528">
        <v>1499.95</v>
      </c>
    </row>
    <row r="177" spans="1:11" ht="14.4" customHeight="1" x14ac:dyDescent="0.3">
      <c r="A177" s="523" t="s">
        <v>443</v>
      </c>
      <c r="B177" s="524" t="s">
        <v>445</v>
      </c>
      <c r="C177" s="525" t="s">
        <v>465</v>
      </c>
      <c r="D177" s="526" t="s">
        <v>466</v>
      </c>
      <c r="E177" s="525" t="s">
        <v>1274</v>
      </c>
      <c r="F177" s="526" t="s">
        <v>1275</v>
      </c>
      <c r="G177" s="525" t="s">
        <v>1332</v>
      </c>
      <c r="H177" s="525" t="s">
        <v>1333</v>
      </c>
      <c r="I177" s="527">
        <v>31.220000000000002</v>
      </c>
      <c r="J177" s="527">
        <v>525</v>
      </c>
      <c r="K177" s="528">
        <v>16013.75</v>
      </c>
    </row>
    <row r="178" spans="1:11" ht="14.4" customHeight="1" x14ac:dyDescent="0.3">
      <c r="A178" s="523" t="s">
        <v>443</v>
      </c>
      <c r="B178" s="524" t="s">
        <v>445</v>
      </c>
      <c r="C178" s="525" t="s">
        <v>465</v>
      </c>
      <c r="D178" s="526" t="s">
        <v>466</v>
      </c>
      <c r="E178" s="525" t="s">
        <v>1274</v>
      </c>
      <c r="F178" s="526" t="s">
        <v>1275</v>
      </c>
      <c r="G178" s="525" t="s">
        <v>1524</v>
      </c>
      <c r="H178" s="525" t="s">
        <v>1525</v>
      </c>
      <c r="I178" s="527">
        <v>1249.6600000000001</v>
      </c>
      <c r="J178" s="527">
        <v>30</v>
      </c>
      <c r="K178" s="528">
        <v>37489.899999999994</v>
      </c>
    </row>
    <row r="179" spans="1:11" ht="14.4" customHeight="1" x14ac:dyDescent="0.3">
      <c r="A179" s="523" t="s">
        <v>443</v>
      </c>
      <c r="B179" s="524" t="s">
        <v>445</v>
      </c>
      <c r="C179" s="525" t="s">
        <v>465</v>
      </c>
      <c r="D179" s="526" t="s">
        <v>466</v>
      </c>
      <c r="E179" s="525" t="s">
        <v>1274</v>
      </c>
      <c r="F179" s="526" t="s">
        <v>1275</v>
      </c>
      <c r="G179" s="525" t="s">
        <v>1334</v>
      </c>
      <c r="H179" s="525" t="s">
        <v>1335</v>
      </c>
      <c r="I179" s="527">
        <v>32.670000000000009</v>
      </c>
      <c r="J179" s="527">
        <v>450</v>
      </c>
      <c r="K179" s="528">
        <v>14701.52</v>
      </c>
    </row>
    <row r="180" spans="1:11" ht="14.4" customHeight="1" x14ac:dyDescent="0.3">
      <c r="A180" s="523" t="s">
        <v>443</v>
      </c>
      <c r="B180" s="524" t="s">
        <v>445</v>
      </c>
      <c r="C180" s="525" t="s">
        <v>465</v>
      </c>
      <c r="D180" s="526" t="s">
        <v>466</v>
      </c>
      <c r="E180" s="525" t="s">
        <v>1274</v>
      </c>
      <c r="F180" s="526" t="s">
        <v>1275</v>
      </c>
      <c r="G180" s="525" t="s">
        <v>1526</v>
      </c>
      <c r="H180" s="525" t="s">
        <v>1527</v>
      </c>
      <c r="I180" s="527">
        <v>108.298</v>
      </c>
      <c r="J180" s="527">
        <v>160</v>
      </c>
      <c r="K180" s="528">
        <v>17327.2</v>
      </c>
    </row>
    <row r="181" spans="1:11" ht="14.4" customHeight="1" x14ac:dyDescent="0.3">
      <c r="A181" s="523" t="s">
        <v>443</v>
      </c>
      <c r="B181" s="524" t="s">
        <v>445</v>
      </c>
      <c r="C181" s="525" t="s">
        <v>465</v>
      </c>
      <c r="D181" s="526" t="s">
        <v>466</v>
      </c>
      <c r="E181" s="525" t="s">
        <v>1274</v>
      </c>
      <c r="F181" s="526" t="s">
        <v>1275</v>
      </c>
      <c r="G181" s="525" t="s">
        <v>1528</v>
      </c>
      <c r="H181" s="525" t="s">
        <v>1529</v>
      </c>
      <c r="I181" s="527">
        <v>2.6733333333333333</v>
      </c>
      <c r="J181" s="527">
        <v>150</v>
      </c>
      <c r="K181" s="528">
        <v>401.18</v>
      </c>
    </row>
    <row r="182" spans="1:11" ht="14.4" customHeight="1" x14ac:dyDescent="0.3">
      <c r="A182" s="523" t="s">
        <v>443</v>
      </c>
      <c r="B182" s="524" t="s">
        <v>445</v>
      </c>
      <c r="C182" s="525" t="s">
        <v>465</v>
      </c>
      <c r="D182" s="526" t="s">
        <v>466</v>
      </c>
      <c r="E182" s="525" t="s">
        <v>1274</v>
      </c>
      <c r="F182" s="526" t="s">
        <v>1275</v>
      </c>
      <c r="G182" s="525" t="s">
        <v>1336</v>
      </c>
      <c r="H182" s="525" t="s">
        <v>1337</v>
      </c>
      <c r="I182" s="527">
        <v>26.017500000000005</v>
      </c>
      <c r="J182" s="527">
        <v>7120</v>
      </c>
      <c r="K182" s="528">
        <v>185239.2</v>
      </c>
    </row>
    <row r="183" spans="1:11" ht="14.4" customHeight="1" x14ac:dyDescent="0.3">
      <c r="A183" s="523" t="s">
        <v>443</v>
      </c>
      <c r="B183" s="524" t="s">
        <v>445</v>
      </c>
      <c r="C183" s="525" t="s">
        <v>465</v>
      </c>
      <c r="D183" s="526" t="s">
        <v>466</v>
      </c>
      <c r="E183" s="525" t="s">
        <v>1274</v>
      </c>
      <c r="F183" s="526" t="s">
        <v>1275</v>
      </c>
      <c r="G183" s="525" t="s">
        <v>1422</v>
      </c>
      <c r="H183" s="525" t="s">
        <v>1423</v>
      </c>
      <c r="I183" s="527">
        <v>14.224444444444446</v>
      </c>
      <c r="J183" s="527">
        <v>260</v>
      </c>
      <c r="K183" s="528">
        <v>3719.1499999999996</v>
      </c>
    </row>
    <row r="184" spans="1:11" ht="14.4" customHeight="1" x14ac:dyDescent="0.3">
      <c r="A184" s="523" t="s">
        <v>443</v>
      </c>
      <c r="B184" s="524" t="s">
        <v>445</v>
      </c>
      <c r="C184" s="525" t="s">
        <v>465</v>
      </c>
      <c r="D184" s="526" t="s">
        <v>466</v>
      </c>
      <c r="E184" s="525" t="s">
        <v>1274</v>
      </c>
      <c r="F184" s="526" t="s">
        <v>1275</v>
      </c>
      <c r="G184" s="525" t="s">
        <v>1338</v>
      </c>
      <c r="H184" s="525" t="s">
        <v>1339</v>
      </c>
      <c r="I184" s="527">
        <v>9.1488888888888891</v>
      </c>
      <c r="J184" s="527">
        <v>4600</v>
      </c>
      <c r="K184" s="528">
        <v>42075.000000000007</v>
      </c>
    </row>
    <row r="185" spans="1:11" ht="14.4" customHeight="1" x14ac:dyDescent="0.3">
      <c r="A185" s="523" t="s">
        <v>443</v>
      </c>
      <c r="B185" s="524" t="s">
        <v>445</v>
      </c>
      <c r="C185" s="525" t="s">
        <v>465</v>
      </c>
      <c r="D185" s="526" t="s">
        <v>466</v>
      </c>
      <c r="E185" s="525" t="s">
        <v>1274</v>
      </c>
      <c r="F185" s="526" t="s">
        <v>1275</v>
      </c>
      <c r="G185" s="525" t="s">
        <v>1340</v>
      </c>
      <c r="H185" s="525" t="s">
        <v>1341</v>
      </c>
      <c r="I185" s="527">
        <v>5.4099999999999993</v>
      </c>
      <c r="J185" s="527">
        <v>2700</v>
      </c>
      <c r="K185" s="528">
        <v>14606.13</v>
      </c>
    </row>
    <row r="186" spans="1:11" ht="14.4" customHeight="1" x14ac:dyDescent="0.3">
      <c r="A186" s="523" t="s">
        <v>443</v>
      </c>
      <c r="B186" s="524" t="s">
        <v>445</v>
      </c>
      <c r="C186" s="525" t="s">
        <v>465</v>
      </c>
      <c r="D186" s="526" t="s">
        <v>466</v>
      </c>
      <c r="E186" s="525" t="s">
        <v>1274</v>
      </c>
      <c r="F186" s="526" t="s">
        <v>1275</v>
      </c>
      <c r="G186" s="525" t="s">
        <v>1342</v>
      </c>
      <c r="H186" s="525" t="s">
        <v>1343</v>
      </c>
      <c r="I186" s="527">
        <v>1326.365</v>
      </c>
      <c r="J186" s="527">
        <v>2</v>
      </c>
      <c r="K186" s="528">
        <v>2652.73</v>
      </c>
    </row>
    <row r="187" spans="1:11" ht="14.4" customHeight="1" x14ac:dyDescent="0.3">
      <c r="A187" s="523" t="s">
        <v>443</v>
      </c>
      <c r="B187" s="524" t="s">
        <v>445</v>
      </c>
      <c r="C187" s="525" t="s">
        <v>465</v>
      </c>
      <c r="D187" s="526" t="s">
        <v>466</v>
      </c>
      <c r="E187" s="525" t="s">
        <v>1274</v>
      </c>
      <c r="F187" s="526" t="s">
        <v>1275</v>
      </c>
      <c r="G187" s="525" t="s">
        <v>1344</v>
      </c>
      <c r="H187" s="525" t="s">
        <v>1345</v>
      </c>
      <c r="I187" s="527">
        <v>2.2999999999999998</v>
      </c>
      <c r="J187" s="527">
        <v>100</v>
      </c>
      <c r="K187" s="528">
        <v>230</v>
      </c>
    </row>
    <row r="188" spans="1:11" ht="14.4" customHeight="1" x14ac:dyDescent="0.3">
      <c r="A188" s="523" t="s">
        <v>443</v>
      </c>
      <c r="B188" s="524" t="s">
        <v>445</v>
      </c>
      <c r="C188" s="525" t="s">
        <v>465</v>
      </c>
      <c r="D188" s="526" t="s">
        <v>466</v>
      </c>
      <c r="E188" s="525" t="s">
        <v>1274</v>
      </c>
      <c r="F188" s="526" t="s">
        <v>1275</v>
      </c>
      <c r="G188" s="525" t="s">
        <v>1424</v>
      </c>
      <c r="H188" s="525" t="s">
        <v>1425</v>
      </c>
      <c r="I188" s="527">
        <v>19.099999999999998</v>
      </c>
      <c r="J188" s="527">
        <v>80</v>
      </c>
      <c r="K188" s="528">
        <v>1524.8000000000002</v>
      </c>
    </row>
    <row r="189" spans="1:11" ht="14.4" customHeight="1" x14ac:dyDescent="0.3">
      <c r="A189" s="523" t="s">
        <v>443</v>
      </c>
      <c r="B189" s="524" t="s">
        <v>445</v>
      </c>
      <c r="C189" s="525" t="s">
        <v>465</v>
      </c>
      <c r="D189" s="526" t="s">
        <v>466</v>
      </c>
      <c r="E189" s="525" t="s">
        <v>1274</v>
      </c>
      <c r="F189" s="526" t="s">
        <v>1275</v>
      </c>
      <c r="G189" s="525" t="s">
        <v>1426</v>
      </c>
      <c r="H189" s="525" t="s">
        <v>1427</v>
      </c>
      <c r="I189" s="527">
        <v>26.016666666666666</v>
      </c>
      <c r="J189" s="527">
        <v>820</v>
      </c>
      <c r="K189" s="528">
        <v>21332.3</v>
      </c>
    </row>
    <row r="190" spans="1:11" ht="14.4" customHeight="1" x14ac:dyDescent="0.3">
      <c r="A190" s="523" t="s">
        <v>443</v>
      </c>
      <c r="B190" s="524" t="s">
        <v>445</v>
      </c>
      <c r="C190" s="525" t="s">
        <v>465</v>
      </c>
      <c r="D190" s="526" t="s">
        <v>466</v>
      </c>
      <c r="E190" s="525" t="s">
        <v>1274</v>
      </c>
      <c r="F190" s="526" t="s">
        <v>1275</v>
      </c>
      <c r="G190" s="525" t="s">
        <v>1530</v>
      </c>
      <c r="H190" s="525" t="s">
        <v>1531</v>
      </c>
      <c r="I190" s="527">
        <v>7893.31</v>
      </c>
      <c r="J190" s="527">
        <v>7</v>
      </c>
      <c r="K190" s="528">
        <v>55253.189999999995</v>
      </c>
    </row>
    <row r="191" spans="1:11" ht="14.4" customHeight="1" x14ac:dyDescent="0.3">
      <c r="A191" s="523" t="s">
        <v>443</v>
      </c>
      <c r="B191" s="524" t="s">
        <v>445</v>
      </c>
      <c r="C191" s="525" t="s">
        <v>465</v>
      </c>
      <c r="D191" s="526" t="s">
        <v>466</v>
      </c>
      <c r="E191" s="525" t="s">
        <v>1274</v>
      </c>
      <c r="F191" s="526" t="s">
        <v>1275</v>
      </c>
      <c r="G191" s="525" t="s">
        <v>1532</v>
      </c>
      <c r="H191" s="525" t="s">
        <v>1533</v>
      </c>
      <c r="I191" s="527">
        <v>2.3574999999999999</v>
      </c>
      <c r="J191" s="527">
        <v>200</v>
      </c>
      <c r="K191" s="528">
        <v>471.5</v>
      </c>
    </row>
    <row r="192" spans="1:11" ht="14.4" customHeight="1" x14ac:dyDescent="0.3">
      <c r="A192" s="523" t="s">
        <v>443</v>
      </c>
      <c r="B192" s="524" t="s">
        <v>445</v>
      </c>
      <c r="C192" s="525" t="s">
        <v>465</v>
      </c>
      <c r="D192" s="526" t="s">
        <v>466</v>
      </c>
      <c r="E192" s="525" t="s">
        <v>1274</v>
      </c>
      <c r="F192" s="526" t="s">
        <v>1275</v>
      </c>
      <c r="G192" s="525" t="s">
        <v>1534</v>
      </c>
      <c r="H192" s="525" t="s">
        <v>1535</v>
      </c>
      <c r="I192" s="527">
        <v>1.915</v>
      </c>
      <c r="J192" s="527">
        <v>20</v>
      </c>
      <c r="K192" s="528">
        <v>38.299999999999997</v>
      </c>
    </row>
    <row r="193" spans="1:11" ht="14.4" customHeight="1" x14ac:dyDescent="0.3">
      <c r="A193" s="523" t="s">
        <v>443</v>
      </c>
      <c r="B193" s="524" t="s">
        <v>445</v>
      </c>
      <c r="C193" s="525" t="s">
        <v>465</v>
      </c>
      <c r="D193" s="526" t="s">
        <v>466</v>
      </c>
      <c r="E193" s="525" t="s">
        <v>1274</v>
      </c>
      <c r="F193" s="526" t="s">
        <v>1275</v>
      </c>
      <c r="G193" s="525" t="s">
        <v>1536</v>
      </c>
      <c r="H193" s="525" t="s">
        <v>1537</v>
      </c>
      <c r="I193" s="527">
        <v>14.65</v>
      </c>
      <c r="J193" s="527">
        <v>500</v>
      </c>
      <c r="K193" s="528">
        <v>7326.3</v>
      </c>
    </row>
    <row r="194" spans="1:11" ht="14.4" customHeight="1" x14ac:dyDescent="0.3">
      <c r="A194" s="523" t="s">
        <v>443</v>
      </c>
      <c r="B194" s="524" t="s">
        <v>445</v>
      </c>
      <c r="C194" s="525" t="s">
        <v>465</v>
      </c>
      <c r="D194" s="526" t="s">
        <v>466</v>
      </c>
      <c r="E194" s="525" t="s">
        <v>1274</v>
      </c>
      <c r="F194" s="526" t="s">
        <v>1275</v>
      </c>
      <c r="G194" s="525" t="s">
        <v>1538</v>
      </c>
      <c r="H194" s="525" t="s">
        <v>1539</v>
      </c>
      <c r="I194" s="527">
        <v>1962.4760000000001</v>
      </c>
      <c r="J194" s="527">
        <v>80</v>
      </c>
      <c r="K194" s="528">
        <v>156752.01</v>
      </c>
    </row>
    <row r="195" spans="1:11" ht="14.4" customHeight="1" x14ac:dyDescent="0.3">
      <c r="A195" s="523" t="s">
        <v>443</v>
      </c>
      <c r="B195" s="524" t="s">
        <v>445</v>
      </c>
      <c r="C195" s="525" t="s">
        <v>465</v>
      </c>
      <c r="D195" s="526" t="s">
        <v>466</v>
      </c>
      <c r="E195" s="525" t="s">
        <v>1274</v>
      </c>
      <c r="F195" s="526" t="s">
        <v>1275</v>
      </c>
      <c r="G195" s="525" t="s">
        <v>1428</v>
      </c>
      <c r="H195" s="525" t="s">
        <v>1429</v>
      </c>
      <c r="I195" s="527">
        <v>2.91</v>
      </c>
      <c r="J195" s="527">
        <v>600</v>
      </c>
      <c r="K195" s="528">
        <v>1752</v>
      </c>
    </row>
    <row r="196" spans="1:11" ht="14.4" customHeight="1" x14ac:dyDescent="0.3">
      <c r="A196" s="523" t="s">
        <v>443</v>
      </c>
      <c r="B196" s="524" t="s">
        <v>445</v>
      </c>
      <c r="C196" s="525" t="s">
        <v>465</v>
      </c>
      <c r="D196" s="526" t="s">
        <v>466</v>
      </c>
      <c r="E196" s="525" t="s">
        <v>1274</v>
      </c>
      <c r="F196" s="526" t="s">
        <v>1275</v>
      </c>
      <c r="G196" s="525" t="s">
        <v>1430</v>
      </c>
      <c r="H196" s="525" t="s">
        <v>1431</v>
      </c>
      <c r="I196" s="527">
        <v>4.7166666666666659</v>
      </c>
      <c r="J196" s="527">
        <v>160</v>
      </c>
      <c r="K196" s="528">
        <v>754.4</v>
      </c>
    </row>
    <row r="197" spans="1:11" ht="14.4" customHeight="1" x14ac:dyDescent="0.3">
      <c r="A197" s="523" t="s">
        <v>443</v>
      </c>
      <c r="B197" s="524" t="s">
        <v>445</v>
      </c>
      <c r="C197" s="525" t="s">
        <v>465</v>
      </c>
      <c r="D197" s="526" t="s">
        <v>466</v>
      </c>
      <c r="E197" s="525" t="s">
        <v>1274</v>
      </c>
      <c r="F197" s="526" t="s">
        <v>1275</v>
      </c>
      <c r="G197" s="525" t="s">
        <v>1346</v>
      </c>
      <c r="H197" s="525" t="s">
        <v>1347</v>
      </c>
      <c r="I197" s="527">
        <v>58.78875</v>
      </c>
      <c r="J197" s="527">
        <v>108</v>
      </c>
      <c r="K197" s="528">
        <v>6348.920000000001</v>
      </c>
    </row>
    <row r="198" spans="1:11" ht="14.4" customHeight="1" x14ac:dyDescent="0.3">
      <c r="A198" s="523" t="s">
        <v>443</v>
      </c>
      <c r="B198" s="524" t="s">
        <v>445</v>
      </c>
      <c r="C198" s="525" t="s">
        <v>465</v>
      </c>
      <c r="D198" s="526" t="s">
        <v>466</v>
      </c>
      <c r="E198" s="525" t="s">
        <v>1274</v>
      </c>
      <c r="F198" s="526" t="s">
        <v>1275</v>
      </c>
      <c r="G198" s="525" t="s">
        <v>1348</v>
      </c>
      <c r="H198" s="525" t="s">
        <v>1349</v>
      </c>
      <c r="I198" s="527">
        <v>2.0520000000000005</v>
      </c>
      <c r="J198" s="527">
        <v>110</v>
      </c>
      <c r="K198" s="528">
        <v>225.7</v>
      </c>
    </row>
    <row r="199" spans="1:11" ht="14.4" customHeight="1" x14ac:dyDescent="0.3">
      <c r="A199" s="523" t="s">
        <v>443</v>
      </c>
      <c r="B199" s="524" t="s">
        <v>445</v>
      </c>
      <c r="C199" s="525" t="s">
        <v>465</v>
      </c>
      <c r="D199" s="526" t="s">
        <v>466</v>
      </c>
      <c r="E199" s="525" t="s">
        <v>1274</v>
      </c>
      <c r="F199" s="526" t="s">
        <v>1275</v>
      </c>
      <c r="G199" s="525" t="s">
        <v>1350</v>
      </c>
      <c r="H199" s="525" t="s">
        <v>1351</v>
      </c>
      <c r="I199" s="527">
        <v>204.84999999999997</v>
      </c>
      <c r="J199" s="527">
        <v>168</v>
      </c>
      <c r="K199" s="528">
        <v>34415.22</v>
      </c>
    </row>
    <row r="200" spans="1:11" ht="14.4" customHeight="1" x14ac:dyDescent="0.3">
      <c r="A200" s="523" t="s">
        <v>443</v>
      </c>
      <c r="B200" s="524" t="s">
        <v>445</v>
      </c>
      <c r="C200" s="525" t="s">
        <v>465</v>
      </c>
      <c r="D200" s="526" t="s">
        <v>466</v>
      </c>
      <c r="E200" s="525" t="s">
        <v>1274</v>
      </c>
      <c r="F200" s="526" t="s">
        <v>1275</v>
      </c>
      <c r="G200" s="525" t="s">
        <v>1352</v>
      </c>
      <c r="H200" s="525" t="s">
        <v>1353</v>
      </c>
      <c r="I200" s="527">
        <v>403.78</v>
      </c>
      <c r="J200" s="527">
        <v>120</v>
      </c>
      <c r="K200" s="528">
        <v>48453.36</v>
      </c>
    </row>
    <row r="201" spans="1:11" ht="14.4" customHeight="1" x14ac:dyDescent="0.3">
      <c r="A201" s="523" t="s">
        <v>443</v>
      </c>
      <c r="B201" s="524" t="s">
        <v>445</v>
      </c>
      <c r="C201" s="525" t="s">
        <v>465</v>
      </c>
      <c r="D201" s="526" t="s">
        <v>466</v>
      </c>
      <c r="E201" s="525" t="s">
        <v>1274</v>
      </c>
      <c r="F201" s="526" t="s">
        <v>1275</v>
      </c>
      <c r="G201" s="525" t="s">
        <v>1354</v>
      </c>
      <c r="H201" s="525" t="s">
        <v>1355</v>
      </c>
      <c r="I201" s="527">
        <v>17.059999999999999</v>
      </c>
      <c r="J201" s="527">
        <v>20</v>
      </c>
      <c r="K201" s="528">
        <v>341.2</v>
      </c>
    </row>
    <row r="202" spans="1:11" ht="14.4" customHeight="1" x14ac:dyDescent="0.3">
      <c r="A202" s="523" t="s">
        <v>443</v>
      </c>
      <c r="B202" s="524" t="s">
        <v>445</v>
      </c>
      <c r="C202" s="525" t="s">
        <v>465</v>
      </c>
      <c r="D202" s="526" t="s">
        <v>466</v>
      </c>
      <c r="E202" s="525" t="s">
        <v>1274</v>
      </c>
      <c r="F202" s="526" t="s">
        <v>1275</v>
      </c>
      <c r="G202" s="525" t="s">
        <v>1540</v>
      </c>
      <c r="H202" s="525" t="s">
        <v>1541</v>
      </c>
      <c r="I202" s="527">
        <v>484</v>
      </c>
      <c r="J202" s="527">
        <v>30</v>
      </c>
      <c r="K202" s="528">
        <v>14520</v>
      </c>
    </row>
    <row r="203" spans="1:11" ht="14.4" customHeight="1" x14ac:dyDescent="0.3">
      <c r="A203" s="523" t="s">
        <v>443</v>
      </c>
      <c r="B203" s="524" t="s">
        <v>445</v>
      </c>
      <c r="C203" s="525" t="s">
        <v>465</v>
      </c>
      <c r="D203" s="526" t="s">
        <v>466</v>
      </c>
      <c r="E203" s="525" t="s">
        <v>1274</v>
      </c>
      <c r="F203" s="526" t="s">
        <v>1275</v>
      </c>
      <c r="G203" s="525" t="s">
        <v>1356</v>
      </c>
      <c r="H203" s="525" t="s">
        <v>1357</v>
      </c>
      <c r="I203" s="527">
        <v>2.3666666666666667</v>
      </c>
      <c r="J203" s="527">
        <v>3300</v>
      </c>
      <c r="K203" s="528">
        <v>7809.3799999999992</v>
      </c>
    </row>
    <row r="204" spans="1:11" ht="14.4" customHeight="1" x14ac:dyDescent="0.3">
      <c r="A204" s="523" t="s">
        <v>443</v>
      </c>
      <c r="B204" s="524" t="s">
        <v>445</v>
      </c>
      <c r="C204" s="525" t="s">
        <v>465</v>
      </c>
      <c r="D204" s="526" t="s">
        <v>466</v>
      </c>
      <c r="E204" s="525" t="s">
        <v>1274</v>
      </c>
      <c r="F204" s="526" t="s">
        <v>1275</v>
      </c>
      <c r="G204" s="525" t="s">
        <v>1358</v>
      </c>
      <c r="H204" s="525" t="s">
        <v>1359</v>
      </c>
      <c r="I204" s="527">
        <v>4.717142857142858</v>
      </c>
      <c r="J204" s="527">
        <v>1900</v>
      </c>
      <c r="K204" s="528">
        <v>8960.1</v>
      </c>
    </row>
    <row r="205" spans="1:11" ht="14.4" customHeight="1" x14ac:dyDescent="0.3">
      <c r="A205" s="523" t="s">
        <v>443</v>
      </c>
      <c r="B205" s="524" t="s">
        <v>445</v>
      </c>
      <c r="C205" s="525" t="s">
        <v>465</v>
      </c>
      <c r="D205" s="526" t="s">
        <v>466</v>
      </c>
      <c r="E205" s="525" t="s">
        <v>1274</v>
      </c>
      <c r="F205" s="526" t="s">
        <v>1275</v>
      </c>
      <c r="G205" s="525" t="s">
        <v>1432</v>
      </c>
      <c r="H205" s="525" t="s">
        <v>1433</v>
      </c>
      <c r="I205" s="527">
        <v>14.970000000000002</v>
      </c>
      <c r="J205" s="527">
        <v>110</v>
      </c>
      <c r="K205" s="528">
        <v>1646.8</v>
      </c>
    </row>
    <row r="206" spans="1:11" ht="14.4" customHeight="1" x14ac:dyDescent="0.3">
      <c r="A206" s="523" t="s">
        <v>443</v>
      </c>
      <c r="B206" s="524" t="s">
        <v>445</v>
      </c>
      <c r="C206" s="525" t="s">
        <v>465</v>
      </c>
      <c r="D206" s="526" t="s">
        <v>466</v>
      </c>
      <c r="E206" s="525" t="s">
        <v>1274</v>
      </c>
      <c r="F206" s="526" t="s">
        <v>1275</v>
      </c>
      <c r="G206" s="525" t="s">
        <v>1542</v>
      </c>
      <c r="H206" s="525" t="s">
        <v>1543</v>
      </c>
      <c r="I206" s="527">
        <v>5.4200000000000008</v>
      </c>
      <c r="J206" s="527">
        <v>2400</v>
      </c>
      <c r="K206" s="528">
        <v>13004.27</v>
      </c>
    </row>
    <row r="207" spans="1:11" ht="14.4" customHeight="1" x14ac:dyDescent="0.3">
      <c r="A207" s="523" t="s">
        <v>443</v>
      </c>
      <c r="B207" s="524" t="s">
        <v>445</v>
      </c>
      <c r="C207" s="525" t="s">
        <v>465</v>
      </c>
      <c r="D207" s="526" t="s">
        <v>466</v>
      </c>
      <c r="E207" s="525" t="s">
        <v>1274</v>
      </c>
      <c r="F207" s="526" t="s">
        <v>1275</v>
      </c>
      <c r="G207" s="525" t="s">
        <v>1544</v>
      </c>
      <c r="H207" s="525" t="s">
        <v>1545</v>
      </c>
      <c r="I207" s="527">
        <v>1482.915</v>
      </c>
      <c r="J207" s="527">
        <v>6</v>
      </c>
      <c r="K207" s="528">
        <v>8897.5</v>
      </c>
    </row>
    <row r="208" spans="1:11" ht="14.4" customHeight="1" x14ac:dyDescent="0.3">
      <c r="A208" s="523" t="s">
        <v>443</v>
      </c>
      <c r="B208" s="524" t="s">
        <v>445</v>
      </c>
      <c r="C208" s="525" t="s">
        <v>465</v>
      </c>
      <c r="D208" s="526" t="s">
        <v>466</v>
      </c>
      <c r="E208" s="525" t="s">
        <v>1274</v>
      </c>
      <c r="F208" s="526" t="s">
        <v>1275</v>
      </c>
      <c r="G208" s="525" t="s">
        <v>1546</v>
      </c>
      <c r="H208" s="525" t="s">
        <v>1547</v>
      </c>
      <c r="I208" s="527">
        <v>117.13</v>
      </c>
      <c r="J208" s="527">
        <v>30</v>
      </c>
      <c r="K208" s="528">
        <v>3513.6599999999985</v>
      </c>
    </row>
    <row r="209" spans="1:11" ht="14.4" customHeight="1" x14ac:dyDescent="0.3">
      <c r="A209" s="523" t="s">
        <v>443</v>
      </c>
      <c r="B209" s="524" t="s">
        <v>445</v>
      </c>
      <c r="C209" s="525" t="s">
        <v>465</v>
      </c>
      <c r="D209" s="526" t="s">
        <v>466</v>
      </c>
      <c r="E209" s="525" t="s">
        <v>1274</v>
      </c>
      <c r="F209" s="526" t="s">
        <v>1275</v>
      </c>
      <c r="G209" s="525" t="s">
        <v>1548</v>
      </c>
      <c r="H209" s="525" t="s">
        <v>1549</v>
      </c>
      <c r="I209" s="527">
        <v>39.93</v>
      </c>
      <c r="J209" s="527">
        <v>1100</v>
      </c>
      <c r="K209" s="528">
        <v>43923</v>
      </c>
    </row>
    <row r="210" spans="1:11" ht="14.4" customHeight="1" x14ac:dyDescent="0.3">
      <c r="A210" s="523" t="s">
        <v>443</v>
      </c>
      <c r="B210" s="524" t="s">
        <v>445</v>
      </c>
      <c r="C210" s="525" t="s">
        <v>465</v>
      </c>
      <c r="D210" s="526" t="s">
        <v>466</v>
      </c>
      <c r="E210" s="525" t="s">
        <v>1274</v>
      </c>
      <c r="F210" s="526" t="s">
        <v>1275</v>
      </c>
      <c r="G210" s="525" t="s">
        <v>1360</v>
      </c>
      <c r="H210" s="525" t="s">
        <v>1361</v>
      </c>
      <c r="I210" s="527">
        <v>12.104999999999999</v>
      </c>
      <c r="J210" s="527">
        <v>680</v>
      </c>
      <c r="K210" s="528">
        <v>8231.5</v>
      </c>
    </row>
    <row r="211" spans="1:11" ht="14.4" customHeight="1" x14ac:dyDescent="0.3">
      <c r="A211" s="523" t="s">
        <v>443</v>
      </c>
      <c r="B211" s="524" t="s">
        <v>445</v>
      </c>
      <c r="C211" s="525" t="s">
        <v>465</v>
      </c>
      <c r="D211" s="526" t="s">
        <v>466</v>
      </c>
      <c r="E211" s="525" t="s">
        <v>1274</v>
      </c>
      <c r="F211" s="526" t="s">
        <v>1275</v>
      </c>
      <c r="G211" s="525" t="s">
        <v>1364</v>
      </c>
      <c r="H211" s="525" t="s">
        <v>1365</v>
      </c>
      <c r="I211" s="527">
        <v>36.306666666666665</v>
      </c>
      <c r="J211" s="527">
        <v>20</v>
      </c>
      <c r="K211" s="528">
        <v>726.1</v>
      </c>
    </row>
    <row r="212" spans="1:11" ht="14.4" customHeight="1" x14ac:dyDescent="0.3">
      <c r="A212" s="523" t="s">
        <v>443</v>
      </c>
      <c r="B212" s="524" t="s">
        <v>445</v>
      </c>
      <c r="C212" s="525" t="s">
        <v>465</v>
      </c>
      <c r="D212" s="526" t="s">
        <v>466</v>
      </c>
      <c r="E212" s="525" t="s">
        <v>1274</v>
      </c>
      <c r="F212" s="526" t="s">
        <v>1275</v>
      </c>
      <c r="G212" s="525" t="s">
        <v>1550</v>
      </c>
      <c r="H212" s="525" t="s">
        <v>1551</v>
      </c>
      <c r="I212" s="527">
        <v>1.55125</v>
      </c>
      <c r="J212" s="527">
        <v>1275</v>
      </c>
      <c r="K212" s="528">
        <v>1975.5</v>
      </c>
    </row>
    <row r="213" spans="1:11" ht="14.4" customHeight="1" x14ac:dyDescent="0.3">
      <c r="A213" s="523" t="s">
        <v>443</v>
      </c>
      <c r="B213" s="524" t="s">
        <v>445</v>
      </c>
      <c r="C213" s="525" t="s">
        <v>465</v>
      </c>
      <c r="D213" s="526" t="s">
        <v>466</v>
      </c>
      <c r="E213" s="525" t="s">
        <v>1274</v>
      </c>
      <c r="F213" s="526" t="s">
        <v>1275</v>
      </c>
      <c r="G213" s="525" t="s">
        <v>1366</v>
      </c>
      <c r="H213" s="525" t="s">
        <v>1367</v>
      </c>
      <c r="I213" s="527">
        <v>21.211111111111109</v>
      </c>
      <c r="J213" s="527">
        <v>1650</v>
      </c>
      <c r="K213" s="528">
        <v>34984</v>
      </c>
    </row>
    <row r="214" spans="1:11" ht="14.4" customHeight="1" x14ac:dyDescent="0.3">
      <c r="A214" s="523" t="s">
        <v>443</v>
      </c>
      <c r="B214" s="524" t="s">
        <v>445</v>
      </c>
      <c r="C214" s="525" t="s">
        <v>465</v>
      </c>
      <c r="D214" s="526" t="s">
        <v>466</v>
      </c>
      <c r="E214" s="525" t="s">
        <v>1274</v>
      </c>
      <c r="F214" s="526" t="s">
        <v>1275</v>
      </c>
      <c r="G214" s="525" t="s">
        <v>1552</v>
      </c>
      <c r="H214" s="525" t="s">
        <v>1553</v>
      </c>
      <c r="I214" s="527">
        <v>358.72499999999997</v>
      </c>
      <c r="J214" s="527">
        <v>70</v>
      </c>
      <c r="K214" s="528">
        <v>24974.030000000002</v>
      </c>
    </row>
    <row r="215" spans="1:11" ht="14.4" customHeight="1" x14ac:dyDescent="0.3">
      <c r="A215" s="523" t="s">
        <v>443</v>
      </c>
      <c r="B215" s="524" t="s">
        <v>445</v>
      </c>
      <c r="C215" s="525" t="s">
        <v>465</v>
      </c>
      <c r="D215" s="526" t="s">
        <v>466</v>
      </c>
      <c r="E215" s="525" t="s">
        <v>1274</v>
      </c>
      <c r="F215" s="526" t="s">
        <v>1275</v>
      </c>
      <c r="G215" s="525" t="s">
        <v>1434</v>
      </c>
      <c r="H215" s="525" t="s">
        <v>1435</v>
      </c>
      <c r="I215" s="527">
        <v>3.003333333333333</v>
      </c>
      <c r="J215" s="527">
        <v>2500</v>
      </c>
      <c r="K215" s="528">
        <v>7459.7599999999993</v>
      </c>
    </row>
    <row r="216" spans="1:11" ht="14.4" customHeight="1" x14ac:dyDescent="0.3">
      <c r="A216" s="523" t="s">
        <v>443</v>
      </c>
      <c r="B216" s="524" t="s">
        <v>445</v>
      </c>
      <c r="C216" s="525" t="s">
        <v>465</v>
      </c>
      <c r="D216" s="526" t="s">
        <v>466</v>
      </c>
      <c r="E216" s="525" t="s">
        <v>1274</v>
      </c>
      <c r="F216" s="526" t="s">
        <v>1275</v>
      </c>
      <c r="G216" s="525" t="s">
        <v>1436</v>
      </c>
      <c r="H216" s="525" t="s">
        <v>1437</v>
      </c>
      <c r="I216" s="527">
        <v>1.3425</v>
      </c>
      <c r="J216" s="527">
        <v>5000</v>
      </c>
      <c r="K216" s="528">
        <v>6660.1200000000008</v>
      </c>
    </row>
    <row r="217" spans="1:11" ht="14.4" customHeight="1" x14ac:dyDescent="0.3">
      <c r="A217" s="523" t="s">
        <v>443</v>
      </c>
      <c r="B217" s="524" t="s">
        <v>445</v>
      </c>
      <c r="C217" s="525" t="s">
        <v>465</v>
      </c>
      <c r="D217" s="526" t="s">
        <v>466</v>
      </c>
      <c r="E217" s="525" t="s">
        <v>1274</v>
      </c>
      <c r="F217" s="526" t="s">
        <v>1275</v>
      </c>
      <c r="G217" s="525" t="s">
        <v>1438</v>
      </c>
      <c r="H217" s="525" t="s">
        <v>1439</v>
      </c>
      <c r="I217" s="527">
        <v>0.27833333333333338</v>
      </c>
      <c r="J217" s="527">
        <v>3000</v>
      </c>
      <c r="K217" s="528">
        <v>832.3900000000001</v>
      </c>
    </row>
    <row r="218" spans="1:11" ht="14.4" customHeight="1" x14ac:dyDescent="0.3">
      <c r="A218" s="523" t="s">
        <v>443</v>
      </c>
      <c r="B218" s="524" t="s">
        <v>445</v>
      </c>
      <c r="C218" s="525" t="s">
        <v>465</v>
      </c>
      <c r="D218" s="526" t="s">
        <v>466</v>
      </c>
      <c r="E218" s="525" t="s">
        <v>1274</v>
      </c>
      <c r="F218" s="526" t="s">
        <v>1275</v>
      </c>
      <c r="G218" s="525" t="s">
        <v>1554</v>
      </c>
      <c r="H218" s="525" t="s">
        <v>1555</v>
      </c>
      <c r="I218" s="527">
        <v>280.91000000000003</v>
      </c>
      <c r="J218" s="527">
        <v>1</v>
      </c>
      <c r="K218" s="528">
        <v>280.91000000000003</v>
      </c>
    </row>
    <row r="219" spans="1:11" ht="14.4" customHeight="1" x14ac:dyDescent="0.3">
      <c r="A219" s="523" t="s">
        <v>443</v>
      </c>
      <c r="B219" s="524" t="s">
        <v>445</v>
      </c>
      <c r="C219" s="525" t="s">
        <v>465</v>
      </c>
      <c r="D219" s="526" t="s">
        <v>466</v>
      </c>
      <c r="E219" s="525" t="s">
        <v>1274</v>
      </c>
      <c r="F219" s="526" t="s">
        <v>1275</v>
      </c>
      <c r="G219" s="525" t="s">
        <v>1368</v>
      </c>
      <c r="H219" s="525" t="s">
        <v>1369</v>
      </c>
      <c r="I219" s="527">
        <v>11.42</v>
      </c>
      <c r="J219" s="527">
        <v>100</v>
      </c>
      <c r="K219" s="528">
        <v>1142</v>
      </c>
    </row>
    <row r="220" spans="1:11" ht="14.4" customHeight="1" x14ac:dyDescent="0.3">
      <c r="A220" s="523" t="s">
        <v>443</v>
      </c>
      <c r="B220" s="524" t="s">
        <v>445</v>
      </c>
      <c r="C220" s="525" t="s">
        <v>465</v>
      </c>
      <c r="D220" s="526" t="s">
        <v>466</v>
      </c>
      <c r="E220" s="525" t="s">
        <v>1274</v>
      </c>
      <c r="F220" s="526" t="s">
        <v>1275</v>
      </c>
      <c r="G220" s="525" t="s">
        <v>1556</v>
      </c>
      <c r="H220" s="525" t="s">
        <v>1557</v>
      </c>
      <c r="I220" s="527">
        <v>18.150000000000002</v>
      </c>
      <c r="J220" s="527">
        <v>1500</v>
      </c>
      <c r="K220" s="528">
        <v>27225</v>
      </c>
    </row>
    <row r="221" spans="1:11" ht="14.4" customHeight="1" x14ac:dyDescent="0.3">
      <c r="A221" s="523" t="s">
        <v>443</v>
      </c>
      <c r="B221" s="524" t="s">
        <v>445</v>
      </c>
      <c r="C221" s="525" t="s">
        <v>465</v>
      </c>
      <c r="D221" s="526" t="s">
        <v>466</v>
      </c>
      <c r="E221" s="525" t="s">
        <v>1274</v>
      </c>
      <c r="F221" s="526" t="s">
        <v>1275</v>
      </c>
      <c r="G221" s="525" t="s">
        <v>1558</v>
      </c>
      <c r="H221" s="525" t="s">
        <v>1559</v>
      </c>
      <c r="I221" s="527">
        <v>0.46666666666666656</v>
      </c>
      <c r="J221" s="527">
        <v>5500</v>
      </c>
      <c r="K221" s="528">
        <v>2571</v>
      </c>
    </row>
    <row r="222" spans="1:11" ht="14.4" customHeight="1" x14ac:dyDescent="0.3">
      <c r="A222" s="523" t="s">
        <v>443</v>
      </c>
      <c r="B222" s="524" t="s">
        <v>445</v>
      </c>
      <c r="C222" s="525" t="s">
        <v>465</v>
      </c>
      <c r="D222" s="526" t="s">
        <v>466</v>
      </c>
      <c r="E222" s="525" t="s">
        <v>1274</v>
      </c>
      <c r="F222" s="526" t="s">
        <v>1275</v>
      </c>
      <c r="G222" s="525" t="s">
        <v>1560</v>
      </c>
      <c r="H222" s="525" t="s">
        <v>1561</v>
      </c>
      <c r="I222" s="527">
        <v>630.0625</v>
      </c>
      <c r="J222" s="527">
        <v>120</v>
      </c>
      <c r="K222" s="528">
        <v>75606.179999999993</v>
      </c>
    </row>
    <row r="223" spans="1:11" ht="14.4" customHeight="1" x14ac:dyDescent="0.3">
      <c r="A223" s="523" t="s">
        <v>443</v>
      </c>
      <c r="B223" s="524" t="s">
        <v>445</v>
      </c>
      <c r="C223" s="525" t="s">
        <v>465</v>
      </c>
      <c r="D223" s="526" t="s">
        <v>466</v>
      </c>
      <c r="E223" s="525" t="s">
        <v>1274</v>
      </c>
      <c r="F223" s="526" t="s">
        <v>1275</v>
      </c>
      <c r="G223" s="525" t="s">
        <v>1562</v>
      </c>
      <c r="H223" s="525" t="s">
        <v>1563</v>
      </c>
      <c r="I223" s="527">
        <v>3.9816666666666669</v>
      </c>
      <c r="J223" s="527">
        <v>1650</v>
      </c>
      <c r="K223" s="528">
        <v>6555.5</v>
      </c>
    </row>
    <row r="224" spans="1:11" ht="14.4" customHeight="1" x14ac:dyDescent="0.3">
      <c r="A224" s="523" t="s">
        <v>443</v>
      </c>
      <c r="B224" s="524" t="s">
        <v>445</v>
      </c>
      <c r="C224" s="525" t="s">
        <v>465</v>
      </c>
      <c r="D224" s="526" t="s">
        <v>466</v>
      </c>
      <c r="E224" s="525" t="s">
        <v>1274</v>
      </c>
      <c r="F224" s="526" t="s">
        <v>1275</v>
      </c>
      <c r="G224" s="525" t="s">
        <v>1442</v>
      </c>
      <c r="H224" s="525" t="s">
        <v>1443</v>
      </c>
      <c r="I224" s="527">
        <v>2.6</v>
      </c>
      <c r="J224" s="527">
        <v>150</v>
      </c>
      <c r="K224" s="528">
        <v>390.20000000000005</v>
      </c>
    </row>
    <row r="225" spans="1:11" ht="14.4" customHeight="1" x14ac:dyDescent="0.3">
      <c r="A225" s="523" t="s">
        <v>443</v>
      </c>
      <c r="B225" s="524" t="s">
        <v>445</v>
      </c>
      <c r="C225" s="525" t="s">
        <v>465</v>
      </c>
      <c r="D225" s="526" t="s">
        <v>466</v>
      </c>
      <c r="E225" s="525" t="s">
        <v>1274</v>
      </c>
      <c r="F225" s="526" t="s">
        <v>1275</v>
      </c>
      <c r="G225" s="525" t="s">
        <v>1564</v>
      </c>
      <c r="H225" s="525" t="s">
        <v>1565</v>
      </c>
      <c r="I225" s="527">
        <v>2.59</v>
      </c>
      <c r="J225" s="527">
        <v>400</v>
      </c>
      <c r="K225" s="528">
        <v>1036</v>
      </c>
    </row>
    <row r="226" spans="1:11" ht="14.4" customHeight="1" x14ac:dyDescent="0.3">
      <c r="A226" s="523" t="s">
        <v>443</v>
      </c>
      <c r="B226" s="524" t="s">
        <v>445</v>
      </c>
      <c r="C226" s="525" t="s">
        <v>465</v>
      </c>
      <c r="D226" s="526" t="s">
        <v>466</v>
      </c>
      <c r="E226" s="525" t="s">
        <v>1274</v>
      </c>
      <c r="F226" s="526" t="s">
        <v>1275</v>
      </c>
      <c r="G226" s="525" t="s">
        <v>1566</v>
      </c>
      <c r="H226" s="525" t="s">
        <v>1567</v>
      </c>
      <c r="I226" s="527">
        <v>229.9</v>
      </c>
      <c r="J226" s="527">
        <v>5</v>
      </c>
      <c r="K226" s="528">
        <v>1149.5</v>
      </c>
    </row>
    <row r="227" spans="1:11" ht="14.4" customHeight="1" x14ac:dyDescent="0.3">
      <c r="A227" s="523" t="s">
        <v>443</v>
      </c>
      <c r="B227" s="524" t="s">
        <v>445</v>
      </c>
      <c r="C227" s="525" t="s">
        <v>465</v>
      </c>
      <c r="D227" s="526" t="s">
        <v>466</v>
      </c>
      <c r="E227" s="525" t="s">
        <v>1274</v>
      </c>
      <c r="F227" s="526" t="s">
        <v>1275</v>
      </c>
      <c r="G227" s="525" t="s">
        <v>1568</v>
      </c>
      <c r="H227" s="525" t="s">
        <v>1569</v>
      </c>
      <c r="I227" s="527">
        <v>268.33</v>
      </c>
      <c r="J227" s="527">
        <v>10</v>
      </c>
      <c r="K227" s="528">
        <v>2683.3</v>
      </c>
    </row>
    <row r="228" spans="1:11" ht="14.4" customHeight="1" x14ac:dyDescent="0.3">
      <c r="A228" s="523" t="s">
        <v>443</v>
      </c>
      <c r="B228" s="524" t="s">
        <v>445</v>
      </c>
      <c r="C228" s="525" t="s">
        <v>465</v>
      </c>
      <c r="D228" s="526" t="s">
        <v>466</v>
      </c>
      <c r="E228" s="525" t="s">
        <v>1274</v>
      </c>
      <c r="F228" s="526" t="s">
        <v>1275</v>
      </c>
      <c r="G228" s="525" t="s">
        <v>1570</v>
      </c>
      <c r="H228" s="525" t="s">
        <v>1571</v>
      </c>
      <c r="I228" s="527">
        <v>26.02</v>
      </c>
      <c r="J228" s="527">
        <v>25</v>
      </c>
      <c r="K228" s="528">
        <v>650.4</v>
      </c>
    </row>
    <row r="229" spans="1:11" ht="14.4" customHeight="1" x14ac:dyDescent="0.3">
      <c r="A229" s="523" t="s">
        <v>443</v>
      </c>
      <c r="B229" s="524" t="s">
        <v>445</v>
      </c>
      <c r="C229" s="525" t="s">
        <v>465</v>
      </c>
      <c r="D229" s="526" t="s">
        <v>466</v>
      </c>
      <c r="E229" s="525" t="s">
        <v>1274</v>
      </c>
      <c r="F229" s="526" t="s">
        <v>1275</v>
      </c>
      <c r="G229" s="525" t="s">
        <v>1572</v>
      </c>
      <c r="H229" s="525" t="s">
        <v>1573</v>
      </c>
      <c r="I229" s="527">
        <v>4466.5200000000004</v>
      </c>
      <c r="J229" s="527">
        <v>4</v>
      </c>
      <c r="K229" s="528">
        <v>17866.080000000002</v>
      </c>
    </row>
    <row r="230" spans="1:11" ht="14.4" customHeight="1" x14ac:dyDescent="0.3">
      <c r="A230" s="523" t="s">
        <v>443</v>
      </c>
      <c r="B230" s="524" t="s">
        <v>445</v>
      </c>
      <c r="C230" s="525" t="s">
        <v>465</v>
      </c>
      <c r="D230" s="526" t="s">
        <v>466</v>
      </c>
      <c r="E230" s="525" t="s">
        <v>1274</v>
      </c>
      <c r="F230" s="526" t="s">
        <v>1275</v>
      </c>
      <c r="G230" s="525" t="s">
        <v>1574</v>
      </c>
      <c r="H230" s="525" t="s">
        <v>1575</v>
      </c>
      <c r="I230" s="527">
        <v>427.5</v>
      </c>
      <c r="J230" s="527">
        <v>10</v>
      </c>
      <c r="K230" s="528">
        <v>4274.99</v>
      </c>
    </row>
    <row r="231" spans="1:11" ht="14.4" customHeight="1" x14ac:dyDescent="0.3">
      <c r="A231" s="523" t="s">
        <v>443</v>
      </c>
      <c r="B231" s="524" t="s">
        <v>445</v>
      </c>
      <c r="C231" s="525" t="s">
        <v>465</v>
      </c>
      <c r="D231" s="526" t="s">
        <v>466</v>
      </c>
      <c r="E231" s="525" t="s">
        <v>1274</v>
      </c>
      <c r="F231" s="526" t="s">
        <v>1275</v>
      </c>
      <c r="G231" s="525" t="s">
        <v>1576</v>
      </c>
      <c r="H231" s="525" t="s">
        <v>1577</v>
      </c>
      <c r="I231" s="527">
        <v>32.299999999999997</v>
      </c>
      <c r="J231" s="527">
        <v>10</v>
      </c>
      <c r="K231" s="528">
        <v>323</v>
      </c>
    </row>
    <row r="232" spans="1:11" ht="14.4" customHeight="1" x14ac:dyDescent="0.3">
      <c r="A232" s="523" t="s">
        <v>443</v>
      </c>
      <c r="B232" s="524" t="s">
        <v>445</v>
      </c>
      <c r="C232" s="525" t="s">
        <v>465</v>
      </c>
      <c r="D232" s="526" t="s">
        <v>466</v>
      </c>
      <c r="E232" s="525" t="s">
        <v>1274</v>
      </c>
      <c r="F232" s="526" t="s">
        <v>1275</v>
      </c>
      <c r="G232" s="525" t="s">
        <v>1446</v>
      </c>
      <c r="H232" s="525" t="s">
        <v>1447</v>
      </c>
      <c r="I232" s="527">
        <v>26.26</v>
      </c>
      <c r="J232" s="527">
        <v>300</v>
      </c>
      <c r="K232" s="528">
        <v>7877.1</v>
      </c>
    </row>
    <row r="233" spans="1:11" ht="14.4" customHeight="1" x14ac:dyDescent="0.3">
      <c r="A233" s="523" t="s">
        <v>443</v>
      </c>
      <c r="B233" s="524" t="s">
        <v>445</v>
      </c>
      <c r="C233" s="525" t="s">
        <v>465</v>
      </c>
      <c r="D233" s="526" t="s">
        <v>466</v>
      </c>
      <c r="E233" s="525" t="s">
        <v>1274</v>
      </c>
      <c r="F233" s="526" t="s">
        <v>1275</v>
      </c>
      <c r="G233" s="525" t="s">
        <v>1578</v>
      </c>
      <c r="H233" s="525" t="s">
        <v>1579</v>
      </c>
      <c r="I233" s="527">
        <v>27.139999999999997</v>
      </c>
      <c r="J233" s="527">
        <v>40</v>
      </c>
      <c r="K233" s="528">
        <v>848.7</v>
      </c>
    </row>
    <row r="234" spans="1:11" ht="14.4" customHeight="1" x14ac:dyDescent="0.3">
      <c r="A234" s="523" t="s">
        <v>443</v>
      </c>
      <c r="B234" s="524" t="s">
        <v>445</v>
      </c>
      <c r="C234" s="525" t="s">
        <v>465</v>
      </c>
      <c r="D234" s="526" t="s">
        <v>466</v>
      </c>
      <c r="E234" s="525" t="s">
        <v>1274</v>
      </c>
      <c r="F234" s="526" t="s">
        <v>1275</v>
      </c>
      <c r="G234" s="525" t="s">
        <v>1580</v>
      </c>
      <c r="H234" s="525" t="s">
        <v>1581</v>
      </c>
      <c r="I234" s="527">
        <v>161.28</v>
      </c>
      <c r="J234" s="527">
        <v>20</v>
      </c>
      <c r="K234" s="528">
        <v>3225.58</v>
      </c>
    </row>
    <row r="235" spans="1:11" ht="14.4" customHeight="1" x14ac:dyDescent="0.3">
      <c r="A235" s="523" t="s">
        <v>443</v>
      </c>
      <c r="B235" s="524" t="s">
        <v>445</v>
      </c>
      <c r="C235" s="525" t="s">
        <v>465</v>
      </c>
      <c r="D235" s="526" t="s">
        <v>466</v>
      </c>
      <c r="E235" s="525" t="s">
        <v>1274</v>
      </c>
      <c r="F235" s="526" t="s">
        <v>1275</v>
      </c>
      <c r="G235" s="525" t="s">
        <v>1582</v>
      </c>
      <c r="H235" s="525" t="s">
        <v>1583</v>
      </c>
      <c r="I235" s="527">
        <v>20.55</v>
      </c>
      <c r="J235" s="527">
        <v>100</v>
      </c>
      <c r="K235" s="528">
        <v>2054.58</v>
      </c>
    </row>
    <row r="236" spans="1:11" ht="14.4" customHeight="1" x14ac:dyDescent="0.3">
      <c r="A236" s="523" t="s">
        <v>443</v>
      </c>
      <c r="B236" s="524" t="s">
        <v>445</v>
      </c>
      <c r="C236" s="525" t="s">
        <v>465</v>
      </c>
      <c r="D236" s="526" t="s">
        <v>466</v>
      </c>
      <c r="E236" s="525" t="s">
        <v>1274</v>
      </c>
      <c r="F236" s="526" t="s">
        <v>1275</v>
      </c>
      <c r="G236" s="525" t="s">
        <v>1584</v>
      </c>
      <c r="H236" s="525" t="s">
        <v>1585</v>
      </c>
      <c r="I236" s="527">
        <v>75.900000000000006</v>
      </c>
      <c r="J236" s="527">
        <v>10</v>
      </c>
      <c r="K236" s="528">
        <v>759</v>
      </c>
    </row>
    <row r="237" spans="1:11" ht="14.4" customHeight="1" x14ac:dyDescent="0.3">
      <c r="A237" s="523" t="s">
        <v>443</v>
      </c>
      <c r="B237" s="524" t="s">
        <v>445</v>
      </c>
      <c r="C237" s="525" t="s">
        <v>465</v>
      </c>
      <c r="D237" s="526" t="s">
        <v>466</v>
      </c>
      <c r="E237" s="525" t="s">
        <v>1274</v>
      </c>
      <c r="F237" s="526" t="s">
        <v>1275</v>
      </c>
      <c r="G237" s="525" t="s">
        <v>1586</v>
      </c>
      <c r="H237" s="525" t="s">
        <v>1587</v>
      </c>
      <c r="I237" s="527">
        <v>46.47</v>
      </c>
      <c r="J237" s="527">
        <v>50</v>
      </c>
      <c r="K237" s="528">
        <v>2323.58</v>
      </c>
    </row>
    <row r="238" spans="1:11" ht="14.4" customHeight="1" x14ac:dyDescent="0.3">
      <c r="A238" s="523" t="s">
        <v>443</v>
      </c>
      <c r="B238" s="524" t="s">
        <v>445</v>
      </c>
      <c r="C238" s="525" t="s">
        <v>465</v>
      </c>
      <c r="D238" s="526" t="s">
        <v>466</v>
      </c>
      <c r="E238" s="525" t="s">
        <v>1274</v>
      </c>
      <c r="F238" s="526" t="s">
        <v>1275</v>
      </c>
      <c r="G238" s="525" t="s">
        <v>1588</v>
      </c>
      <c r="H238" s="525" t="s">
        <v>1589</v>
      </c>
      <c r="I238" s="527">
        <v>71.27</v>
      </c>
      <c r="J238" s="527">
        <v>4</v>
      </c>
      <c r="K238" s="528">
        <v>285.08</v>
      </c>
    </row>
    <row r="239" spans="1:11" ht="14.4" customHeight="1" x14ac:dyDescent="0.3">
      <c r="A239" s="523" t="s">
        <v>443</v>
      </c>
      <c r="B239" s="524" t="s">
        <v>445</v>
      </c>
      <c r="C239" s="525" t="s">
        <v>465</v>
      </c>
      <c r="D239" s="526" t="s">
        <v>466</v>
      </c>
      <c r="E239" s="525" t="s">
        <v>1274</v>
      </c>
      <c r="F239" s="526" t="s">
        <v>1275</v>
      </c>
      <c r="G239" s="525" t="s">
        <v>1448</v>
      </c>
      <c r="H239" s="525" t="s">
        <v>1449</v>
      </c>
      <c r="I239" s="527">
        <v>5</v>
      </c>
      <c r="J239" s="527">
        <v>100</v>
      </c>
      <c r="K239" s="528">
        <v>500.09</v>
      </c>
    </row>
    <row r="240" spans="1:11" ht="14.4" customHeight="1" x14ac:dyDescent="0.3">
      <c r="A240" s="523" t="s">
        <v>443</v>
      </c>
      <c r="B240" s="524" t="s">
        <v>445</v>
      </c>
      <c r="C240" s="525" t="s">
        <v>465</v>
      </c>
      <c r="D240" s="526" t="s">
        <v>466</v>
      </c>
      <c r="E240" s="525" t="s">
        <v>1274</v>
      </c>
      <c r="F240" s="526" t="s">
        <v>1275</v>
      </c>
      <c r="G240" s="525" t="s">
        <v>1590</v>
      </c>
      <c r="H240" s="525" t="s">
        <v>1591</v>
      </c>
      <c r="I240" s="527">
        <v>204.49</v>
      </c>
      <c r="J240" s="527">
        <v>10</v>
      </c>
      <c r="K240" s="528">
        <v>2044.9</v>
      </c>
    </row>
    <row r="241" spans="1:11" ht="14.4" customHeight="1" x14ac:dyDescent="0.3">
      <c r="A241" s="523" t="s">
        <v>443</v>
      </c>
      <c r="B241" s="524" t="s">
        <v>445</v>
      </c>
      <c r="C241" s="525" t="s">
        <v>465</v>
      </c>
      <c r="D241" s="526" t="s">
        <v>466</v>
      </c>
      <c r="E241" s="525" t="s">
        <v>1274</v>
      </c>
      <c r="F241" s="526" t="s">
        <v>1275</v>
      </c>
      <c r="G241" s="525" t="s">
        <v>1592</v>
      </c>
      <c r="H241" s="525" t="s">
        <v>1593</v>
      </c>
      <c r="I241" s="527">
        <v>2585.6</v>
      </c>
      <c r="J241" s="527">
        <v>1</v>
      </c>
      <c r="K241" s="528">
        <v>2585.6</v>
      </c>
    </row>
    <row r="242" spans="1:11" ht="14.4" customHeight="1" x14ac:dyDescent="0.3">
      <c r="A242" s="523" t="s">
        <v>443</v>
      </c>
      <c r="B242" s="524" t="s">
        <v>445</v>
      </c>
      <c r="C242" s="525" t="s">
        <v>465</v>
      </c>
      <c r="D242" s="526" t="s">
        <v>466</v>
      </c>
      <c r="E242" s="525" t="s">
        <v>1274</v>
      </c>
      <c r="F242" s="526" t="s">
        <v>1275</v>
      </c>
      <c r="G242" s="525" t="s">
        <v>1594</v>
      </c>
      <c r="H242" s="525" t="s">
        <v>1595</v>
      </c>
      <c r="I242" s="527">
        <v>137.38</v>
      </c>
      <c r="J242" s="527">
        <v>25</v>
      </c>
      <c r="K242" s="528">
        <v>3434.6</v>
      </c>
    </row>
    <row r="243" spans="1:11" ht="14.4" customHeight="1" x14ac:dyDescent="0.3">
      <c r="A243" s="523" t="s">
        <v>443</v>
      </c>
      <c r="B243" s="524" t="s">
        <v>445</v>
      </c>
      <c r="C243" s="525" t="s">
        <v>465</v>
      </c>
      <c r="D243" s="526" t="s">
        <v>466</v>
      </c>
      <c r="E243" s="525" t="s">
        <v>1274</v>
      </c>
      <c r="F243" s="526" t="s">
        <v>1275</v>
      </c>
      <c r="G243" s="525" t="s">
        <v>1596</v>
      </c>
      <c r="H243" s="525" t="s">
        <v>1597</v>
      </c>
      <c r="I243" s="527">
        <v>137.38</v>
      </c>
      <c r="J243" s="527">
        <v>25</v>
      </c>
      <c r="K243" s="528">
        <v>3434.6</v>
      </c>
    </row>
    <row r="244" spans="1:11" ht="14.4" customHeight="1" x14ac:dyDescent="0.3">
      <c r="A244" s="523" t="s">
        <v>443</v>
      </c>
      <c r="B244" s="524" t="s">
        <v>445</v>
      </c>
      <c r="C244" s="525" t="s">
        <v>465</v>
      </c>
      <c r="D244" s="526" t="s">
        <v>466</v>
      </c>
      <c r="E244" s="525" t="s">
        <v>1274</v>
      </c>
      <c r="F244" s="526" t="s">
        <v>1275</v>
      </c>
      <c r="G244" s="525" t="s">
        <v>1598</v>
      </c>
      <c r="H244" s="525" t="s">
        <v>1599</v>
      </c>
      <c r="I244" s="527">
        <v>254.1</v>
      </c>
      <c r="J244" s="527">
        <v>30</v>
      </c>
      <c r="K244" s="528">
        <v>7623.02</v>
      </c>
    </row>
    <row r="245" spans="1:11" ht="14.4" customHeight="1" x14ac:dyDescent="0.3">
      <c r="A245" s="523" t="s">
        <v>443</v>
      </c>
      <c r="B245" s="524" t="s">
        <v>445</v>
      </c>
      <c r="C245" s="525" t="s">
        <v>465</v>
      </c>
      <c r="D245" s="526" t="s">
        <v>466</v>
      </c>
      <c r="E245" s="525" t="s">
        <v>1274</v>
      </c>
      <c r="F245" s="526" t="s">
        <v>1275</v>
      </c>
      <c r="G245" s="525" t="s">
        <v>1600</v>
      </c>
      <c r="H245" s="525" t="s">
        <v>1601</v>
      </c>
      <c r="I245" s="527">
        <v>356.34</v>
      </c>
      <c r="J245" s="527">
        <v>140</v>
      </c>
      <c r="K245" s="528">
        <v>49888.3</v>
      </c>
    </row>
    <row r="246" spans="1:11" ht="14.4" customHeight="1" x14ac:dyDescent="0.3">
      <c r="A246" s="523" t="s">
        <v>443</v>
      </c>
      <c r="B246" s="524" t="s">
        <v>445</v>
      </c>
      <c r="C246" s="525" t="s">
        <v>465</v>
      </c>
      <c r="D246" s="526" t="s">
        <v>466</v>
      </c>
      <c r="E246" s="525" t="s">
        <v>1274</v>
      </c>
      <c r="F246" s="526" t="s">
        <v>1275</v>
      </c>
      <c r="G246" s="525" t="s">
        <v>1602</v>
      </c>
      <c r="H246" s="525" t="s">
        <v>1603</v>
      </c>
      <c r="I246" s="527">
        <v>78.650000000000006</v>
      </c>
      <c r="J246" s="527">
        <v>100</v>
      </c>
      <c r="K246" s="528">
        <v>7865</v>
      </c>
    </row>
    <row r="247" spans="1:11" ht="14.4" customHeight="1" x14ac:dyDescent="0.3">
      <c r="A247" s="523" t="s">
        <v>443</v>
      </c>
      <c r="B247" s="524" t="s">
        <v>445</v>
      </c>
      <c r="C247" s="525" t="s">
        <v>465</v>
      </c>
      <c r="D247" s="526" t="s">
        <v>466</v>
      </c>
      <c r="E247" s="525" t="s">
        <v>1274</v>
      </c>
      <c r="F247" s="526" t="s">
        <v>1275</v>
      </c>
      <c r="G247" s="525" t="s">
        <v>1604</v>
      </c>
      <c r="H247" s="525" t="s">
        <v>1605</v>
      </c>
      <c r="I247" s="527">
        <v>1310.6671428571428</v>
      </c>
      <c r="J247" s="527">
        <v>88</v>
      </c>
      <c r="K247" s="528">
        <v>115338.8</v>
      </c>
    </row>
    <row r="248" spans="1:11" ht="14.4" customHeight="1" x14ac:dyDescent="0.3">
      <c r="A248" s="523" t="s">
        <v>443</v>
      </c>
      <c r="B248" s="524" t="s">
        <v>445</v>
      </c>
      <c r="C248" s="525" t="s">
        <v>465</v>
      </c>
      <c r="D248" s="526" t="s">
        <v>466</v>
      </c>
      <c r="E248" s="525" t="s">
        <v>1274</v>
      </c>
      <c r="F248" s="526" t="s">
        <v>1275</v>
      </c>
      <c r="G248" s="525" t="s">
        <v>1606</v>
      </c>
      <c r="H248" s="525" t="s">
        <v>1607</v>
      </c>
      <c r="I248" s="527">
        <v>557.52285714285722</v>
      </c>
      <c r="J248" s="527">
        <v>88</v>
      </c>
      <c r="K248" s="528">
        <v>49063.5</v>
      </c>
    </row>
    <row r="249" spans="1:11" ht="14.4" customHeight="1" x14ac:dyDescent="0.3">
      <c r="A249" s="523" t="s">
        <v>443</v>
      </c>
      <c r="B249" s="524" t="s">
        <v>445</v>
      </c>
      <c r="C249" s="525" t="s">
        <v>465</v>
      </c>
      <c r="D249" s="526" t="s">
        <v>466</v>
      </c>
      <c r="E249" s="525" t="s">
        <v>1274</v>
      </c>
      <c r="F249" s="526" t="s">
        <v>1275</v>
      </c>
      <c r="G249" s="525" t="s">
        <v>1608</v>
      </c>
      <c r="H249" s="525" t="s">
        <v>1609</v>
      </c>
      <c r="I249" s="527">
        <v>407.12</v>
      </c>
      <c r="J249" s="527">
        <v>10</v>
      </c>
      <c r="K249" s="528">
        <v>4071.16</v>
      </c>
    </row>
    <row r="250" spans="1:11" ht="14.4" customHeight="1" x14ac:dyDescent="0.3">
      <c r="A250" s="523" t="s">
        <v>443</v>
      </c>
      <c r="B250" s="524" t="s">
        <v>445</v>
      </c>
      <c r="C250" s="525" t="s">
        <v>465</v>
      </c>
      <c r="D250" s="526" t="s">
        <v>466</v>
      </c>
      <c r="E250" s="525" t="s">
        <v>1274</v>
      </c>
      <c r="F250" s="526" t="s">
        <v>1275</v>
      </c>
      <c r="G250" s="525" t="s">
        <v>1610</v>
      </c>
      <c r="H250" s="525" t="s">
        <v>1611</v>
      </c>
      <c r="I250" s="527">
        <v>407.12</v>
      </c>
      <c r="J250" s="527">
        <v>10</v>
      </c>
      <c r="K250" s="528">
        <v>4071.16</v>
      </c>
    </row>
    <row r="251" spans="1:11" ht="14.4" customHeight="1" x14ac:dyDescent="0.3">
      <c r="A251" s="523" t="s">
        <v>443</v>
      </c>
      <c r="B251" s="524" t="s">
        <v>445</v>
      </c>
      <c r="C251" s="525" t="s">
        <v>465</v>
      </c>
      <c r="D251" s="526" t="s">
        <v>466</v>
      </c>
      <c r="E251" s="525" t="s">
        <v>1274</v>
      </c>
      <c r="F251" s="526" t="s">
        <v>1275</v>
      </c>
      <c r="G251" s="525" t="s">
        <v>1612</v>
      </c>
      <c r="H251" s="525" t="s">
        <v>1613</v>
      </c>
      <c r="I251" s="527">
        <v>430.99</v>
      </c>
      <c r="J251" s="527">
        <v>5</v>
      </c>
      <c r="K251" s="528">
        <v>2154.9499999999998</v>
      </c>
    </row>
    <row r="252" spans="1:11" ht="14.4" customHeight="1" x14ac:dyDescent="0.3">
      <c r="A252" s="523" t="s">
        <v>443</v>
      </c>
      <c r="B252" s="524" t="s">
        <v>445</v>
      </c>
      <c r="C252" s="525" t="s">
        <v>465</v>
      </c>
      <c r="D252" s="526" t="s">
        <v>466</v>
      </c>
      <c r="E252" s="525" t="s">
        <v>1274</v>
      </c>
      <c r="F252" s="526" t="s">
        <v>1275</v>
      </c>
      <c r="G252" s="525" t="s">
        <v>1378</v>
      </c>
      <c r="H252" s="525" t="s">
        <v>1379</v>
      </c>
      <c r="I252" s="527">
        <v>12.1</v>
      </c>
      <c r="J252" s="527">
        <v>60</v>
      </c>
      <c r="K252" s="528">
        <v>726</v>
      </c>
    </row>
    <row r="253" spans="1:11" ht="14.4" customHeight="1" x14ac:dyDescent="0.3">
      <c r="A253" s="523" t="s">
        <v>443</v>
      </c>
      <c r="B253" s="524" t="s">
        <v>445</v>
      </c>
      <c r="C253" s="525" t="s">
        <v>465</v>
      </c>
      <c r="D253" s="526" t="s">
        <v>466</v>
      </c>
      <c r="E253" s="525" t="s">
        <v>1274</v>
      </c>
      <c r="F253" s="526" t="s">
        <v>1275</v>
      </c>
      <c r="G253" s="525" t="s">
        <v>1614</v>
      </c>
      <c r="H253" s="525" t="s">
        <v>1615</v>
      </c>
      <c r="I253" s="527">
        <v>16.43</v>
      </c>
      <c r="J253" s="527">
        <v>50</v>
      </c>
      <c r="K253" s="528">
        <v>821.59</v>
      </c>
    </row>
    <row r="254" spans="1:11" ht="14.4" customHeight="1" x14ac:dyDescent="0.3">
      <c r="A254" s="523" t="s">
        <v>443</v>
      </c>
      <c r="B254" s="524" t="s">
        <v>445</v>
      </c>
      <c r="C254" s="525" t="s">
        <v>465</v>
      </c>
      <c r="D254" s="526" t="s">
        <v>466</v>
      </c>
      <c r="E254" s="525" t="s">
        <v>1274</v>
      </c>
      <c r="F254" s="526" t="s">
        <v>1275</v>
      </c>
      <c r="G254" s="525" t="s">
        <v>1382</v>
      </c>
      <c r="H254" s="525" t="s">
        <v>1383</v>
      </c>
      <c r="I254" s="527">
        <v>5.9</v>
      </c>
      <c r="J254" s="527">
        <v>30</v>
      </c>
      <c r="K254" s="528">
        <v>177</v>
      </c>
    </row>
    <row r="255" spans="1:11" ht="14.4" customHeight="1" x14ac:dyDescent="0.3">
      <c r="A255" s="523" t="s">
        <v>443</v>
      </c>
      <c r="B255" s="524" t="s">
        <v>445</v>
      </c>
      <c r="C255" s="525" t="s">
        <v>465</v>
      </c>
      <c r="D255" s="526" t="s">
        <v>466</v>
      </c>
      <c r="E255" s="525" t="s">
        <v>1274</v>
      </c>
      <c r="F255" s="526" t="s">
        <v>1275</v>
      </c>
      <c r="G255" s="525" t="s">
        <v>1616</v>
      </c>
      <c r="H255" s="525" t="s">
        <v>1617</v>
      </c>
      <c r="I255" s="527">
        <v>204.49</v>
      </c>
      <c r="J255" s="527">
        <v>20</v>
      </c>
      <c r="K255" s="528">
        <v>4089.8</v>
      </c>
    </row>
    <row r="256" spans="1:11" ht="14.4" customHeight="1" x14ac:dyDescent="0.3">
      <c r="A256" s="523" t="s">
        <v>443</v>
      </c>
      <c r="B256" s="524" t="s">
        <v>445</v>
      </c>
      <c r="C256" s="525" t="s">
        <v>465</v>
      </c>
      <c r="D256" s="526" t="s">
        <v>466</v>
      </c>
      <c r="E256" s="525" t="s">
        <v>1274</v>
      </c>
      <c r="F256" s="526" t="s">
        <v>1275</v>
      </c>
      <c r="G256" s="525" t="s">
        <v>1384</v>
      </c>
      <c r="H256" s="525" t="s">
        <v>1385</v>
      </c>
      <c r="I256" s="527">
        <v>60.52</v>
      </c>
      <c r="J256" s="527">
        <v>45</v>
      </c>
      <c r="K256" s="528">
        <v>2723</v>
      </c>
    </row>
    <row r="257" spans="1:11" ht="14.4" customHeight="1" x14ac:dyDescent="0.3">
      <c r="A257" s="523" t="s">
        <v>443</v>
      </c>
      <c r="B257" s="524" t="s">
        <v>445</v>
      </c>
      <c r="C257" s="525" t="s">
        <v>465</v>
      </c>
      <c r="D257" s="526" t="s">
        <v>466</v>
      </c>
      <c r="E257" s="525" t="s">
        <v>1274</v>
      </c>
      <c r="F257" s="526" t="s">
        <v>1275</v>
      </c>
      <c r="G257" s="525" t="s">
        <v>1618</v>
      </c>
      <c r="H257" s="525" t="s">
        <v>1619</v>
      </c>
      <c r="I257" s="527">
        <v>1300.0149999999999</v>
      </c>
      <c r="J257" s="527">
        <v>4</v>
      </c>
      <c r="K257" s="528">
        <v>5200.0599999999995</v>
      </c>
    </row>
    <row r="258" spans="1:11" ht="14.4" customHeight="1" x14ac:dyDescent="0.3">
      <c r="A258" s="523" t="s">
        <v>443</v>
      </c>
      <c r="B258" s="524" t="s">
        <v>445</v>
      </c>
      <c r="C258" s="525" t="s">
        <v>465</v>
      </c>
      <c r="D258" s="526" t="s">
        <v>466</v>
      </c>
      <c r="E258" s="525" t="s">
        <v>1274</v>
      </c>
      <c r="F258" s="526" t="s">
        <v>1275</v>
      </c>
      <c r="G258" s="525" t="s">
        <v>1620</v>
      </c>
      <c r="H258" s="525" t="s">
        <v>1621</v>
      </c>
      <c r="I258" s="527">
        <v>145.19999999999999</v>
      </c>
      <c r="J258" s="527">
        <v>10</v>
      </c>
      <c r="K258" s="528">
        <v>1452</v>
      </c>
    </row>
    <row r="259" spans="1:11" ht="14.4" customHeight="1" x14ac:dyDescent="0.3">
      <c r="A259" s="523" t="s">
        <v>443</v>
      </c>
      <c r="B259" s="524" t="s">
        <v>445</v>
      </c>
      <c r="C259" s="525" t="s">
        <v>465</v>
      </c>
      <c r="D259" s="526" t="s">
        <v>466</v>
      </c>
      <c r="E259" s="525" t="s">
        <v>1274</v>
      </c>
      <c r="F259" s="526" t="s">
        <v>1275</v>
      </c>
      <c r="G259" s="525" t="s">
        <v>1622</v>
      </c>
      <c r="H259" s="525" t="s">
        <v>1623</v>
      </c>
      <c r="I259" s="527">
        <v>145.19999999999999</v>
      </c>
      <c r="J259" s="527">
        <v>10</v>
      </c>
      <c r="K259" s="528">
        <v>1452</v>
      </c>
    </row>
    <row r="260" spans="1:11" ht="14.4" customHeight="1" x14ac:dyDescent="0.3">
      <c r="A260" s="523" t="s">
        <v>443</v>
      </c>
      <c r="B260" s="524" t="s">
        <v>445</v>
      </c>
      <c r="C260" s="525" t="s">
        <v>465</v>
      </c>
      <c r="D260" s="526" t="s">
        <v>466</v>
      </c>
      <c r="E260" s="525" t="s">
        <v>1274</v>
      </c>
      <c r="F260" s="526" t="s">
        <v>1275</v>
      </c>
      <c r="G260" s="525" t="s">
        <v>1624</v>
      </c>
      <c r="H260" s="525" t="s">
        <v>1625</v>
      </c>
      <c r="I260" s="527">
        <v>145.19999999999999</v>
      </c>
      <c r="J260" s="527">
        <v>10</v>
      </c>
      <c r="K260" s="528">
        <v>1452</v>
      </c>
    </row>
    <row r="261" spans="1:11" ht="14.4" customHeight="1" x14ac:dyDescent="0.3">
      <c r="A261" s="523" t="s">
        <v>443</v>
      </c>
      <c r="B261" s="524" t="s">
        <v>445</v>
      </c>
      <c r="C261" s="525" t="s">
        <v>465</v>
      </c>
      <c r="D261" s="526" t="s">
        <v>466</v>
      </c>
      <c r="E261" s="525" t="s">
        <v>1274</v>
      </c>
      <c r="F261" s="526" t="s">
        <v>1275</v>
      </c>
      <c r="G261" s="525" t="s">
        <v>1626</v>
      </c>
      <c r="H261" s="525" t="s">
        <v>1627</v>
      </c>
      <c r="I261" s="527">
        <v>145.19999999999999</v>
      </c>
      <c r="J261" s="527">
        <v>10</v>
      </c>
      <c r="K261" s="528">
        <v>1452</v>
      </c>
    </row>
    <row r="262" spans="1:11" ht="14.4" customHeight="1" x14ac:dyDescent="0.3">
      <c r="A262" s="523" t="s">
        <v>443</v>
      </c>
      <c r="B262" s="524" t="s">
        <v>445</v>
      </c>
      <c r="C262" s="525" t="s">
        <v>465</v>
      </c>
      <c r="D262" s="526" t="s">
        <v>466</v>
      </c>
      <c r="E262" s="525" t="s">
        <v>1274</v>
      </c>
      <c r="F262" s="526" t="s">
        <v>1275</v>
      </c>
      <c r="G262" s="525" t="s">
        <v>1628</v>
      </c>
      <c r="H262" s="525" t="s">
        <v>1629</v>
      </c>
      <c r="I262" s="527">
        <v>229.9</v>
      </c>
      <c r="J262" s="527">
        <v>5</v>
      </c>
      <c r="K262" s="528">
        <v>1149.5</v>
      </c>
    </row>
    <row r="263" spans="1:11" ht="14.4" customHeight="1" x14ac:dyDescent="0.3">
      <c r="A263" s="523" t="s">
        <v>443</v>
      </c>
      <c r="B263" s="524" t="s">
        <v>445</v>
      </c>
      <c r="C263" s="525" t="s">
        <v>465</v>
      </c>
      <c r="D263" s="526" t="s">
        <v>466</v>
      </c>
      <c r="E263" s="525" t="s">
        <v>1274</v>
      </c>
      <c r="F263" s="526" t="s">
        <v>1275</v>
      </c>
      <c r="G263" s="525" t="s">
        <v>1630</v>
      </c>
      <c r="H263" s="525" t="s">
        <v>1631</v>
      </c>
      <c r="I263" s="527">
        <v>100.05</v>
      </c>
      <c r="J263" s="527">
        <v>20</v>
      </c>
      <c r="K263" s="528">
        <v>2001</v>
      </c>
    </row>
    <row r="264" spans="1:11" ht="14.4" customHeight="1" x14ac:dyDescent="0.3">
      <c r="A264" s="523" t="s">
        <v>443</v>
      </c>
      <c r="B264" s="524" t="s">
        <v>445</v>
      </c>
      <c r="C264" s="525" t="s">
        <v>465</v>
      </c>
      <c r="D264" s="526" t="s">
        <v>466</v>
      </c>
      <c r="E264" s="525" t="s">
        <v>1274</v>
      </c>
      <c r="F264" s="526" t="s">
        <v>1275</v>
      </c>
      <c r="G264" s="525" t="s">
        <v>1632</v>
      </c>
      <c r="H264" s="525" t="s">
        <v>1633</v>
      </c>
      <c r="I264" s="527">
        <v>417.07</v>
      </c>
      <c r="J264" s="527">
        <v>10</v>
      </c>
      <c r="K264" s="528">
        <v>4170.6899999999996</v>
      </c>
    </row>
    <row r="265" spans="1:11" ht="14.4" customHeight="1" x14ac:dyDescent="0.3">
      <c r="A265" s="523" t="s">
        <v>443</v>
      </c>
      <c r="B265" s="524" t="s">
        <v>445</v>
      </c>
      <c r="C265" s="525" t="s">
        <v>465</v>
      </c>
      <c r="D265" s="526" t="s">
        <v>466</v>
      </c>
      <c r="E265" s="525" t="s">
        <v>1274</v>
      </c>
      <c r="F265" s="526" t="s">
        <v>1275</v>
      </c>
      <c r="G265" s="525" t="s">
        <v>1634</v>
      </c>
      <c r="H265" s="525" t="s">
        <v>1635</v>
      </c>
      <c r="I265" s="527">
        <v>1300</v>
      </c>
      <c r="J265" s="527">
        <v>1</v>
      </c>
      <c r="K265" s="528">
        <v>1300</v>
      </c>
    </row>
    <row r="266" spans="1:11" ht="14.4" customHeight="1" x14ac:dyDescent="0.3">
      <c r="A266" s="523" t="s">
        <v>443</v>
      </c>
      <c r="B266" s="524" t="s">
        <v>445</v>
      </c>
      <c r="C266" s="525" t="s">
        <v>465</v>
      </c>
      <c r="D266" s="526" t="s">
        <v>466</v>
      </c>
      <c r="E266" s="525" t="s">
        <v>1274</v>
      </c>
      <c r="F266" s="526" t="s">
        <v>1275</v>
      </c>
      <c r="G266" s="525" t="s">
        <v>1386</v>
      </c>
      <c r="H266" s="525" t="s">
        <v>1387</v>
      </c>
      <c r="I266" s="527">
        <v>9.1999999999999993</v>
      </c>
      <c r="J266" s="527">
        <v>100</v>
      </c>
      <c r="K266" s="528">
        <v>920</v>
      </c>
    </row>
    <row r="267" spans="1:11" ht="14.4" customHeight="1" x14ac:dyDescent="0.3">
      <c r="A267" s="523" t="s">
        <v>443</v>
      </c>
      <c r="B267" s="524" t="s">
        <v>445</v>
      </c>
      <c r="C267" s="525" t="s">
        <v>465</v>
      </c>
      <c r="D267" s="526" t="s">
        <v>466</v>
      </c>
      <c r="E267" s="525" t="s">
        <v>1274</v>
      </c>
      <c r="F267" s="526" t="s">
        <v>1275</v>
      </c>
      <c r="G267" s="525" t="s">
        <v>1388</v>
      </c>
      <c r="H267" s="525" t="s">
        <v>1389</v>
      </c>
      <c r="I267" s="527">
        <v>172.5</v>
      </c>
      <c r="J267" s="527">
        <v>2</v>
      </c>
      <c r="K267" s="528">
        <v>345</v>
      </c>
    </row>
    <row r="268" spans="1:11" ht="14.4" customHeight="1" x14ac:dyDescent="0.3">
      <c r="A268" s="523" t="s">
        <v>443</v>
      </c>
      <c r="B268" s="524" t="s">
        <v>445</v>
      </c>
      <c r="C268" s="525" t="s">
        <v>465</v>
      </c>
      <c r="D268" s="526" t="s">
        <v>466</v>
      </c>
      <c r="E268" s="525" t="s">
        <v>1274</v>
      </c>
      <c r="F268" s="526" t="s">
        <v>1275</v>
      </c>
      <c r="G268" s="525" t="s">
        <v>1636</v>
      </c>
      <c r="H268" s="525" t="s">
        <v>1637</v>
      </c>
      <c r="I268" s="527">
        <v>10.45</v>
      </c>
      <c r="J268" s="527">
        <v>240</v>
      </c>
      <c r="K268" s="528">
        <v>2508.11</v>
      </c>
    </row>
    <row r="269" spans="1:11" ht="14.4" customHeight="1" x14ac:dyDescent="0.3">
      <c r="A269" s="523" t="s">
        <v>443</v>
      </c>
      <c r="B269" s="524" t="s">
        <v>445</v>
      </c>
      <c r="C269" s="525" t="s">
        <v>465</v>
      </c>
      <c r="D269" s="526" t="s">
        <v>466</v>
      </c>
      <c r="E269" s="525" t="s">
        <v>1274</v>
      </c>
      <c r="F269" s="526" t="s">
        <v>1275</v>
      </c>
      <c r="G269" s="525" t="s">
        <v>1638</v>
      </c>
      <c r="H269" s="525" t="s">
        <v>1639</v>
      </c>
      <c r="I269" s="527">
        <v>31.36</v>
      </c>
      <c r="J269" s="527">
        <v>10</v>
      </c>
      <c r="K269" s="528">
        <v>313.61</v>
      </c>
    </row>
    <row r="270" spans="1:11" ht="14.4" customHeight="1" x14ac:dyDescent="0.3">
      <c r="A270" s="523" t="s">
        <v>443</v>
      </c>
      <c r="B270" s="524" t="s">
        <v>445</v>
      </c>
      <c r="C270" s="525" t="s">
        <v>465</v>
      </c>
      <c r="D270" s="526" t="s">
        <v>466</v>
      </c>
      <c r="E270" s="525" t="s">
        <v>1274</v>
      </c>
      <c r="F270" s="526" t="s">
        <v>1275</v>
      </c>
      <c r="G270" s="525" t="s">
        <v>1640</v>
      </c>
      <c r="H270" s="525" t="s">
        <v>1641</v>
      </c>
      <c r="I270" s="527">
        <v>40</v>
      </c>
      <c r="J270" s="527">
        <v>3</v>
      </c>
      <c r="K270" s="528">
        <v>119.99</v>
      </c>
    </row>
    <row r="271" spans="1:11" ht="14.4" customHeight="1" x14ac:dyDescent="0.3">
      <c r="A271" s="523" t="s">
        <v>443</v>
      </c>
      <c r="B271" s="524" t="s">
        <v>445</v>
      </c>
      <c r="C271" s="525" t="s">
        <v>465</v>
      </c>
      <c r="D271" s="526" t="s">
        <v>466</v>
      </c>
      <c r="E271" s="525" t="s">
        <v>1274</v>
      </c>
      <c r="F271" s="526" t="s">
        <v>1275</v>
      </c>
      <c r="G271" s="525" t="s">
        <v>1642</v>
      </c>
      <c r="H271" s="525" t="s">
        <v>1643</v>
      </c>
      <c r="I271" s="527">
        <v>150.86000000000001</v>
      </c>
      <c r="J271" s="527">
        <v>25</v>
      </c>
      <c r="K271" s="528">
        <v>3771.57</v>
      </c>
    </row>
    <row r="272" spans="1:11" ht="14.4" customHeight="1" x14ac:dyDescent="0.3">
      <c r="A272" s="523" t="s">
        <v>443</v>
      </c>
      <c r="B272" s="524" t="s">
        <v>445</v>
      </c>
      <c r="C272" s="525" t="s">
        <v>465</v>
      </c>
      <c r="D272" s="526" t="s">
        <v>466</v>
      </c>
      <c r="E272" s="525" t="s">
        <v>1274</v>
      </c>
      <c r="F272" s="526" t="s">
        <v>1275</v>
      </c>
      <c r="G272" s="525" t="s">
        <v>1644</v>
      </c>
      <c r="H272" s="525" t="s">
        <v>1645</v>
      </c>
      <c r="I272" s="527">
        <v>431.87</v>
      </c>
      <c r="J272" s="527">
        <v>10</v>
      </c>
      <c r="K272" s="528">
        <v>4318.71</v>
      </c>
    </row>
    <row r="273" spans="1:11" ht="14.4" customHeight="1" x14ac:dyDescent="0.3">
      <c r="A273" s="523" t="s">
        <v>443</v>
      </c>
      <c r="B273" s="524" t="s">
        <v>445</v>
      </c>
      <c r="C273" s="525" t="s">
        <v>465</v>
      </c>
      <c r="D273" s="526" t="s">
        <v>466</v>
      </c>
      <c r="E273" s="525" t="s">
        <v>1274</v>
      </c>
      <c r="F273" s="526" t="s">
        <v>1275</v>
      </c>
      <c r="G273" s="525" t="s">
        <v>1646</v>
      </c>
      <c r="H273" s="525" t="s">
        <v>1647</v>
      </c>
      <c r="I273" s="527">
        <v>31.36</v>
      </c>
      <c r="J273" s="527">
        <v>10</v>
      </c>
      <c r="K273" s="528">
        <v>313.61</v>
      </c>
    </row>
    <row r="274" spans="1:11" ht="14.4" customHeight="1" x14ac:dyDescent="0.3">
      <c r="A274" s="523" t="s">
        <v>443</v>
      </c>
      <c r="B274" s="524" t="s">
        <v>445</v>
      </c>
      <c r="C274" s="525" t="s">
        <v>465</v>
      </c>
      <c r="D274" s="526" t="s">
        <v>466</v>
      </c>
      <c r="E274" s="525" t="s">
        <v>1274</v>
      </c>
      <c r="F274" s="526" t="s">
        <v>1275</v>
      </c>
      <c r="G274" s="525" t="s">
        <v>1648</v>
      </c>
      <c r="H274" s="525" t="s">
        <v>1649</v>
      </c>
      <c r="I274" s="527">
        <v>31.36</v>
      </c>
      <c r="J274" s="527">
        <v>10</v>
      </c>
      <c r="K274" s="528">
        <v>313.61</v>
      </c>
    </row>
    <row r="275" spans="1:11" ht="14.4" customHeight="1" x14ac:dyDescent="0.3">
      <c r="A275" s="523" t="s">
        <v>443</v>
      </c>
      <c r="B275" s="524" t="s">
        <v>445</v>
      </c>
      <c r="C275" s="525" t="s">
        <v>465</v>
      </c>
      <c r="D275" s="526" t="s">
        <v>466</v>
      </c>
      <c r="E275" s="525" t="s">
        <v>1276</v>
      </c>
      <c r="F275" s="526" t="s">
        <v>1277</v>
      </c>
      <c r="G275" s="525" t="s">
        <v>1392</v>
      </c>
      <c r="H275" s="525" t="s">
        <v>1393</v>
      </c>
      <c r="I275" s="527">
        <v>24.2</v>
      </c>
      <c r="J275" s="527">
        <v>108</v>
      </c>
      <c r="K275" s="528">
        <v>2613.6</v>
      </c>
    </row>
    <row r="276" spans="1:11" ht="14.4" customHeight="1" x14ac:dyDescent="0.3">
      <c r="A276" s="523" t="s">
        <v>443</v>
      </c>
      <c r="B276" s="524" t="s">
        <v>445</v>
      </c>
      <c r="C276" s="525" t="s">
        <v>465</v>
      </c>
      <c r="D276" s="526" t="s">
        <v>466</v>
      </c>
      <c r="E276" s="525" t="s">
        <v>1278</v>
      </c>
      <c r="F276" s="526" t="s">
        <v>1279</v>
      </c>
      <c r="G276" s="525" t="s">
        <v>1650</v>
      </c>
      <c r="H276" s="525" t="s">
        <v>1651</v>
      </c>
      <c r="I276" s="527">
        <v>108.06</v>
      </c>
      <c r="J276" s="527">
        <v>2</v>
      </c>
      <c r="K276" s="528">
        <v>216.11</v>
      </c>
    </row>
    <row r="277" spans="1:11" ht="14.4" customHeight="1" x14ac:dyDescent="0.3">
      <c r="A277" s="523" t="s">
        <v>443</v>
      </c>
      <c r="B277" s="524" t="s">
        <v>445</v>
      </c>
      <c r="C277" s="525" t="s">
        <v>465</v>
      </c>
      <c r="D277" s="526" t="s">
        <v>466</v>
      </c>
      <c r="E277" s="525" t="s">
        <v>1280</v>
      </c>
      <c r="F277" s="526" t="s">
        <v>1281</v>
      </c>
      <c r="G277" s="525" t="s">
        <v>1652</v>
      </c>
      <c r="H277" s="525" t="s">
        <v>1653</v>
      </c>
      <c r="I277" s="527">
        <v>881.79599999999994</v>
      </c>
      <c r="J277" s="527">
        <v>50</v>
      </c>
      <c r="K277" s="528">
        <v>44981.749999999993</v>
      </c>
    </row>
    <row r="278" spans="1:11" ht="14.4" customHeight="1" x14ac:dyDescent="0.3">
      <c r="A278" s="523" t="s">
        <v>443</v>
      </c>
      <c r="B278" s="524" t="s">
        <v>445</v>
      </c>
      <c r="C278" s="525" t="s">
        <v>465</v>
      </c>
      <c r="D278" s="526" t="s">
        <v>466</v>
      </c>
      <c r="E278" s="525" t="s">
        <v>1280</v>
      </c>
      <c r="F278" s="526" t="s">
        <v>1281</v>
      </c>
      <c r="G278" s="525" t="s">
        <v>1654</v>
      </c>
      <c r="H278" s="525" t="s">
        <v>1655</v>
      </c>
      <c r="I278" s="527">
        <v>403.24000000000007</v>
      </c>
      <c r="J278" s="527">
        <v>60</v>
      </c>
      <c r="K278" s="528">
        <v>24684</v>
      </c>
    </row>
    <row r="279" spans="1:11" ht="14.4" customHeight="1" x14ac:dyDescent="0.3">
      <c r="A279" s="523" t="s">
        <v>443</v>
      </c>
      <c r="B279" s="524" t="s">
        <v>445</v>
      </c>
      <c r="C279" s="525" t="s">
        <v>465</v>
      </c>
      <c r="D279" s="526" t="s">
        <v>466</v>
      </c>
      <c r="E279" s="525" t="s">
        <v>1280</v>
      </c>
      <c r="F279" s="526" t="s">
        <v>1281</v>
      </c>
      <c r="G279" s="525" t="s">
        <v>1656</v>
      </c>
      <c r="H279" s="525" t="s">
        <v>1657</v>
      </c>
      <c r="I279" s="527">
        <v>391</v>
      </c>
      <c r="J279" s="527">
        <v>10</v>
      </c>
      <c r="K279" s="528">
        <v>4114</v>
      </c>
    </row>
    <row r="280" spans="1:11" ht="14.4" customHeight="1" x14ac:dyDescent="0.3">
      <c r="A280" s="523" t="s">
        <v>443</v>
      </c>
      <c r="B280" s="524" t="s">
        <v>445</v>
      </c>
      <c r="C280" s="525" t="s">
        <v>465</v>
      </c>
      <c r="D280" s="526" t="s">
        <v>466</v>
      </c>
      <c r="E280" s="525" t="s">
        <v>1280</v>
      </c>
      <c r="F280" s="526" t="s">
        <v>1281</v>
      </c>
      <c r="G280" s="525" t="s">
        <v>1658</v>
      </c>
      <c r="H280" s="525" t="s">
        <v>1659</v>
      </c>
      <c r="I280" s="527">
        <v>629.20000000000005</v>
      </c>
      <c r="J280" s="527">
        <v>10</v>
      </c>
      <c r="K280" s="528">
        <v>6292</v>
      </c>
    </row>
    <row r="281" spans="1:11" ht="14.4" customHeight="1" x14ac:dyDescent="0.3">
      <c r="A281" s="523" t="s">
        <v>443</v>
      </c>
      <c r="B281" s="524" t="s">
        <v>445</v>
      </c>
      <c r="C281" s="525" t="s">
        <v>465</v>
      </c>
      <c r="D281" s="526" t="s">
        <v>466</v>
      </c>
      <c r="E281" s="525" t="s">
        <v>1282</v>
      </c>
      <c r="F281" s="526" t="s">
        <v>1283</v>
      </c>
      <c r="G281" s="525" t="s">
        <v>1660</v>
      </c>
      <c r="H281" s="525" t="s">
        <v>1661</v>
      </c>
      <c r="I281" s="527">
        <v>12.566666666666668</v>
      </c>
      <c r="J281" s="527">
        <v>140</v>
      </c>
      <c r="K281" s="528">
        <v>1758.5</v>
      </c>
    </row>
    <row r="282" spans="1:11" ht="14.4" customHeight="1" x14ac:dyDescent="0.3">
      <c r="A282" s="523" t="s">
        <v>443</v>
      </c>
      <c r="B282" s="524" t="s">
        <v>445</v>
      </c>
      <c r="C282" s="525" t="s">
        <v>465</v>
      </c>
      <c r="D282" s="526" t="s">
        <v>466</v>
      </c>
      <c r="E282" s="525" t="s">
        <v>1282</v>
      </c>
      <c r="F282" s="526" t="s">
        <v>1283</v>
      </c>
      <c r="G282" s="525" t="s">
        <v>1662</v>
      </c>
      <c r="H282" s="525" t="s">
        <v>1663</v>
      </c>
      <c r="I282" s="527">
        <v>262.57</v>
      </c>
      <c r="J282" s="527">
        <v>80</v>
      </c>
      <c r="K282" s="528">
        <v>21005.599999999999</v>
      </c>
    </row>
    <row r="283" spans="1:11" ht="14.4" customHeight="1" x14ac:dyDescent="0.3">
      <c r="A283" s="523" t="s">
        <v>443</v>
      </c>
      <c r="B283" s="524" t="s">
        <v>445</v>
      </c>
      <c r="C283" s="525" t="s">
        <v>465</v>
      </c>
      <c r="D283" s="526" t="s">
        <v>466</v>
      </c>
      <c r="E283" s="525" t="s">
        <v>1282</v>
      </c>
      <c r="F283" s="526" t="s">
        <v>1283</v>
      </c>
      <c r="G283" s="525" t="s">
        <v>1664</v>
      </c>
      <c r="H283" s="525" t="s">
        <v>1665</v>
      </c>
      <c r="I283" s="527">
        <v>24.176666666666666</v>
      </c>
      <c r="J283" s="527">
        <v>1100</v>
      </c>
      <c r="K283" s="528">
        <v>26592.959999999999</v>
      </c>
    </row>
    <row r="284" spans="1:11" ht="14.4" customHeight="1" x14ac:dyDescent="0.3">
      <c r="A284" s="523" t="s">
        <v>443</v>
      </c>
      <c r="B284" s="524" t="s">
        <v>445</v>
      </c>
      <c r="C284" s="525" t="s">
        <v>465</v>
      </c>
      <c r="D284" s="526" t="s">
        <v>466</v>
      </c>
      <c r="E284" s="525" t="s">
        <v>1282</v>
      </c>
      <c r="F284" s="526" t="s">
        <v>1283</v>
      </c>
      <c r="G284" s="525" t="s">
        <v>1394</v>
      </c>
      <c r="H284" s="525" t="s">
        <v>1395</v>
      </c>
      <c r="I284" s="527">
        <v>210.51999999999998</v>
      </c>
      <c r="J284" s="527">
        <v>20</v>
      </c>
      <c r="K284" s="528">
        <v>4210.3999999999996</v>
      </c>
    </row>
    <row r="285" spans="1:11" ht="14.4" customHeight="1" x14ac:dyDescent="0.3">
      <c r="A285" s="523" t="s">
        <v>443</v>
      </c>
      <c r="B285" s="524" t="s">
        <v>445</v>
      </c>
      <c r="C285" s="525" t="s">
        <v>465</v>
      </c>
      <c r="D285" s="526" t="s">
        <v>466</v>
      </c>
      <c r="E285" s="525" t="s">
        <v>1284</v>
      </c>
      <c r="F285" s="526" t="s">
        <v>1285</v>
      </c>
      <c r="G285" s="525" t="s">
        <v>1456</v>
      </c>
      <c r="H285" s="525" t="s">
        <v>1457</v>
      </c>
      <c r="I285" s="527">
        <v>55.893333333333331</v>
      </c>
      <c r="J285" s="527">
        <v>108</v>
      </c>
      <c r="K285" s="528">
        <v>6002.05</v>
      </c>
    </row>
    <row r="286" spans="1:11" ht="14.4" customHeight="1" x14ac:dyDescent="0.3">
      <c r="A286" s="523" t="s">
        <v>443</v>
      </c>
      <c r="B286" s="524" t="s">
        <v>445</v>
      </c>
      <c r="C286" s="525" t="s">
        <v>465</v>
      </c>
      <c r="D286" s="526" t="s">
        <v>466</v>
      </c>
      <c r="E286" s="525" t="s">
        <v>1286</v>
      </c>
      <c r="F286" s="526" t="s">
        <v>1287</v>
      </c>
      <c r="G286" s="525" t="s">
        <v>1398</v>
      </c>
      <c r="H286" s="525" t="s">
        <v>1399</v>
      </c>
      <c r="I286" s="527">
        <v>0.3</v>
      </c>
      <c r="J286" s="527">
        <v>2100</v>
      </c>
      <c r="K286" s="528">
        <v>629</v>
      </c>
    </row>
    <row r="287" spans="1:11" ht="14.4" customHeight="1" x14ac:dyDescent="0.3">
      <c r="A287" s="523" t="s">
        <v>443</v>
      </c>
      <c r="B287" s="524" t="s">
        <v>445</v>
      </c>
      <c r="C287" s="525" t="s">
        <v>465</v>
      </c>
      <c r="D287" s="526" t="s">
        <v>466</v>
      </c>
      <c r="E287" s="525" t="s">
        <v>1286</v>
      </c>
      <c r="F287" s="526" t="s">
        <v>1287</v>
      </c>
      <c r="G287" s="525" t="s">
        <v>1666</v>
      </c>
      <c r="H287" s="525" t="s">
        <v>1667</v>
      </c>
      <c r="I287" s="527">
        <v>0.47749999999999998</v>
      </c>
      <c r="J287" s="527">
        <v>1300</v>
      </c>
      <c r="K287" s="528">
        <v>621</v>
      </c>
    </row>
    <row r="288" spans="1:11" ht="14.4" customHeight="1" x14ac:dyDescent="0.3">
      <c r="A288" s="523" t="s">
        <v>443</v>
      </c>
      <c r="B288" s="524" t="s">
        <v>445</v>
      </c>
      <c r="C288" s="525" t="s">
        <v>465</v>
      </c>
      <c r="D288" s="526" t="s">
        <v>466</v>
      </c>
      <c r="E288" s="525" t="s">
        <v>1286</v>
      </c>
      <c r="F288" s="526" t="s">
        <v>1287</v>
      </c>
      <c r="G288" s="525" t="s">
        <v>1400</v>
      </c>
      <c r="H288" s="525" t="s">
        <v>1401</v>
      </c>
      <c r="I288" s="527">
        <v>0.29999999999999993</v>
      </c>
      <c r="J288" s="527">
        <v>10200</v>
      </c>
      <c r="K288" s="528">
        <v>3067</v>
      </c>
    </row>
    <row r="289" spans="1:11" ht="14.4" customHeight="1" x14ac:dyDescent="0.3">
      <c r="A289" s="523" t="s">
        <v>443</v>
      </c>
      <c r="B289" s="524" t="s">
        <v>445</v>
      </c>
      <c r="C289" s="525" t="s">
        <v>465</v>
      </c>
      <c r="D289" s="526" t="s">
        <v>466</v>
      </c>
      <c r="E289" s="525" t="s">
        <v>1286</v>
      </c>
      <c r="F289" s="526" t="s">
        <v>1287</v>
      </c>
      <c r="G289" s="525" t="s">
        <v>1458</v>
      </c>
      <c r="H289" s="525" t="s">
        <v>1459</v>
      </c>
      <c r="I289" s="527">
        <v>0.3</v>
      </c>
      <c r="J289" s="527">
        <v>1200</v>
      </c>
      <c r="K289" s="528">
        <v>361.78999999999996</v>
      </c>
    </row>
    <row r="290" spans="1:11" ht="14.4" customHeight="1" x14ac:dyDescent="0.3">
      <c r="A290" s="523" t="s">
        <v>443</v>
      </c>
      <c r="B290" s="524" t="s">
        <v>445</v>
      </c>
      <c r="C290" s="525" t="s">
        <v>465</v>
      </c>
      <c r="D290" s="526" t="s">
        <v>466</v>
      </c>
      <c r="E290" s="525" t="s">
        <v>1288</v>
      </c>
      <c r="F290" s="526" t="s">
        <v>1289</v>
      </c>
      <c r="G290" s="525" t="s">
        <v>1402</v>
      </c>
      <c r="H290" s="525" t="s">
        <v>1403</v>
      </c>
      <c r="I290" s="527">
        <v>0.79555555555555557</v>
      </c>
      <c r="J290" s="527">
        <v>42000</v>
      </c>
      <c r="K290" s="528">
        <v>33380</v>
      </c>
    </row>
    <row r="291" spans="1:11" ht="14.4" customHeight="1" x14ac:dyDescent="0.3">
      <c r="A291" s="523" t="s">
        <v>443</v>
      </c>
      <c r="B291" s="524" t="s">
        <v>445</v>
      </c>
      <c r="C291" s="525" t="s">
        <v>465</v>
      </c>
      <c r="D291" s="526" t="s">
        <v>466</v>
      </c>
      <c r="E291" s="525" t="s">
        <v>1288</v>
      </c>
      <c r="F291" s="526" t="s">
        <v>1289</v>
      </c>
      <c r="G291" s="525" t="s">
        <v>1668</v>
      </c>
      <c r="H291" s="525" t="s">
        <v>1669</v>
      </c>
      <c r="I291" s="527">
        <v>10.986666666666666</v>
      </c>
      <c r="J291" s="527">
        <v>120</v>
      </c>
      <c r="K291" s="528">
        <v>1318.4</v>
      </c>
    </row>
    <row r="292" spans="1:11" ht="14.4" customHeight="1" x14ac:dyDescent="0.3">
      <c r="A292" s="523" t="s">
        <v>443</v>
      </c>
      <c r="B292" s="524" t="s">
        <v>445</v>
      </c>
      <c r="C292" s="525" t="s">
        <v>465</v>
      </c>
      <c r="D292" s="526" t="s">
        <v>466</v>
      </c>
      <c r="E292" s="525" t="s">
        <v>1288</v>
      </c>
      <c r="F292" s="526" t="s">
        <v>1289</v>
      </c>
      <c r="G292" s="525" t="s">
        <v>1460</v>
      </c>
      <c r="H292" s="525" t="s">
        <v>1461</v>
      </c>
      <c r="I292" s="527">
        <v>10.9175</v>
      </c>
      <c r="J292" s="527">
        <v>1430</v>
      </c>
      <c r="K292" s="528">
        <v>15635.300000000001</v>
      </c>
    </row>
    <row r="293" spans="1:11" ht="14.4" customHeight="1" x14ac:dyDescent="0.3">
      <c r="A293" s="523" t="s">
        <v>443</v>
      </c>
      <c r="B293" s="524" t="s">
        <v>445</v>
      </c>
      <c r="C293" s="525" t="s">
        <v>465</v>
      </c>
      <c r="D293" s="526" t="s">
        <v>466</v>
      </c>
      <c r="E293" s="525" t="s">
        <v>1288</v>
      </c>
      <c r="F293" s="526" t="s">
        <v>1289</v>
      </c>
      <c r="G293" s="525" t="s">
        <v>1462</v>
      </c>
      <c r="H293" s="525" t="s">
        <v>1463</v>
      </c>
      <c r="I293" s="527">
        <v>10.891666666666667</v>
      </c>
      <c r="J293" s="527">
        <v>880</v>
      </c>
      <c r="K293" s="528">
        <v>9614.7999999999993</v>
      </c>
    </row>
    <row r="294" spans="1:11" ht="14.4" customHeight="1" x14ac:dyDescent="0.3">
      <c r="A294" s="523" t="s">
        <v>443</v>
      </c>
      <c r="B294" s="524" t="s">
        <v>445</v>
      </c>
      <c r="C294" s="525" t="s">
        <v>465</v>
      </c>
      <c r="D294" s="526" t="s">
        <v>466</v>
      </c>
      <c r="E294" s="525" t="s">
        <v>1288</v>
      </c>
      <c r="F294" s="526" t="s">
        <v>1289</v>
      </c>
      <c r="G294" s="525" t="s">
        <v>1670</v>
      </c>
      <c r="H294" s="525" t="s">
        <v>1671</v>
      </c>
      <c r="I294" s="527">
        <v>10.96</v>
      </c>
      <c r="J294" s="527">
        <v>180</v>
      </c>
      <c r="K294" s="528">
        <v>1973.8</v>
      </c>
    </row>
    <row r="295" spans="1:11" ht="14.4" customHeight="1" x14ac:dyDescent="0.3">
      <c r="A295" s="523" t="s">
        <v>443</v>
      </c>
      <c r="B295" s="524" t="s">
        <v>445</v>
      </c>
      <c r="C295" s="525" t="s">
        <v>465</v>
      </c>
      <c r="D295" s="526" t="s">
        <v>466</v>
      </c>
      <c r="E295" s="525" t="s">
        <v>1288</v>
      </c>
      <c r="F295" s="526" t="s">
        <v>1289</v>
      </c>
      <c r="G295" s="525" t="s">
        <v>1672</v>
      </c>
      <c r="H295" s="525" t="s">
        <v>1673</v>
      </c>
      <c r="I295" s="527">
        <v>10.37</v>
      </c>
      <c r="J295" s="527">
        <v>50</v>
      </c>
      <c r="K295" s="528">
        <v>518.5</v>
      </c>
    </row>
    <row r="296" spans="1:11" ht="14.4" customHeight="1" x14ac:dyDescent="0.3">
      <c r="A296" s="523" t="s">
        <v>443</v>
      </c>
      <c r="B296" s="524" t="s">
        <v>445</v>
      </c>
      <c r="C296" s="525" t="s">
        <v>465</v>
      </c>
      <c r="D296" s="526" t="s">
        <v>466</v>
      </c>
      <c r="E296" s="525" t="s">
        <v>1290</v>
      </c>
      <c r="F296" s="526" t="s">
        <v>1291</v>
      </c>
      <c r="G296" s="525" t="s">
        <v>1674</v>
      </c>
      <c r="H296" s="525" t="s">
        <v>1675</v>
      </c>
      <c r="I296" s="527">
        <v>152.46</v>
      </c>
      <c r="J296" s="527">
        <v>5</v>
      </c>
      <c r="K296" s="528">
        <v>762.30000000000007</v>
      </c>
    </row>
    <row r="297" spans="1:11" ht="14.4" customHeight="1" x14ac:dyDescent="0.3">
      <c r="A297" s="523" t="s">
        <v>443</v>
      </c>
      <c r="B297" s="524" t="s">
        <v>445</v>
      </c>
      <c r="C297" s="525" t="s">
        <v>465</v>
      </c>
      <c r="D297" s="526" t="s">
        <v>466</v>
      </c>
      <c r="E297" s="525" t="s">
        <v>1290</v>
      </c>
      <c r="F297" s="526" t="s">
        <v>1291</v>
      </c>
      <c r="G297" s="525" t="s">
        <v>1676</v>
      </c>
      <c r="H297" s="525" t="s">
        <v>1677</v>
      </c>
      <c r="I297" s="527">
        <v>11.483825926745713</v>
      </c>
      <c r="J297" s="527">
        <v>80</v>
      </c>
      <c r="K297" s="528">
        <v>918.70607413965706</v>
      </c>
    </row>
    <row r="298" spans="1:11" ht="14.4" customHeight="1" x14ac:dyDescent="0.3">
      <c r="A298" s="523" t="s">
        <v>443</v>
      </c>
      <c r="B298" s="524" t="s">
        <v>445</v>
      </c>
      <c r="C298" s="525" t="s">
        <v>465</v>
      </c>
      <c r="D298" s="526" t="s">
        <v>466</v>
      </c>
      <c r="E298" s="525" t="s">
        <v>1290</v>
      </c>
      <c r="F298" s="526" t="s">
        <v>1291</v>
      </c>
      <c r="G298" s="525" t="s">
        <v>1678</v>
      </c>
      <c r="H298" s="525" t="s">
        <v>1679</v>
      </c>
      <c r="I298" s="527">
        <v>56.999999007515797</v>
      </c>
      <c r="J298" s="527">
        <v>3</v>
      </c>
      <c r="K298" s="528">
        <v>170.9999970225474</v>
      </c>
    </row>
    <row r="299" spans="1:11" ht="14.4" customHeight="1" x14ac:dyDescent="0.3">
      <c r="A299" s="523" t="s">
        <v>443</v>
      </c>
      <c r="B299" s="524" t="s">
        <v>445</v>
      </c>
      <c r="C299" s="525" t="s">
        <v>465</v>
      </c>
      <c r="D299" s="526" t="s">
        <v>466</v>
      </c>
      <c r="E299" s="525" t="s">
        <v>1290</v>
      </c>
      <c r="F299" s="526" t="s">
        <v>1291</v>
      </c>
      <c r="G299" s="525" t="s">
        <v>1680</v>
      </c>
      <c r="H299" s="525" t="s">
        <v>1681</v>
      </c>
      <c r="I299" s="527">
        <v>1681.9</v>
      </c>
      <c r="J299" s="527">
        <v>1</v>
      </c>
      <c r="K299" s="528">
        <v>1681.9</v>
      </c>
    </row>
    <row r="300" spans="1:11" ht="14.4" customHeight="1" x14ac:dyDescent="0.3">
      <c r="A300" s="523" t="s">
        <v>443</v>
      </c>
      <c r="B300" s="524" t="s">
        <v>445</v>
      </c>
      <c r="C300" s="525" t="s">
        <v>465</v>
      </c>
      <c r="D300" s="526" t="s">
        <v>466</v>
      </c>
      <c r="E300" s="525" t="s">
        <v>1290</v>
      </c>
      <c r="F300" s="526" t="s">
        <v>1291</v>
      </c>
      <c r="G300" s="525" t="s">
        <v>1682</v>
      </c>
      <c r="H300" s="525" t="s">
        <v>1683</v>
      </c>
      <c r="I300" s="527">
        <v>20769.103999999999</v>
      </c>
      <c r="J300" s="527">
        <v>8.5</v>
      </c>
      <c r="K300" s="528">
        <v>177203.43000000002</v>
      </c>
    </row>
    <row r="301" spans="1:11" ht="14.4" customHeight="1" x14ac:dyDescent="0.3">
      <c r="A301" s="523" t="s">
        <v>443</v>
      </c>
      <c r="B301" s="524" t="s">
        <v>445</v>
      </c>
      <c r="C301" s="525" t="s">
        <v>465</v>
      </c>
      <c r="D301" s="526" t="s">
        <v>466</v>
      </c>
      <c r="E301" s="525" t="s">
        <v>1290</v>
      </c>
      <c r="F301" s="526" t="s">
        <v>1291</v>
      </c>
      <c r="G301" s="525" t="s">
        <v>1684</v>
      </c>
      <c r="H301" s="525" t="s">
        <v>1685</v>
      </c>
      <c r="I301" s="527">
        <v>10.3697999999999</v>
      </c>
      <c r="J301" s="527">
        <v>20</v>
      </c>
      <c r="K301" s="528">
        <v>207.395999999998</v>
      </c>
    </row>
    <row r="302" spans="1:11" ht="14.4" customHeight="1" x14ac:dyDescent="0.3">
      <c r="A302" s="523" t="s">
        <v>443</v>
      </c>
      <c r="B302" s="524" t="s">
        <v>445</v>
      </c>
      <c r="C302" s="525" t="s">
        <v>465</v>
      </c>
      <c r="D302" s="526" t="s">
        <v>466</v>
      </c>
      <c r="E302" s="525" t="s">
        <v>1290</v>
      </c>
      <c r="F302" s="526" t="s">
        <v>1291</v>
      </c>
      <c r="G302" s="525" t="s">
        <v>1686</v>
      </c>
      <c r="H302" s="525" t="s">
        <v>1687</v>
      </c>
      <c r="I302" s="527">
        <v>138.01314422915172</v>
      </c>
      <c r="J302" s="527">
        <v>147</v>
      </c>
      <c r="K302" s="528">
        <v>20271.40589731752</v>
      </c>
    </row>
    <row r="303" spans="1:11" ht="14.4" customHeight="1" thickBot="1" x14ac:dyDescent="0.35">
      <c r="A303" s="529" t="s">
        <v>443</v>
      </c>
      <c r="B303" s="530" t="s">
        <v>445</v>
      </c>
      <c r="C303" s="531" t="s">
        <v>465</v>
      </c>
      <c r="D303" s="532" t="s">
        <v>466</v>
      </c>
      <c r="E303" s="531" t="s">
        <v>1290</v>
      </c>
      <c r="F303" s="532" t="s">
        <v>1291</v>
      </c>
      <c r="G303" s="531" t="s">
        <v>1688</v>
      </c>
      <c r="H303" s="531" t="s">
        <v>1689</v>
      </c>
      <c r="I303" s="533">
        <v>2418.79</v>
      </c>
      <c r="J303" s="533">
        <v>2</v>
      </c>
      <c r="K303" s="534">
        <v>4837.58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291" customWidth="1"/>
    <col min="3" max="3" width="0.109375" style="69" hidden="1" customWidth="1"/>
    <col min="4" max="4" width="7.77734375" style="291" customWidth="1"/>
    <col min="5" max="5" width="5.44140625" style="69" hidden="1" customWidth="1"/>
    <col min="6" max="6" width="7.77734375" style="291" customWidth="1"/>
    <col min="7" max="7" width="7.77734375" style="90" customWidth="1"/>
    <col min="8" max="8" width="7.77734375" style="291" customWidth="1"/>
    <col min="9" max="9" width="5.44140625" style="69" hidden="1" customWidth="1"/>
    <col min="10" max="10" width="7.77734375" style="291" customWidth="1"/>
    <col min="11" max="11" width="5.44140625" style="69" hidden="1" customWidth="1"/>
    <col min="12" max="12" width="7.77734375" style="291" customWidth="1"/>
    <col min="13" max="13" width="7.77734375" style="90" customWidth="1"/>
    <col min="14" max="14" width="7.77734375" style="291" customWidth="1"/>
    <col min="15" max="15" width="5" style="69" hidden="1" customWidth="1"/>
    <col min="16" max="16" width="7.77734375" style="291" customWidth="1"/>
    <col min="17" max="17" width="5" style="69" hidden="1" customWidth="1"/>
    <col min="18" max="18" width="7.77734375" style="291" customWidth="1"/>
    <col min="19" max="19" width="7.77734375" style="90" customWidth="1"/>
    <col min="20" max="16384" width="8.88671875" style="69"/>
  </cols>
  <sheetData>
    <row r="1" spans="1:19" ht="18.600000000000001" customHeight="1" thickBot="1" x14ac:dyDescent="0.4">
      <c r="A1" s="380" t="s">
        <v>179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</row>
    <row r="2" spans="1:19" ht="14.4" customHeight="1" thickBot="1" x14ac:dyDescent="0.35">
      <c r="A2" s="478" t="s">
        <v>215</v>
      </c>
      <c r="B2" s="281"/>
      <c r="C2" s="135"/>
      <c r="D2" s="281"/>
      <c r="E2" s="135"/>
      <c r="F2" s="281"/>
      <c r="G2" s="251"/>
      <c r="H2" s="281"/>
      <c r="I2" s="135"/>
      <c r="J2" s="281"/>
      <c r="K2" s="135"/>
      <c r="L2" s="281"/>
      <c r="M2" s="251"/>
      <c r="N2" s="281"/>
      <c r="O2" s="135"/>
      <c r="P2" s="281"/>
      <c r="Q2" s="135"/>
      <c r="R2" s="281"/>
      <c r="S2" s="251"/>
    </row>
    <row r="3" spans="1:19" ht="14.4" customHeight="1" thickBot="1" x14ac:dyDescent="0.35">
      <c r="A3" s="358" t="s">
        <v>183</v>
      </c>
      <c r="B3" s="359">
        <f>SUBTOTAL(9,B6:B1048576)</f>
        <v>57125594</v>
      </c>
      <c r="C3" s="360">
        <f t="shared" ref="C3:R3" si="0">SUBTOTAL(9,C6:C1048576)</f>
        <v>1</v>
      </c>
      <c r="D3" s="360">
        <f t="shared" si="0"/>
        <v>54577322</v>
      </c>
      <c r="E3" s="360">
        <f t="shared" si="0"/>
        <v>0.95539176362875111</v>
      </c>
      <c r="F3" s="360">
        <f t="shared" si="0"/>
        <v>60827046</v>
      </c>
      <c r="G3" s="361">
        <f>IF(B3&lt;&gt;0,F3/B3,"")</f>
        <v>1.0647949848889098</v>
      </c>
      <c r="H3" s="359">
        <f t="shared" si="0"/>
        <v>3798117.0799999991</v>
      </c>
      <c r="I3" s="360">
        <f t="shared" si="0"/>
        <v>1</v>
      </c>
      <c r="J3" s="360">
        <f t="shared" si="0"/>
        <v>693038.14999999944</v>
      </c>
      <c r="K3" s="360">
        <f t="shared" si="0"/>
        <v>0.18246887481414859</v>
      </c>
      <c r="L3" s="360">
        <f t="shared" si="0"/>
        <v>825173.19000000006</v>
      </c>
      <c r="M3" s="362">
        <f>IF(H3&lt;&gt;0,L3/H3,"")</f>
        <v>0.21725849220003515</v>
      </c>
      <c r="N3" s="363">
        <f t="shared" si="0"/>
        <v>47674</v>
      </c>
      <c r="O3" s="360">
        <f t="shared" si="0"/>
        <v>1</v>
      </c>
      <c r="P3" s="360">
        <f t="shared" si="0"/>
        <v>48111.38</v>
      </c>
      <c r="Q3" s="360">
        <f t="shared" si="0"/>
        <v>1.0091743927507655</v>
      </c>
      <c r="R3" s="360">
        <f t="shared" si="0"/>
        <v>246571.44</v>
      </c>
      <c r="S3" s="362">
        <f>IF(N3&lt;&gt;0,R3/N3,"")</f>
        <v>5.1720317154004283</v>
      </c>
    </row>
    <row r="4" spans="1:19" ht="14.4" customHeight="1" x14ac:dyDescent="0.3">
      <c r="A4" s="416" t="s">
        <v>156</v>
      </c>
      <c r="B4" s="417" t="s">
        <v>148</v>
      </c>
      <c r="C4" s="418"/>
      <c r="D4" s="418"/>
      <c r="E4" s="418"/>
      <c r="F4" s="418"/>
      <c r="G4" s="419"/>
      <c r="H4" s="417" t="s">
        <v>149</v>
      </c>
      <c r="I4" s="418"/>
      <c r="J4" s="418"/>
      <c r="K4" s="418"/>
      <c r="L4" s="418"/>
      <c r="M4" s="419"/>
      <c r="N4" s="417" t="s">
        <v>150</v>
      </c>
      <c r="O4" s="418"/>
      <c r="P4" s="418"/>
      <c r="Q4" s="418"/>
      <c r="R4" s="418"/>
      <c r="S4" s="419"/>
    </row>
    <row r="5" spans="1:19" ht="14.4" customHeight="1" thickBot="1" x14ac:dyDescent="0.35">
      <c r="A5" s="555"/>
      <c r="B5" s="556">
        <v>2011</v>
      </c>
      <c r="C5" s="557"/>
      <c r="D5" s="557">
        <v>2012</v>
      </c>
      <c r="E5" s="557"/>
      <c r="F5" s="557">
        <v>2013</v>
      </c>
      <c r="G5" s="558" t="s">
        <v>5</v>
      </c>
      <c r="H5" s="556">
        <v>2011</v>
      </c>
      <c r="I5" s="557"/>
      <c r="J5" s="557">
        <v>2012</v>
      </c>
      <c r="K5" s="557"/>
      <c r="L5" s="557">
        <v>2013</v>
      </c>
      <c r="M5" s="558" t="s">
        <v>5</v>
      </c>
      <c r="N5" s="556">
        <v>2011</v>
      </c>
      <c r="O5" s="557"/>
      <c r="P5" s="557">
        <v>2012</v>
      </c>
      <c r="Q5" s="557"/>
      <c r="R5" s="557">
        <v>2013</v>
      </c>
      <c r="S5" s="558" t="s">
        <v>5</v>
      </c>
    </row>
    <row r="6" spans="1:19" ht="14.4" customHeight="1" x14ac:dyDescent="0.3">
      <c r="A6" s="549" t="s">
        <v>1690</v>
      </c>
      <c r="B6" s="559"/>
      <c r="C6" s="518"/>
      <c r="D6" s="559"/>
      <c r="E6" s="518"/>
      <c r="F6" s="559">
        <v>0</v>
      </c>
      <c r="G6" s="539"/>
      <c r="H6" s="559"/>
      <c r="I6" s="518"/>
      <c r="J6" s="559"/>
      <c r="K6" s="518"/>
      <c r="L6" s="559"/>
      <c r="M6" s="539"/>
      <c r="N6" s="559"/>
      <c r="O6" s="518"/>
      <c r="P6" s="559"/>
      <c r="Q6" s="518"/>
      <c r="R6" s="559"/>
      <c r="S6" s="560"/>
    </row>
    <row r="7" spans="1:19" ht="14.4" customHeight="1" thickBot="1" x14ac:dyDescent="0.35">
      <c r="A7" s="563" t="s">
        <v>1691</v>
      </c>
      <c r="B7" s="561">
        <v>57125594</v>
      </c>
      <c r="C7" s="530">
        <v>1</v>
      </c>
      <c r="D7" s="561">
        <v>54577322</v>
      </c>
      <c r="E7" s="530">
        <v>0.95539176362875111</v>
      </c>
      <c r="F7" s="561">
        <v>60827046</v>
      </c>
      <c r="G7" s="541">
        <v>1.0647949848889098</v>
      </c>
      <c r="H7" s="561">
        <v>3798117.0799999991</v>
      </c>
      <c r="I7" s="530">
        <v>1</v>
      </c>
      <c r="J7" s="561">
        <v>693038.14999999944</v>
      </c>
      <c r="K7" s="530">
        <v>0.18246887481414859</v>
      </c>
      <c r="L7" s="561">
        <v>825173.19000000006</v>
      </c>
      <c r="M7" s="541">
        <v>0.21725849220003515</v>
      </c>
      <c r="N7" s="561">
        <v>47674</v>
      </c>
      <c r="O7" s="530">
        <v>1</v>
      </c>
      <c r="P7" s="561">
        <v>48111.38</v>
      </c>
      <c r="Q7" s="530">
        <v>1.0091743927507655</v>
      </c>
      <c r="R7" s="561">
        <v>246571.44</v>
      </c>
      <c r="S7" s="562">
        <v>5.1720317154004283</v>
      </c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5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7" customWidth="1"/>
    <col min="8" max="9" width="9.33203125" style="97" hidden="1" customWidth="1"/>
    <col min="10" max="11" width="11.109375" style="97" customWidth="1"/>
    <col min="12" max="13" width="9.33203125" style="97" hidden="1" customWidth="1"/>
    <col min="14" max="15" width="11.109375" style="97" customWidth="1"/>
    <col min="16" max="16" width="11.109375" style="90" customWidth="1"/>
    <col min="17" max="17" width="11.109375" style="97" customWidth="1"/>
    <col min="18" max="16384" width="8.88671875" style="69"/>
  </cols>
  <sheetData>
    <row r="1" spans="1:17" ht="18.600000000000001" customHeight="1" thickBot="1" x14ac:dyDescent="0.4">
      <c r="A1" s="368" t="s">
        <v>180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17" ht="14.4" customHeight="1" thickBot="1" x14ac:dyDescent="0.4">
      <c r="A2" s="478" t="s">
        <v>215</v>
      </c>
      <c r="B2" s="98"/>
      <c r="C2" s="98"/>
      <c r="D2" s="98"/>
      <c r="E2" s="98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6"/>
      <c r="Q2" s="292"/>
    </row>
    <row r="3" spans="1:17" ht="14.4" customHeight="1" thickBot="1" x14ac:dyDescent="0.35">
      <c r="E3" s="146" t="s">
        <v>183</v>
      </c>
      <c r="F3" s="293">
        <f t="shared" ref="F3:O3" si="0">SUBTOTAL(9,F6:F1048576)</f>
        <v>24052.700000000004</v>
      </c>
      <c r="G3" s="294">
        <f t="shared" si="0"/>
        <v>60971385.079999998</v>
      </c>
      <c r="H3" s="294"/>
      <c r="I3" s="294"/>
      <c r="J3" s="294">
        <f t="shared" si="0"/>
        <v>22909.200000000001</v>
      </c>
      <c r="K3" s="294">
        <f t="shared" si="0"/>
        <v>55318471.530000001</v>
      </c>
      <c r="L3" s="294"/>
      <c r="M3" s="294"/>
      <c r="N3" s="294">
        <f t="shared" si="0"/>
        <v>25198.199999999997</v>
      </c>
      <c r="O3" s="294">
        <f t="shared" si="0"/>
        <v>61898790.629999995</v>
      </c>
      <c r="P3" s="99">
        <f>IF(G3=0,0,O3/G3)</f>
        <v>1.0152105048750846</v>
      </c>
      <c r="Q3" s="295">
        <f>IF(N3=0,0,O3/N3)</f>
        <v>2456.4766780960545</v>
      </c>
    </row>
    <row r="4" spans="1:17" ht="14.4" customHeight="1" x14ac:dyDescent="0.3">
      <c r="A4" s="422" t="s">
        <v>96</v>
      </c>
      <c r="B4" s="421" t="s">
        <v>144</v>
      </c>
      <c r="C4" s="422" t="s">
        <v>145</v>
      </c>
      <c r="D4" s="423" t="s">
        <v>146</v>
      </c>
      <c r="E4" s="424" t="s">
        <v>105</v>
      </c>
      <c r="F4" s="425">
        <v>2011</v>
      </c>
      <c r="G4" s="426"/>
      <c r="H4" s="297"/>
      <c r="I4" s="297"/>
      <c r="J4" s="425">
        <v>2012</v>
      </c>
      <c r="K4" s="426"/>
      <c r="L4" s="297"/>
      <c r="M4" s="297"/>
      <c r="N4" s="425">
        <v>2013</v>
      </c>
      <c r="O4" s="426"/>
      <c r="P4" s="427" t="s">
        <v>5</v>
      </c>
      <c r="Q4" s="420" t="s">
        <v>147</v>
      </c>
    </row>
    <row r="5" spans="1:17" ht="14.4" customHeight="1" thickBot="1" x14ac:dyDescent="0.35">
      <c r="A5" s="564"/>
      <c r="B5" s="565"/>
      <c r="C5" s="564"/>
      <c r="D5" s="566"/>
      <c r="E5" s="567"/>
      <c r="F5" s="568" t="s">
        <v>115</v>
      </c>
      <c r="G5" s="569" t="s">
        <v>17</v>
      </c>
      <c r="H5" s="570"/>
      <c r="I5" s="570"/>
      <c r="J5" s="568" t="s">
        <v>115</v>
      </c>
      <c r="K5" s="569" t="s">
        <v>17</v>
      </c>
      <c r="L5" s="570"/>
      <c r="M5" s="570"/>
      <c r="N5" s="568" t="s">
        <v>115</v>
      </c>
      <c r="O5" s="569" t="s">
        <v>17</v>
      </c>
      <c r="P5" s="571"/>
      <c r="Q5" s="572"/>
    </row>
    <row r="6" spans="1:17" ht="14.4" customHeight="1" x14ac:dyDescent="0.3">
      <c r="A6" s="517" t="s">
        <v>1692</v>
      </c>
      <c r="B6" s="518" t="s">
        <v>1693</v>
      </c>
      <c r="C6" s="518" t="s">
        <v>1694</v>
      </c>
      <c r="D6" s="518" t="s">
        <v>1695</v>
      </c>
      <c r="E6" s="518" t="s">
        <v>1696</v>
      </c>
      <c r="F6" s="521"/>
      <c r="G6" s="521"/>
      <c r="H6" s="521"/>
      <c r="I6" s="521"/>
      <c r="J6" s="521"/>
      <c r="K6" s="521"/>
      <c r="L6" s="521"/>
      <c r="M6" s="521"/>
      <c r="N6" s="521">
        <v>2</v>
      </c>
      <c r="O6" s="521">
        <v>0</v>
      </c>
      <c r="P6" s="539"/>
      <c r="Q6" s="522">
        <v>0</v>
      </c>
    </row>
    <row r="7" spans="1:17" ht="14.4" customHeight="1" x14ac:dyDescent="0.3">
      <c r="A7" s="523" t="s">
        <v>443</v>
      </c>
      <c r="B7" s="524" t="s">
        <v>1697</v>
      </c>
      <c r="C7" s="524" t="s">
        <v>1694</v>
      </c>
      <c r="D7" s="524" t="s">
        <v>1698</v>
      </c>
      <c r="E7" s="524" t="s">
        <v>1699</v>
      </c>
      <c r="F7" s="527"/>
      <c r="G7" s="527"/>
      <c r="H7" s="527"/>
      <c r="I7" s="527"/>
      <c r="J7" s="527">
        <v>1</v>
      </c>
      <c r="K7" s="527">
        <v>644</v>
      </c>
      <c r="L7" s="527"/>
      <c r="M7" s="527">
        <v>644</v>
      </c>
      <c r="N7" s="527"/>
      <c r="O7" s="527"/>
      <c r="P7" s="540"/>
      <c r="Q7" s="528"/>
    </row>
    <row r="8" spans="1:17" ht="14.4" customHeight="1" x14ac:dyDescent="0.3">
      <c r="A8" s="523" t="s">
        <v>443</v>
      </c>
      <c r="B8" s="524" t="s">
        <v>1697</v>
      </c>
      <c r="C8" s="524" t="s">
        <v>1694</v>
      </c>
      <c r="D8" s="524" t="s">
        <v>1700</v>
      </c>
      <c r="E8" s="524" t="s">
        <v>1701</v>
      </c>
      <c r="F8" s="527"/>
      <c r="G8" s="527"/>
      <c r="H8" s="527"/>
      <c r="I8" s="527"/>
      <c r="J8" s="527">
        <v>1</v>
      </c>
      <c r="K8" s="527">
        <v>328</v>
      </c>
      <c r="L8" s="527"/>
      <c r="M8" s="527">
        <v>328</v>
      </c>
      <c r="N8" s="527"/>
      <c r="O8" s="527"/>
      <c r="P8" s="540"/>
      <c r="Q8" s="528"/>
    </row>
    <row r="9" spans="1:17" ht="14.4" customHeight="1" x14ac:dyDescent="0.3">
      <c r="A9" s="523" t="s">
        <v>443</v>
      </c>
      <c r="B9" s="524" t="s">
        <v>1702</v>
      </c>
      <c r="C9" s="524" t="s">
        <v>1703</v>
      </c>
      <c r="D9" s="524" t="s">
        <v>1704</v>
      </c>
      <c r="E9" s="524" t="s">
        <v>1705</v>
      </c>
      <c r="F9" s="527">
        <v>17</v>
      </c>
      <c r="G9" s="527">
        <v>14518</v>
      </c>
      <c r="H9" s="527">
        <v>1</v>
      </c>
      <c r="I9" s="527">
        <v>854</v>
      </c>
      <c r="J9" s="527"/>
      <c r="K9" s="527"/>
      <c r="L9" s="527"/>
      <c r="M9" s="527"/>
      <c r="N9" s="527">
        <v>4</v>
      </c>
      <c r="O9" s="527">
        <v>2128.64</v>
      </c>
      <c r="P9" s="540">
        <v>0.14662074665931946</v>
      </c>
      <c r="Q9" s="528">
        <v>532.16</v>
      </c>
    </row>
    <row r="10" spans="1:17" ht="14.4" customHeight="1" x14ac:dyDescent="0.3">
      <c r="A10" s="523" t="s">
        <v>443</v>
      </c>
      <c r="B10" s="524" t="s">
        <v>1702</v>
      </c>
      <c r="C10" s="524" t="s">
        <v>1703</v>
      </c>
      <c r="D10" s="524" t="s">
        <v>1706</v>
      </c>
      <c r="E10" s="524" t="s">
        <v>1707</v>
      </c>
      <c r="F10" s="527">
        <v>3.4</v>
      </c>
      <c r="G10" s="527">
        <v>8967.5</v>
      </c>
      <c r="H10" s="527">
        <v>1</v>
      </c>
      <c r="I10" s="527">
        <v>2637.5</v>
      </c>
      <c r="J10" s="527"/>
      <c r="K10" s="527"/>
      <c r="L10" s="527"/>
      <c r="M10" s="527"/>
      <c r="N10" s="527">
        <v>0.8</v>
      </c>
      <c r="O10" s="527">
        <v>863.44</v>
      </c>
      <c r="P10" s="540">
        <v>9.6285475327571798E-2</v>
      </c>
      <c r="Q10" s="528">
        <v>1079.3</v>
      </c>
    </row>
    <row r="11" spans="1:17" ht="14.4" customHeight="1" x14ac:dyDescent="0.3">
      <c r="A11" s="523" t="s">
        <v>443</v>
      </c>
      <c r="B11" s="524" t="s">
        <v>1702</v>
      </c>
      <c r="C11" s="524" t="s">
        <v>1703</v>
      </c>
      <c r="D11" s="524" t="s">
        <v>1708</v>
      </c>
      <c r="E11" s="524" t="s">
        <v>1709</v>
      </c>
      <c r="F11" s="527">
        <v>5</v>
      </c>
      <c r="G11" s="527">
        <v>331.35</v>
      </c>
      <c r="H11" s="527">
        <v>1</v>
      </c>
      <c r="I11" s="527">
        <v>66.27000000000001</v>
      </c>
      <c r="J11" s="527"/>
      <c r="K11" s="527"/>
      <c r="L11" s="527"/>
      <c r="M11" s="527"/>
      <c r="N11" s="527"/>
      <c r="O11" s="527"/>
      <c r="P11" s="540"/>
      <c r="Q11" s="528"/>
    </row>
    <row r="12" spans="1:17" ht="14.4" customHeight="1" x14ac:dyDescent="0.3">
      <c r="A12" s="523" t="s">
        <v>443</v>
      </c>
      <c r="B12" s="524" t="s">
        <v>1702</v>
      </c>
      <c r="C12" s="524" t="s">
        <v>1703</v>
      </c>
      <c r="D12" s="524" t="s">
        <v>1710</v>
      </c>
      <c r="E12" s="524" t="s">
        <v>1711</v>
      </c>
      <c r="F12" s="527">
        <v>7</v>
      </c>
      <c r="G12" s="527">
        <v>8823.119999999999</v>
      </c>
      <c r="H12" s="527">
        <v>1</v>
      </c>
      <c r="I12" s="527">
        <v>1260.4457142857141</v>
      </c>
      <c r="J12" s="527"/>
      <c r="K12" s="527"/>
      <c r="L12" s="527"/>
      <c r="M12" s="527"/>
      <c r="N12" s="527"/>
      <c r="O12" s="527"/>
      <c r="P12" s="540"/>
      <c r="Q12" s="528"/>
    </row>
    <row r="13" spans="1:17" ht="14.4" customHeight="1" x14ac:dyDescent="0.3">
      <c r="A13" s="523" t="s">
        <v>443</v>
      </c>
      <c r="B13" s="524" t="s">
        <v>1702</v>
      </c>
      <c r="C13" s="524" t="s">
        <v>1703</v>
      </c>
      <c r="D13" s="524" t="s">
        <v>1712</v>
      </c>
      <c r="E13" s="524" t="s">
        <v>1713</v>
      </c>
      <c r="F13" s="527">
        <v>2</v>
      </c>
      <c r="G13" s="527">
        <v>598.6</v>
      </c>
      <c r="H13" s="527">
        <v>1</v>
      </c>
      <c r="I13" s="527">
        <v>299.3</v>
      </c>
      <c r="J13" s="527"/>
      <c r="K13" s="527"/>
      <c r="L13" s="527"/>
      <c r="M13" s="527"/>
      <c r="N13" s="527"/>
      <c r="O13" s="527"/>
      <c r="P13" s="540"/>
      <c r="Q13" s="528"/>
    </row>
    <row r="14" spans="1:17" ht="14.4" customHeight="1" x14ac:dyDescent="0.3">
      <c r="A14" s="523" t="s">
        <v>443</v>
      </c>
      <c r="B14" s="524" t="s">
        <v>1702</v>
      </c>
      <c r="C14" s="524" t="s">
        <v>1703</v>
      </c>
      <c r="D14" s="524" t="s">
        <v>1714</v>
      </c>
      <c r="E14" s="524" t="s">
        <v>1715</v>
      </c>
      <c r="F14" s="527">
        <v>0.30000000000000004</v>
      </c>
      <c r="G14" s="527">
        <v>105.86</v>
      </c>
      <c r="H14" s="527">
        <v>1</v>
      </c>
      <c r="I14" s="527">
        <v>352.86666666666662</v>
      </c>
      <c r="J14" s="527"/>
      <c r="K14" s="527"/>
      <c r="L14" s="527"/>
      <c r="M14" s="527"/>
      <c r="N14" s="527"/>
      <c r="O14" s="527"/>
      <c r="P14" s="540"/>
      <c r="Q14" s="528"/>
    </row>
    <row r="15" spans="1:17" ht="14.4" customHeight="1" x14ac:dyDescent="0.3">
      <c r="A15" s="523" t="s">
        <v>443</v>
      </c>
      <c r="B15" s="524" t="s">
        <v>1702</v>
      </c>
      <c r="C15" s="524" t="s">
        <v>1703</v>
      </c>
      <c r="D15" s="524" t="s">
        <v>1716</v>
      </c>
      <c r="E15" s="524" t="s">
        <v>1717</v>
      </c>
      <c r="F15" s="527">
        <v>6.7</v>
      </c>
      <c r="G15" s="527">
        <v>753.75</v>
      </c>
      <c r="H15" s="527">
        <v>1</v>
      </c>
      <c r="I15" s="527">
        <v>112.5</v>
      </c>
      <c r="J15" s="527">
        <v>5.6999999999999993</v>
      </c>
      <c r="K15" s="527">
        <v>666.47</v>
      </c>
      <c r="L15" s="527">
        <v>0.88420563847429523</v>
      </c>
      <c r="M15" s="527">
        <v>116.92456140350879</v>
      </c>
      <c r="N15" s="527">
        <v>8.4</v>
      </c>
      <c r="O15" s="527">
        <v>990.3599999999999</v>
      </c>
      <c r="P15" s="540">
        <v>1.3139104477611938</v>
      </c>
      <c r="Q15" s="528">
        <v>117.89999999999998</v>
      </c>
    </row>
    <row r="16" spans="1:17" ht="14.4" customHeight="1" x14ac:dyDescent="0.3">
      <c r="A16" s="523" t="s">
        <v>443</v>
      </c>
      <c r="B16" s="524" t="s">
        <v>1702</v>
      </c>
      <c r="C16" s="524" t="s">
        <v>1703</v>
      </c>
      <c r="D16" s="524" t="s">
        <v>1718</v>
      </c>
      <c r="E16" s="524" t="s">
        <v>1719</v>
      </c>
      <c r="F16" s="527">
        <v>0.60000000000000009</v>
      </c>
      <c r="G16" s="527">
        <v>334.78000000000003</v>
      </c>
      <c r="H16" s="527">
        <v>1</v>
      </c>
      <c r="I16" s="527">
        <v>557.96666666666658</v>
      </c>
      <c r="J16" s="527">
        <v>0.6</v>
      </c>
      <c r="K16" s="527">
        <v>364.5</v>
      </c>
      <c r="L16" s="527">
        <v>1.0887747177250731</v>
      </c>
      <c r="M16" s="527">
        <v>607.5</v>
      </c>
      <c r="N16" s="527">
        <v>0.4</v>
      </c>
      <c r="O16" s="527">
        <v>177.28</v>
      </c>
      <c r="P16" s="540">
        <v>0.52954178863731405</v>
      </c>
      <c r="Q16" s="528">
        <v>443.2</v>
      </c>
    </row>
    <row r="17" spans="1:17" ht="14.4" customHeight="1" x14ac:dyDescent="0.3">
      <c r="A17" s="523" t="s">
        <v>443</v>
      </c>
      <c r="B17" s="524" t="s">
        <v>1702</v>
      </c>
      <c r="C17" s="524" t="s">
        <v>1703</v>
      </c>
      <c r="D17" s="524" t="s">
        <v>1720</v>
      </c>
      <c r="E17" s="524" t="s">
        <v>1721</v>
      </c>
      <c r="F17" s="527">
        <v>4</v>
      </c>
      <c r="G17" s="527">
        <v>1177.76</v>
      </c>
      <c r="H17" s="527">
        <v>1</v>
      </c>
      <c r="I17" s="527">
        <v>294.44</v>
      </c>
      <c r="J17" s="527"/>
      <c r="K17" s="527"/>
      <c r="L17" s="527"/>
      <c r="M17" s="527"/>
      <c r="N17" s="527">
        <v>1</v>
      </c>
      <c r="O17" s="527">
        <v>114.58</v>
      </c>
      <c r="P17" s="540">
        <v>9.7286374133949194E-2</v>
      </c>
      <c r="Q17" s="528">
        <v>114.58</v>
      </c>
    </row>
    <row r="18" spans="1:17" ht="14.4" customHeight="1" x14ac:dyDescent="0.3">
      <c r="A18" s="523" t="s">
        <v>443</v>
      </c>
      <c r="B18" s="524" t="s">
        <v>1702</v>
      </c>
      <c r="C18" s="524" t="s">
        <v>1703</v>
      </c>
      <c r="D18" s="524" t="s">
        <v>1722</v>
      </c>
      <c r="E18" s="524" t="s">
        <v>1723</v>
      </c>
      <c r="F18" s="527"/>
      <c r="G18" s="527"/>
      <c r="H18" s="527"/>
      <c r="I18" s="527"/>
      <c r="J18" s="527">
        <v>3</v>
      </c>
      <c r="K18" s="527">
        <v>204.75</v>
      </c>
      <c r="L18" s="527"/>
      <c r="M18" s="527">
        <v>68.25</v>
      </c>
      <c r="N18" s="527"/>
      <c r="O18" s="527"/>
      <c r="P18" s="540"/>
      <c r="Q18" s="528"/>
    </row>
    <row r="19" spans="1:17" ht="14.4" customHeight="1" x14ac:dyDescent="0.3">
      <c r="A19" s="523" t="s">
        <v>443</v>
      </c>
      <c r="B19" s="524" t="s">
        <v>1702</v>
      </c>
      <c r="C19" s="524" t="s">
        <v>1703</v>
      </c>
      <c r="D19" s="524" t="s">
        <v>1724</v>
      </c>
      <c r="E19" s="524" t="s">
        <v>1725</v>
      </c>
      <c r="F19" s="527">
        <v>6.9</v>
      </c>
      <c r="G19" s="527">
        <v>486.24</v>
      </c>
      <c r="H19" s="527">
        <v>1</v>
      </c>
      <c r="I19" s="527">
        <v>70.469565217391306</v>
      </c>
      <c r="J19" s="527">
        <v>7.0999999999999988</v>
      </c>
      <c r="K19" s="527">
        <v>465.64</v>
      </c>
      <c r="L19" s="527">
        <v>0.95763409016123724</v>
      </c>
      <c r="M19" s="527">
        <v>65.583098591549302</v>
      </c>
      <c r="N19" s="527">
        <v>10.899999999999999</v>
      </c>
      <c r="O19" s="527">
        <v>527.55999999999995</v>
      </c>
      <c r="P19" s="540">
        <v>1.0849786113853239</v>
      </c>
      <c r="Q19" s="528">
        <v>48.4</v>
      </c>
    </row>
    <row r="20" spans="1:17" ht="14.4" customHeight="1" x14ac:dyDescent="0.3">
      <c r="A20" s="523" t="s">
        <v>443</v>
      </c>
      <c r="B20" s="524" t="s">
        <v>1702</v>
      </c>
      <c r="C20" s="524" t="s">
        <v>1703</v>
      </c>
      <c r="D20" s="524" t="s">
        <v>1726</v>
      </c>
      <c r="E20" s="524" t="s">
        <v>1727</v>
      </c>
      <c r="F20" s="527">
        <v>2</v>
      </c>
      <c r="G20" s="527">
        <v>4384.9399999999996</v>
      </c>
      <c r="H20" s="527">
        <v>1</v>
      </c>
      <c r="I20" s="527">
        <v>2192.4699999999998</v>
      </c>
      <c r="J20" s="527"/>
      <c r="K20" s="527"/>
      <c r="L20" s="527"/>
      <c r="M20" s="527"/>
      <c r="N20" s="527"/>
      <c r="O20" s="527"/>
      <c r="P20" s="540"/>
      <c r="Q20" s="528"/>
    </row>
    <row r="21" spans="1:17" ht="14.4" customHeight="1" x14ac:dyDescent="0.3">
      <c r="A21" s="523" t="s">
        <v>443</v>
      </c>
      <c r="B21" s="524" t="s">
        <v>1702</v>
      </c>
      <c r="C21" s="524" t="s">
        <v>1703</v>
      </c>
      <c r="D21" s="524" t="s">
        <v>1728</v>
      </c>
      <c r="E21" s="524" t="s">
        <v>1729</v>
      </c>
      <c r="F21" s="527"/>
      <c r="G21" s="527"/>
      <c r="H21" s="527"/>
      <c r="I21" s="527"/>
      <c r="J21" s="527"/>
      <c r="K21" s="527"/>
      <c r="L21" s="527"/>
      <c r="M21" s="527"/>
      <c r="N21" s="527">
        <v>0.4</v>
      </c>
      <c r="O21" s="527">
        <v>1451.2</v>
      </c>
      <c r="P21" s="540"/>
      <c r="Q21" s="528">
        <v>3628</v>
      </c>
    </row>
    <row r="22" spans="1:17" ht="14.4" customHeight="1" x14ac:dyDescent="0.3">
      <c r="A22" s="523" t="s">
        <v>443</v>
      </c>
      <c r="B22" s="524" t="s">
        <v>1702</v>
      </c>
      <c r="C22" s="524" t="s">
        <v>1730</v>
      </c>
      <c r="D22" s="524" t="s">
        <v>1731</v>
      </c>
      <c r="E22" s="524" t="s">
        <v>1732</v>
      </c>
      <c r="F22" s="527">
        <v>25</v>
      </c>
      <c r="G22" s="527">
        <v>38833.25</v>
      </c>
      <c r="H22" s="527">
        <v>1</v>
      </c>
      <c r="I22" s="527">
        <v>1553.33</v>
      </c>
      <c r="J22" s="527">
        <v>12</v>
      </c>
      <c r="K22" s="527">
        <v>18554.88</v>
      </c>
      <c r="L22" s="527">
        <v>0.47780909401093136</v>
      </c>
      <c r="M22" s="527">
        <v>1546.24</v>
      </c>
      <c r="N22" s="527">
        <v>6</v>
      </c>
      <c r="O22" s="527">
        <v>9548.68</v>
      </c>
      <c r="P22" s="540">
        <v>0.24588928302421251</v>
      </c>
      <c r="Q22" s="528">
        <v>1591.4466666666667</v>
      </c>
    </row>
    <row r="23" spans="1:17" ht="14.4" customHeight="1" x14ac:dyDescent="0.3">
      <c r="A23" s="523" t="s">
        <v>443</v>
      </c>
      <c r="B23" s="524" t="s">
        <v>1702</v>
      </c>
      <c r="C23" s="524" t="s">
        <v>1730</v>
      </c>
      <c r="D23" s="524" t="s">
        <v>1733</v>
      </c>
      <c r="E23" s="524" t="s">
        <v>1734</v>
      </c>
      <c r="F23" s="527"/>
      <c r="G23" s="527"/>
      <c r="H23" s="527"/>
      <c r="I23" s="527"/>
      <c r="J23" s="527">
        <v>4</v>
      </c>
      <c r="K23" s="527">
        <v>14681.3</v>
      </c>
      <c r="L23" s="527"/>
      <c r="M23" s="527">
        <v>3670.3249999999998</v>
      </c>
      <c r="N23" s="527"/>
      <c r="O23" s="527"/>
      <c r="P23" s="540"/>
      <c r="Q23" s="528"/>
    </row>
    <row r="24" spans="1:17" ht="14.4" customHeight="1" x14ac:dyDescent="0.3">
      <c r="A24" s="523" t="s">
        <v>443</v>
      </c>
      <c r="B24" s="524" t="s">
        <v>1702</v>
      </c>
      <c r="C24" s="524" t="s">
        <v>1730</v>
      </c>
      <c r="D24" s="524" t="s">
        <v>1735</v>
      </c>
      <c r="E24" s="524" t="s">
        <v>1736</v>
      </c>
      <c r="F24" s="527">
        <v>25</v>
      </c>
      <c r="G24" s="527">
        <v>4736</v>
      </c>
      <c r="H24" s="527">
        <v>1</v>
      </c>
      <c r="I24" s="527">
        <v>189.44</v>
      </c>
      <c r="J24" s="527">
        <v>12</v>
      </c>
      <c r="K24" s="527">
        <v>2593.5299999999997</v>
      </c>
      <c r="L24" s="527">
        <v>0.5476203547297297</v>
      </c>
      <c r="M24" s="527">
        <v>216.12749999999997</v>
      </c>
      <c r="N24" s="527">
        <v>6</v>
      </c>
      <c r="O24" s="527">
        <v>1425.1</v>
      </c>
      <c r="P24" s="540">
        <v>0.30090793918918918</v>
      </c>
      <c r="Q24" s="528">
        <v>237.51666666666665</v>
      </c>
    </row>
    <row r="25" spans="1:17" ht="14.4" customHeight="1" x14ac:dyDescent="0.3">
      <c r="A25" s="523" t="s">
        <v>443</v>
      </c>
      <c r="B25" s="524" t="s">
        <v>1702</v>
      </c>
      <c r="C25" s="524" t="s">
        <v>1694</v>
      </c>
      <c r="D25" s="524" t="s">
        <v>1737</v>
      </c>
      <c r="E25" s="524" t="s">
        <v>1738</v>
      </c>
      <c r="F25" s="527">
        <v>7879</v>
      </c>
      <c r="G25" s="527">
        <v>7398381</v>
      </c>
      <c r="H25" s="527">
        <v>1</v>
      </c>
      <c r="I25" s="527">
        <v>939</v>
      </c>
      <c r="J25" s="527">
        <v>7031</v>
      </c>
      <c r="K25" s="527">
        <v>6642069</v>
      </c>
      <c r="L25" s="527">
        <v>0.89777331013366302</v>
      </c>
      <c r="M25" s="527">
        <v>944.68340207651829</v>
      </c>
      <c r="N25" s="527">
        <v>7647</v>
      </c>
      <c r="O25" s="527">
        <v>7255263</v>
      </c>
      <c r="P25" s="540">
        <v>0.98065549746627001</v>
      </c>
      <c r="Q25" s="528">
        <v>948.77245978815222</v>
      </c>
    </row>
    <row r="26" spans="1:17" ht="14.4" customHeight="1" x14ac:dyDescent="0.3">
      <c r="A26" s="523" t="s">
        <v>443</v>
      </c>
      <c r="B26" s="524" t="s">
        <v>1702</v>
      </c>
      <c r="C26" s="524" t="s">
        <v>1694</v>
      </c>
      <c r="D26" s="524" t="s">
        <v>1739</v>
      </c>
      <c r="E26" s="524" t="s">
        <v>1740</v>
      </c>
      <c r="F26" s="527">
        <v>440</v>
      </c>
      <c r="G26" s="527">
        <v>74360</v>
      </c>
      <c r="H26" s="527">
        <v>1</v>
      </c>
      <c r="I26" s="527">
        <v>169</v>
      </c>
      <c r="J26" s="527">
        <v>395</v>
      </c>
      <c r="K26" s="527">
        <v>67545</v>
      </c>
      <c r="L26" s="527">
        <v>0.90835126412049494</v>
      </c>
      <c r="M26" s="527">
        <v>171</v>
      </c>
      <c r="N26" s="527">
        <v>525</v>
      </c>
      <c r="O26" s="527">
        <v>90825</v>
      </c>
      <c r="P26" s="540">
        <v>1.2214228079612695</v>
      </c>
      <c r="Q26" s="528">
        <v>173</v>
      </c>
    </row>
    <row r="27" spans="1:17" ht="14.4" customHeight="1" x14ac:dyDescent="0.3">
      <c r="A27" s="523" t="s">
        <v>443</v>
      </c>
      <c r="B27" s="524" t="s">
        <v>1702</v>
      </c>
      <c r="C27" s="524" t="s">
        <v>1694</v>
      </c>
      <c r="D27" s="524" t="s">
        <v>1741</v>
      </c>
      <c r="E27" s="524" t="s">
        <v>1742</v>
      </c>
      <c r="F27" s="527">
        <v>1</v>
      </c>
      <c r="G27" s="527">
        <v>102</v>
      </c>
      <c r="H27" s="527">
        <v>1</v>
      </c>
      <c r="I27" s="527">
        <v>102</v>
      </c>
      <c r="J27" s="527">
        <v>1</v>
      </c>
      <c r="K27" s="527">
        <v>102</v>
      </c>
      <c r="L27" s="527">
        <v>1</v>
      </c>
      <c r="M27" s="527">
        <v>102</v>
      </c>
      <c r="N27" s="527"/>
      <c r="O27" s="527"/>
      <c r="P27" s="540"/>
      <c r="Q27" s="528"/>
    </row>
    <row r="28" spans="1:17" ht="14.4" customHeight="1" x14ac:dyDescent="0.3">
      <c r="A28" s="523" t="s">
        <v>443</v>
      </c>
      <c r="B28" s="524" t="s">
        <v>1702</v>
      </c>
      <c r="C28" s="524" t="s">
        <v>1694</v>
      </c>
      <c r="D28" s="524" t="s">
        <v>1743</v>
      </c>
      <c r="E28" s="524" t="s">
        <v>1744</v>
      </c>
      <c r="F28" s="527">
        <v>25</v>
      </c>
      <c r="G28" s="527">
        <v>4575</v>
      </c>
      <c r="H28" s="527">
        <v>1</v>
      </c>
      <c r="I28" s="527">
        <v>183</v>
      </c>
      <c r="J28" s="527">
        <v>12</v>
      </c>
      <c r="K28" s="527">
        <v>2220</v>
      </c>
      <c r="L28" s="527">
        <v>0.48524590163934428</v>
      </c>
      <c r="M28" s="527">
        <v>185</v>
      </c>
      <c r="N28" s="527">
        <v>6</v>
      </c>
      <c r="O28" s="527">
        <v>1110</v>
      </c>
      <c r="P28" s="540">
        <v>0.24262295081967214</v>
      </c>
      <c r="Q28" s="528">
        <v>185</v>
      </c>
    </row>
    <row r="29" spans="1:17" ht="14.4" customHeight="1" x14ac:dyDescent="0.3">
      <c r="A29" s="523" t="s">
        <v>443</v>
      </c>
      <c r="B29" s="524" t="s">
        <v>1702</v>
      </c>
      <c r="C29" s="524" t="s">
        <v>1694</v>
      </c>
      <c r="D29" s="524" t="s">
        <v>1745</v>
      </c>
      <c r="E29" s="524" t="s">
        <v>1746</v>
      </c>
      <c r="F29" s="527">
        <v>23</v>
      </c>
      <c r="G29" s="527">
        <v>22448</v>
      </c>
      <c r="H29" s="527">
        <v>1</v>
      </c>
      <c r="I29" s="527">
        <v>976</v>
      </c>
      <c r="J29" s="527">
        <v>20</v>
      </c>
      <c r="K29" s="527">
        <v>19560</v>
      </c>
      <c r="L29" s="527">
        <v>0.87134711332858161</v>
      </c>
      <c r="M29" s="527">
        <v>978</v>
      </c>
      <c r="N29" s="527">
        <v>11</v>
      </c>
      <c r="O29" s="527">
        <v>10780</v>
      </c>
      <c r="P29" s="540">
        <v>0.48022095509622237</v>
      </c>
      <c r="Q29" s="528">
        <v>980</v>
      </c>
    </row>
    <row r="30" spans="1:17" ht="14.4" customHeight="1" x14ac:dyDescent="0.3">
      <c r="A30" s="523" t="s">
        <v>443</v>
      </c>
      <c r="B30" s="524" t="s">
        <v>1702</v>
      </c>
      <c r="C30" s="524" t="s">
        <v>1694</v>
      </c>
      <c r="D30" s="524" t="s">
        <v>1747</v>
      </c>
      <c r="E30" s="524" t="s">
        <v>1748</v>
      </c>
      <c r="F30" s="527"/>
      <c r="G30" s="527"/>
      <c r="H30" s="527"/>
      <c r="I30" s="527"/>
      <c r="J30" s="527">
        <v>1</v>
      </c>
      <c r="K30" s="527">
        <v>418</v>
      </c>
      <c r="L30" s="527"/>
      <c r="M30" s="527">
        <v>418</v>
      </c>
      <c r="N30" s="527"/>
      <c r="O30" s="527"/>
      <c r="P30" s="540"/>
      <c r="Q30" s="528"/>
    </row>
    <row r="31" spans="1:17" ht="14.4" customHeight="1" x14ac:dyDescent="0.3">
      <c r="A31" s="523" t="s">
        <v>443</v>
      </c>
      <c r="B31" s="524" t="s">
        <v>1702</v>
      </c>
      <c r="C31" s="524" t="s">
        <v>1694</v>
      </c>
      <c r="D31" s="524" t="s">
        <v>1698</v>
      </c>
      <c r="E31" s="524" t="s">
        <v>1699</v>
      </c>
      <c r="F31" s="527">
        <v>1501</v>
      </c>
      <c r="G31" s="527">
        <v>963642</v>
      </c>
      <c r="H31" s="527">
        <v>1</v>
      </c>
      <c r="I31" s="527">
        <v>642</v>
      </c>
      <c r="J31" s="527">
        <v>1388</v>
      </c>
      <c r="K31" s="527">
        <v>893836</v>
      </c>
      <c r="L31" s="527">
        <v>0.92756023502504037</v>
      </c>
      <c r="M31" s="527">
        <v>643.97406340057637</v>
      </c>
      <c r="N31" s="527">
        <v>1545</v>
      </c>
      <c r="O31" s="527">
        <v>996508</v>
      </c>
      <c r="P31" s="540">
        <v>1.0341060269270124</v>
      </c>
      <c r="Q31" s="528">
        <v>644.98899676375402</v>
      </c>
    </row>
    <row r="32" spans="1:17" ht="14.4" customHeight="1" x14ac:dyDescent="0.3">
      <c r="A32" s="523" t="s">
        <v>443</v>
      </c>
      <c r="B32" s="524" t="s">
        <v>1702</v>
      </c>
      <c r="C32" s="524" t="s">
        <v>1694</v>
      </c>
      <c r="D32" s="524" t="s">
        <v>1700</v>
      </c>
      <c r="E32" s="524" t="s">
        <v>1701</v>
      </c>
      <c r="F32" s="527">
        <v>1634</v>
      </c>
      <c r="G32" s="527">
        <v>532684</v>
      </c>
      <c r="H32" s="527">
        <v>1</v>
      </c>
      <c r="I32" s="527">
        <v>326</v>
      </c>
      <c r="J32" s="527">
        <v>1519</v>
      </c>
      <c r="K32" s="527">
        <v>498226</v>
      </c>
      <c r="L32" s="527">
        <v>0.93531249296017904</v>
      </c>
      <c r="M32" s="527">
        <v>327.9960500329164</v>
      </c>
      <c r="N32" s="527">
        <v>1686</v>
      </c>
      <c r="O32" s="527">
        <v>551323</v>
      </c>
      <c r="P32" s="540">
        <v>1.0349907262091596</v>
      </c>
      <c r="Q32" s="528">
        <v>327.00059311981022</v>
      </c>
    </row>
    <row r="33" spans="1:17" ht="14.4" customHeight="1" x14ac:dyDescent="0.3">
      <c r="A33" s="523" t="s">
        <v>443</v>
      </c>
      <c r="B33" s="524" t="s">
        <v>1702</v>
      </c>
      <c r="C33" s="524" t="s">
        <v>1694</v>
      </c>
      <c r="D33" s="524" t="s">
        <v>1749</v>
      </c>
      <c r="E33" s="524" t="s">
        <v>1750</v>
      </c>
      <c r="F33" s="527">
        <v>277</v>
      </c>
      <c r="G33" s="527">
        <v>39888</v>
      </c>
      <c r="H33" s="527">
        <v>1</v>
      </c>
      <c r="I33" s="527">
        <v>144</v>
      </c>
      <c r="J33" s="527">
        <v>265</v>
      </c>
      <c r="K33" s="527">
        <v>38160</v>
      </c>
      <c r="L33" s="527">
        <v>0.95667870036101088</v>
      </c>
      <c r="M33" s="527">
        <v>144</v>
      </c>
      <c r="N33" s="527">
        <v>254</v>
      </c>
      <c r="O33" s="527">
        <v>36829</v>
      </c>
      <c r="P33" s="540">
        <v>0.92331026875250699</v>
      </c>
      <c r="Q33" s="528">
        <v>144.99606299212599</v>
      </c>
    </row>
    <row r="34" spans="1:17" ht="14.4" customHeight="1" x14ac:dyDescent="0.3">
      <c r="A34" s="523" t="s">
        <v>443</v>
      </c>
      <c r="B34" s="524" t="s">
        <v>1702</v>
      </c>
      <c r="C34" s="524" t="s">
        <v>1694</v>
      </c>
      <c r="D34" s="524" t="s">
        <v>1751</v>
      </c>
      <c r="E34" s="524" t="s">
        <v>1752</v>
      </c>
      <c r="F34" s="527">
        <v>1</v>
      </c>
      <c r="G34" s="527">
        <v>824</v>
      </c>
      <c r="H34" s="527">
        <v>1</v>
      </c>
      <c r="I34" s="527">
        <v>824</v>
      </c>
      <c r="J34" s="527"/>
      <c r="K34" s="527"/>
      <c r="L34" s="527"/>
      <c r="M34" s="527"/>
      <c r="N34" s="527"/>
      <c r="O34" s="527"/>
      <c r="P34" s="540"/>
      <c r="Q34" s="528"/>
    </row>
    <row r="35" spans="1:17" ht="14.4" customHeight="1" x14ac:dyDescent="0.3">
      <c r="A35" s="523" t="s">
        <v>443</v>
      </c>
      <c r="B35" s="524" t="s">
        <v>1702</v>
      </c>
      <c r="C35" s="524" t="s">
        <v>1694</v>
      </c>
      <c r="D35" s="524" t="s">
        <v>1753</v>
      </c>
      <c r="E35" s="524" t="s">
        <v>1754</v>
      </c>
      <c r="F35" s="527">
        <v>998</v>
      </c>
      <c r="G35" s="527">
        <v>193612</v>
      </c>
      <c r="H35" s="527">
        <v>1</v>
      </c>
      <c r="I35" s="527">
        <v>194</v>
      </c>
      <c r="J35" s="527"/>
      <c r="K35" s="527"/>
      <c r="L35" s="527"/>
      <c r="M35" s="527"/>
      <c r="N35" s="527"/>
      <c r="O35" s="527"/>
      <c r="P35" s="540"/>
      <c r="Q35" s="528"/>
    </row>
    <row r="36" spans="1:17" ht="14.4" customHeight="1" x14ac:dyDescent="0.3">
      <c r="A36" s="523" t="s">
        <v>443</v>
      </c>
      <c r="B36" s="524" t="s">
        <v>1702</v>
      </c>
      <c r="C36" s="524" t="s">
        <v>1694</v>
      </c>
      <c r="D36" s="524" t="s">
        <v>1755</v>
      </c>
      <c r="E36" s="524" t="s">
        <v>1756</v>
      </c>
      <c r="F36" s="527">
        <v>0</v>
      </c>
      <c r="G36" s="527">
        <v>0</v>
      </c>
      <c r="H36" s="527"/>
      <c r="I36" s="527"/>
      <c r="J36" s="527">
        <v>0</v>
      </c>
      <c r="K36" s="527">
        <v>0</v>
      </c>
      <c r="L36" s="527"/>
      <c r="M36" s="527"/>
      <c r="N36" s="527">
        <v>0</v>
      </c>
      <c r="O36" s="527">
        <v>0</v>
      </c>
      <c r="P36" s="540"/>
      <c r="Q36" s="528"/>
    </row>
    <row r="37" spans="1:17" ht="14.4" customHeight="1" x14ac:dyDescent="0.3">
      <c r="A37" s="523" t="s">
        <v>443</v>
      </c>
      <c r="B37" s="524" t="s">
        <v>1702</v>
      </c>
      <c r="C37" s="524" t="s">
        <v>1694</v>
      </c>
      <c r="D37" s="524" t="s">
        <v>1757</v>
      </c>
      <c r="E37" s="524" t="s">
        <v>1758</v>
      </c>
      <c r="F37" s="527">
        <v>2637</v>
      </c>
      <c r="G37" s="527">
        <v>0</v>
      </c>
      <c r="H37" s="527"/>
      <c r="I37" s="527">
        <v>0</v>
      </c>
      <c r="J37" s="527">
        <v>3062</v>
      </c>
      <c r="K37" s="527">
        <v>0</v>
      </c>
      <c r="L37" s="527"/>
      <c r="M37" s="527">
        <v>0</v>
      </c>
      <c r="N37" s="527">
        <v>3292</v>
      </c>
      <c r="O37" s="527">
        <v>0</v>
      </c>
      <c r="P37" s="540"/>
      <c r="Q37" s="528">
        <v>0</v>
      </c>
    </row>
    <row r="38" spans="1:17" ht="14.4" customHeight="1" x14ac:dyDescent="0.3">
      <c r="A38" s="523" t="s">
        <v>443</v>
      </c>
      <c r="B38" s="524" t="s">
        <v>1702</v>
      </c>
      <c r="C38" s="524" t="s">
        <v>1694</v>
      </c>
      <c r="D38" s="524" t="s">
        <v>1695</v>
      </c>
      <c r="E38" s="524" t="s">
        <v>1696</v>
      </c>
      <c r="F38" s="527">
        <v>120</v>
      </c>
      <c r="G38" s="527">
        <v>0</v>
      </c>
      <c r="H38" s="527"/>
      <c r="I38" s="527">
        <v>0</v>
      </c>
      <c r="J38" s="527">
        <v>34</v>
      </c>
      <c r="K38" s="527">
        <v>0</v>
      </c>
      <c r="L38" s="527"/>
      <c r="M38" s="527">
        <v>0</v>
      </c>
      <c r="N38" s="527">
        <v>57</v>
      </c>
      <c r="O38" s="527">
        <v>0</v>
      </c>
      <c r="P38" s="540"/>
      <c r="Q38" s="528">
        <v>0</v>
      </c>
    </row>
    <row r="39" spans="1:17" ht="14.4" customHeight="1" x14ac:dyDescent="0.3">
      <c r="A39" s="523" t="s">
        <v>443</v>
      </c>
      <c r="B39" s="524" t="s">
        <v>1702</v>
      </c>
      <c r="C39" s="524" t="s">
        <v>1694</v>
      </c>
      <c r="D39" s="524" t="s">
        <v>1759</v>
      </c>
      <c r="E39" s="524" t="s">
        <v>1760</v>
      </c>
      <c r="F39" s="527">
        <v>7</v>
      </c>
      <c r="G39" s="527">
        <v>0</v>
      </c>
      <c r="H39" s="527"/>
      <c r="I39" s="527">
        <v>0</v>
      </c>
      <c r="J39" s="527"/>
      <c r="K39" s="527"/>
      <c r="L39" s="527"/>
      <c r="M39" s="527"/>
      <c r="N39" s="527"/>
      <c r="O39" s="527"/>
      <c r="P39" s="540"/>
      <c r="Q39" s="528"/>
    </row>
    <row r="40" spans="1:17" ht="14.4" customHeight="1" x14ac:dyDescent="0.3">
      <c r="A40" s="523" t="s">
        <v>443</v>
      </c>
      <c r="B40" s="524" t="s">
        <v>1702</v>
      </c>
      <c r="C40" s="524" t="s">
        <v>1694</v>
      </c>
      <c r="D40" s="524" t="s">
        <v>1761</v>
      </c>
      <c r="E40" s="524" t="s">
        <v>1762</v>
      </c>
      <c r="F40" s="527">
        <v>8</v>
      </c>
      <c r="G40" s="527">
        <v>0</v>
      </c>
      <c r="H40" s="527"/>
      <c r="I40" s="527">
        <v>0</v>
      </c>
      <c r="J40" s="527">
        <v>5</v>
      </c>
      <c r="K40" s="527">
        <v>0</v>
      </c>
      <c r="L40" s="527"/>
      <c r="M40" s="527">
        <v>0</v>
      </c>
      <c r="N40" s="527">
        <v>17</v>
      </c>
      <c r="O40" s="527">
        <v>0</v>
      </c>
      <c r="P40" s="540"/>
      <c r="Q40" s="528">
        <v>0</v>
      </c>
    </row>
    <row r="41" spans="1:17" ht="14.4" customHeight="1" x14ac:dyDescent="0.3">
      <c r="A41" s="523" t="s">
        <v>443</v>
      </c>
      <c r="B41" s="524" t="s">
        <v>1702</v>
      </c>
      <c r="C41" s="524" t="s">
        <v>1694</v>
      </c>
      <c r="D41" s="524" t="s">
        <v>1763</v>
      </c>
      <c r="E41" s="524" t="s">
        <v>1764</v>
      </c>
      <c r="F41" s="527">
        <v>65</v>
      </c>
      <c r="G41" s="527">
        <v>0</v>
      </c>
      <c r="H41" s="527"/>
      <c r="I41" s="527">
        <v>0</v>
      </c>
      <c r="J41" s="527">
        <v>52</v>
      </c>
      <c r="K41" s="527">
        <v>0</v>
      </c>
      <c r="L41" s="527"/>
      <c r="M41" s="527">
        <v>0</v>
      </c>
      <c r="N41" s="527">
        <v>80</v>
      </c>
      <c r="O41" s="527">
        <v>0</v>
      </c>
      <c r="P41" s="540"/>
      <c r="Q41" s="528">
        <v>0</v>
      </c>
    </row>
    <row r="42" spans="1:17" ht="14.4" customHeight="1" x14ac:dyDescent="0.3">
      <c r="A42" s="523" t="s">
        <v>443</v>
      </c>
      <c r="B42" s="524" t="s">
        <v>1702</v>
      </c>
      <c r="C42" s="524" t="s">
        <v>1694</v>
      </c>
      <c r="D42" s="524" t="s">
        <v>1765</v>
      </c>
      <c r="E42" s="524" t="s">
        <v>1766</v>
      </c>
      <c r="F42" s="527"/>
      <c r="G42" s="527"/>
      <c r="H42" s="527"/>
      <c r="I42" s="527"/>
      <c r="J42" s="527">
        <v>1</v>
      </c>
      <c r="K42" s="527">
        <v>0</v>
      </c>
      <c r="L42" s="527"/>
      <c r="M42" s="527">
        <v>0</v>
      </c>
      <c r="N42" s="527"/>
      <c r="O42" s="527"/>
      <c r="P42" s="540"/>
      <c r="Q42" s="528"/>
    </row>
    <row r="43" spans="1:17" ht="14.4" customHeight="1" x14ac:dyDescent="0.3">
      <c r="A43" s="523" t="s">
        <v>443</v>
      </c>
      <c r="B43" s="524" t="s">
        <v>1702</v>
      </c>
      <c r="C43" s="524" t="s">
        <v>1694</v>
      </c>
      <c r="D43" s="524" t="s">
        <v>1767</v>
      </c>
      <c r="E43" s="524" t="s">
        <v>1768</v>
      </c>
      <c r="F43" s="527">
        <v>1437</v>
      </c>
      <c r="G43" s="527">
        <v>0</v>
      </c>
      <c r="H43" s="527"/>
      <c r="I43" s="527">
        <v>0</v>
      </c>
      <c r="J43" s="527">
        <v>1351</v>
      </c>
      <c r="K43" s="527">
        <v>0</v>
      </c>
      <c r="L43" s="527"/>
      <c r="M43" s="527">
        <v>0</v>
      </c>
      <c r="N43" s="527">
        <v>1478</v>
      </c>
      <c r="O43" s="527">
        <v>0</v>
      </c>
      <c r="P43" s="540"/>
      <c r="Q43" s="528">
        <v>0</v>
      </c>
    </row>
    <row r="44" spans="1:17" ht="14.4" customHeight="1" x14ac:dyDescent="0.3">
      <c r="A44" s="523" t="s">
        <v>443</v>
      </c>
      <c r="B44" s="524" t="s">
        <v>1702</v>
      </c>
      <c r="C44" s="524" t="s">
        <v>1694</v>
      </c>
      <c r="D44" s="524" t="s">
        <v>1769</v>
      </c>
      <c r="E44" s="524" t="s">
        <v>1770</v>
      </c>
      <c r="F44" s="527"/>
      <c r="G44" s="527"/>
      <c r="H44" s="527"/>
      <c r="I44" s="527"/>
      <c r="J44" s="527"/>
      <c r="K44" s="527"/>
      <c r="L44" s="527"/>
      <c r="M44" s="527"/>
      <c r="N44" s="527">
        <v>3</v>
      </c>
      <c r="O44" s="527">
        <v>0</v>
      </c>
      <c r="P44" s="540"/>
      <c r="Q44" s="528">
        <v>0</v>
      </c>
    </row>
    <row r="45" spans="1:17" ht="14.4" customHeight="1" x14ac:dyDescent="0.3">
      <c r="A45" s="523" t="s">
        <v>443</v>
      </c>
      <c r="B45" s="524" t="s">
        <v>1693</v>
      </c>
      <c r="C45" s="524" t="s">
        <v>1703</v>
      </c>
      <c r="D45" s="524" t="s">
        <v>1771</v>
      </c>
      <c r="E45" s="524" t="s">
        <v>1772</v>
      </c>
      <c r="F45" s="527">
        <v>10</v>
      </c>
      <c r="G45" s="527">
        <v>3099.52</v>
      </c>
      <c r="H45" s="527">
        <v>1</v>
      </c>
      <c r="I45" s="527">
        <v>309.952</v>
      </c>
      <c r="J45" s="527"/>
      <c r="K45" s="527"/>
      <c r="L45" s="527"/>
      <c r="M45" s="527"/>
      <c r="N45" s="527">
        <v>9</v>
      </c>
      <c r="O45" s="527">
        <v>1031.22</v>
      </c>
      <c r="P45" s="540">
        <v>0.33270312822630604</v>
      </c>
      <c r="Q45" s="528">
        <v>114.58</v>
      </c>
    </row>
    <row r="46" spans="1:17" ht="14.4" customHeight="1" x14ac:dyDescent="0.3">
      <c r="A46" s="523" t="s">
        <v>443</v>
      </c>
      <c r="B46" s="524" t="s">
        <v>1693</v>
      </c>
      <c r="C46" s="524" t="s">
        <v>1703</v>
      </c>
      <c r="D46" s="524" t="s">
        <v>1773</v>
      </c>
      <c r="E46" s="524" t="s">
        <v>1774</v>
      </c>
      <c r="F46" s="527">
        <v>6</v>
      </c>
      <c r="G46" s="527">
        <v>880.44</v>
      </c>
      <c r="H46" s="527">
        <v>1</v>
      </c>
      <c r="I46" s="527">
        <v>146.74</v>
      </c>
      <c r="J46" s="527">
        <v>25</v>
      </c>
      <c r="K46" s="527">
        <v>3792.8799999999997</v>
      </c>
      <c r="L46" s="527">
        <v>4.3079369406205981</v>
      </c>
      <c r="M46" s="527">
        <v>151.71519999999998</v>
      </c>
      <c r="N46" s="527">
        <v>10</v>
      </c>
      <c r="O46" s="527">
        <v>833</v>
      </c>
      <c r="P46" s="540">
        <v>0.94611785016582617</v>
      </c>
      <c r="Q46" s="528">
        <v>83.3</v>
      </c>
    </row>
    <row r="47" spans="1:17" ht="14.4" customHeight="1" x14ac:dyDescent="0.3">
      <c r="A47" s="523" t="s">
        <v>443</v>
      </c>
      <c r="B47" s="524" t="s">
        <v>1693</v>
      </c>
      <c r="C47" s="524" t="s">
        <v>1703</v>
      </c>
      <c r="D47" s="524" t="s">
        <v>1704</v>
      </c>
      <c r="E47" s="524" t="s">
        <v>1705</v>
      </c>
      <c r="F47" s="527">
        <v>117</v>
      </c>
      <c r="G47" s="527">
        <v>96450.760000000009</v>
      </c>
      <c r="H47" s="527">
        <v>1</v>
      </c>
      <c r="I47" s="527">
        <v>824.36547008547018</v>
      </c>
      <c r="J47" s="527">
        <v>109</v>
      </c>
      <c r="K47" s="527">
        <v>85516.66</v>
      </c>
      <c r="L47" s="527">
        <v>0.88663541894330322</v>
      </c>
      <c r="M47" s="527">
        <v>784.55651376146795</v>
      </c>
      <c r="N47" s="527">
        <v>119</v>
      </c>
      <c r="O47" s="527">
        <v>63299.32</v>
      </c>
      <c r="P47" s="540">
        <v>0.65628637866617112</v>
      </c>
      <c r="Q47" s="528">
        <v>531.92705882352936</v>
      </c>
    </row>
    <row r="48" spans="1:17" ht="14.4" customHeight="1" x14ac:dyDescent="0.3">
      <c r="A48" s="523" t="s">
        <v>443</v>
      </c>
      <c r="B48" s="524" t="s">
        <v>1693</v>
      </c>
      <c r="C48" s="524" t="s">
        <v>1703</v>
      </c>
      <c r="D48" s="524" t="s">
        <v>1775</v>
      </c>
      <c r="E48" s="524" t="s">
        <v>1776</v>
      </c>
      <c r="F48" s="527"/>
      <c r="G48" s="527"/>
      <c r="H48" s="527"/>
      <c r="I48" s="527"/>
      <c r="J48" s="527">
        <v>0.9</v>
      </c>
      <c r="K48" s="527">
        <v>523.1</v>
      </c>
      <c r="L48" s="527"/>
      <c r="M48" s="527">
        <v>581.22222222222229</v>
      </c>
      <c r="N48" s="527">
        <v>1.6</v>
      </c>
      <c r="O48" s="527">
        <v>1011</v>
      </c>
      <c r="P48" s="540"/>
      <c r="Q48" s="528">
        <v>631.875</v>
      </c>
    </row>
    <row r="49" spans="1:17" ht="14.4" customHeight="1" x14ac:dyDescent="0.3">
      <c r="A49" s="523" t="s">
        <v>443</v>
      </c>
      <c r="B49" s="524" t="s">
        <v>1693</v>
      </c>
      <c r="C49" s="524" t="s">
        <v>1703</v>
      </c>
      <c r="D49" s="524" t="s">
        <v>1706</v>
      </c>
      <c r="E49" s="524" t="s">
        <v>1707</v>
      </c>
      <c r="F49" s="527">
        <v>24.7</v>
      </c>
      <c r="G49" s="527">
        <v>62490.189999999995</v>
      </c>
      <c r="H49" s="527">
        <v>1</v>
      </c>
      <c r="I49" s="527">
        <v>2529.9672064777328</v>
      </c>
      <c r="J49" s="527">
        <v>26.2</v>
      </c>
      <c r="K49" s="527">
        <v>33886.07</v>
      </c>
      <c r="L49" s="527">
        <v>0.54226223348016711</v>
      </c>
      <c r="M49" s="527">
        <v>1293.3614503816793</v>
      </c>
      <c r="N49" s="527">
        <v>28.7</v>
      </c>
      <c r="O49" s="527">
        <v>30975.91</v>
      </c>
      <c r="P49" s="540">
        <v>0.49569236387343363</v>
      </c>
      <c r="Q49" s="528">
        <v>1079.3</v>
      </c>
    </row>
    <row r="50" spans="1:17" ht="14.4" customHeight="1" x14ac:dyDescent="0.3">
      <c r="A50" s="523" t="s">
        <v>443</v>
      </c>
      <c r="B50" s="524" t="s">
        <v>1693</v>
      </c>
      <c r="C50" s="524" t="s">
        <v>1703</v>
      </c>
      <c r="D50" s="524" t="s">
        <v>1777</v>
      </c>
      <c r="E50" s="524" t="s">
        <v>1778</v>
      </c>
      <c r="F50" s="527">
        <v>6</v>
      </c>
      <c r="G50" s="527">
        <v>1502.1</v>
      </c>
      <c r="H50" s="527">
        <v>1</v>
      </c>
      <c r="I50" s="527">
        <v>250.35</v>
      </c>
      <c r="J50" s="527"/>
      <c r="K50" s="527"/>
      <c r="L50" s="527"/>
      <c r="M50" s="527"/>
      <c r="N50" s="527">
        <v>2</v>
      </c>
      <c r="O50" s="527">
        <v>368.84</v>
      </c>
      <c r="P50" s="540">
        <v>0.245549563943812</v>
      </c>
      <c r="Q50" s="528">
        <v>184.42</v>
      </c>
    </row>
    <row r="51" spans="1:17" ht="14.4" customHeight="1" x14ac:dyDescent="0.3">
      <c r="A51" s="523" t="s">
        <v>443</v>
      </c>
      <c r="B51" s="524" t="s">
        <v>1693</v>
      </c>
      <c r="C51" s="524" t="s">
        <v>1703</v>
      </c>
      <c r="D51" s="524" t="s">
        <v>1708</v>
      </c>
      <c r="E51" s="524" t="s">
        <v>1709</v>
      </c>
      <c r="F51" s="527">
        <v>4</v>
      </c>
      <c r="G51" s="527">
        <v>246.52</v>
      </c>
      <c r="H51" s="527">
        <v>1</v>
      </c>
      <c r="I51" s="527">
        <v>61.63</v>
      </c>
      <c r="J51" s="527"/>
      <c r="K51" s="527"/>
      <c r="L51" s="527"/>
      <c r="M51" s="527"/>
      <c r="N51" s="527"/>
      <c r="O51" s="527"/>
      <c r="P51" s="540"/>
      <c r="Q51" s="528"/>
    </row>
    <row r="52" spans="1:17" ht="14.4" customHeight="1" x14ac:dyDescent="0.3">
      <c r="A52" s="523" t="s">
        <v>443</v>
      </c>
      <c r="B52" s="524" t="s">
        <v>1693</v>
      </c>
      <c r="C52" s="524" t="s">
        <v>1703</v>
      </c>
      <c r="D52" s="524" t="s">
        <v>1779</v>
      </c>
      <c r="E52" s="524" t="s">
        <v>1780</v>
      </c>
      <c r="F52" s="527"/>
      <c r="G52" s="527"/>
      <c r="H52" s="527"/>
      <c r="I52" s="527"/>
      <c r="J52" s="527">
        <v>0.4</v>
      </c>
      <c r="K52" s="527">
        <v>1451.2</v>
      </c>
      <c r="L52" s="527"/>
      <c r="M52" s="527">
        <v>3628</v>
      </c>
      <c r="N52" s="527"/>
      <c r="O52" s="527"/>
      <c r="P52" s="540"/>
      <c r="Q52" s="528"/>
    </row>
    <row r="53" spans="1:17" ht="14.4" customHeight="1" x14ac:dyDescent="0.3">
      <c r="A53" s="523" t="s">
        <v>443</v>
      </c>
      <c r="B53" s="524" t="s">
        <v>1693</v>
      </c>
      <c r="C53" s="524" t="s">
        <v>1703</v>
      </c>
      <c r="D53" s="524" t="s">
        <v>1781</v>
      </c>
      <c r="E53" s="524" t="s">
        <v>1782</v>
      </c>
      <c r="F53" s="527">
        <v>15</v>
      </c>
      <c r="G53" s="527">
        <v>2687634.9</v>
      </c>
      <c r="H53" s="527">
        <v>1</v>
      </c>
      <c r="I53" s="527">
        <v>179175.66</v>
      </c>
      <c r="J53" s="527"/>
      <c r="K53" s="527"/>
      <c r="L53" s="527"/>
      <c r="M53" s="527"/>
      <c r="N53" s="527"/>
      <c r="O53" s="527"/>
      <c r="P53" s="540"/>
      <c r="Q53" s="528"/>
    </row>
    <row r="54" spans="1:17" ht="14.4" customHeight="1" x14ac:dyDescent="0.3">
      <c r="A54" s="523" t="s">
        <v>443</v>
      </c>
      <c r="B54" s="524" t="s">
        <v>1693</v>
      </c>
      <c r="C54" s="524" t="s">
        <v>1703</v>
      </c>
      <c r="D54" s="524" t="s">
        <v>1710</v>
      </c>
      <c r="E54" s="524" t="s">
        <v>1711</v>
      </c>
      <c r="F54" s="527">
        <v>71</v>
      </c>
      <c r="G54" s="527">
        <v>92367.42</v>
      </c>
      <c r="H54" s="527">
        <v>1</v>
      </c>
      <c r="I54" s="527">
        <v>1300.9495774647887</v>
      </c>
      <c r="J54" s="527">
        <v>25</v>
      </c>
      <c r="K54" s="527">
        <v>32186.440000000002</v>
      </c>
      <c r="L54" s="527">
        <v>0.34846096166808604</v>
      </c>
      <c r="M54" s="527">
        <v>1287.4576000000002</v>
      </c>
      <c r="N54" s="527">
        <v>27</v>
      </c>
      <c r="O54" s="527">
        <v>34938</v>
      </c>
      <c r="P54" s="540">
        <v>0.37825025317368399</v>
      </c>
      <c r="Q54" s="528">
        <v>1294</v>
      </c>
    </row>
    <row r="55" spans="1:17" ht="14.4" customHeight="1" x14ac:dyDescent="0.3">
      <c r="A55" s="523" t="s">
        <v>443</v>
      </c>
      <c r="B55" s="524" t="s">
        <v>1693</v>
      </c>
      <c r="C55" s="524" t="s">
        <v>1703</v>
      </c>
      <c r="D55" s="524" t="s">
        <v>1783</v>
      </c>
      <c r="E55" s="524" t="s">
        <v>1784</v>
      </c>
      <c r="F55" s="527">
        <v>0</v>
      </c>
      <c r="G55" s="527">
        <v>0</v>
      </c>
      <c r="H55" s="527"/>
      <c r="I55" s="527"/>
      <c r="J55" s="527">
        <v>0</v>
      </c>
      <c r="K55" s="527">
        <v>0</v>
      </c>
      <c r="L55" s="527"/>
      <c r="M55" s="527"/>
      <c r="N55" s="527">
        <v>0</v>
      </c>
      <c r="O55" s="527">
        <v>0</v>
      </c>
      <c r="P55" s="540"/>
      <c r="Q55" s="528"/>
    </row>
    <row r="56" spans="1:17" ht="14.4" customHeight="1" x14ac:dyDescent="0.3">
      <c r="A56" s="523" t="s">
        <v>443</v>
      </c>
      <c r="B56" s="524" t="s">
        <v>1693</v>
      </c>
      <c r="C56" s="524" t="s">
        <v>1703</v>
      </c>
      <c r="D56" s="524" t="s">
        <v>1783</v>
      </c>
      <c r="E56" s="524" t="s">
        <v>1785</v>
      </c>
      <c r="F56" s="527">
        <v>2</v>
      </c>
      <c r="G56" s="527">
        <v>47674</v>
      </c>
      <c r="H56" s="527">
        <v>1</v>
      </c>
      <c r="I56" s="527">
        <v>23837</v>
      </c>
      <c r="J56" s="527">
        <v>2</v>
      </c>
      <c r="K56" s="527">
        <v>48111.38</v>
      </c>
      <c r="L56" s="527">
        <v>1.0091743927507655</v>
      </c>
      <c r="M56" s="527">
        <v>24055.69</v>
      </c>
      <c r="N56" s="527">
        <v>12</v>
      </c>
      <c r="O56" s="527">
        <v>246571.44</v>
      </c>
      <c r="P56" s="540">
        <v>5.1720317154004283</v>
      </c>
      <c r="Q56" s="528">
        <v>20547.62</v>
      </c>
    </row>
    <row r="57" spans="1:17" ht="14.4" customHeight="1" x14ac:dyDescent="0.3">
      <c r="A57" s="523" t="s">
        <v>443</v>
      </c>
      <c r="B57" s="524" t="s">
        <v>1693</v>
      </c>
      <c r="C57" s="524" t="s">
        <v>1703</v>
      </c>
      <c r="D57" s="524" t="s">
        <v>1786</v>
      </c>
      <c r="E57" s="524" t="s">
        <v>1787</v>
      </c>
      <c r="F57" s="527">
        <v>75</v>
      </c>
      <c r="G57" s="527">
        <v>12463.970000000001</v>
      </c>
      <c r="H57" s="527">
        <v>1</v>
      </c>
      <c r="I57" s="527">
        <v>166.18626666666668</v>
      </c>
      <c r="J57" s="527">
        <v>69</v>
      </c>
      <c r="K57" s="527">
        <v>9195.5400000000009</v>
      </c>
      <c r="L57" s="527">
        <v>0.73776974752025237</v>
      </c>
      <c r="M57" s="527">
        <v>133.26869565217393</v>
      </c>
      <c r="N57" s="527">
        <v>61</v>
      </c>
      <c r="O57" s="527">
        <v>8209.9900000000016</v>
      </c>
      <c r="P57" s="540">
        <v>0.65869783062699938</v>
      </c>
      <c r="Q57" s="528">
        <v>134.59000000000003</v>
      </c>
    </row>
    <row r="58" spans="1:17" ht="14.4" customHeight="1" x14ac:dyDescent="0.3">
      <c r="A58" s="523" t="s">
        <v>443</v>
      </c>
      <c r="B58" s="524" t="s">
        <v>1693</v>
      </c>
      <c r="C58" s="524" t="s">
        <v>1703</v>
      </c>
      <c r="D58" s="524" t="s">
        <v>1788</v>
      </c>
      <c r="E58" s="524" t="s">
        <v>1709</v>
      </c>
      <c r="F58" s="527"/>
      <c r="G58" s="527"/>
      <c r="H58" s="527"/>
      <c r="I58" s="527"/>
      <c r="J58" s="527">
        <v>0.1</v>
      </c>
      <c r="K58" s="527">
        <v>68.25</v>
      </c>
      <c r="L58" s="527"/>
      <c r="M58" s="527">
        <v>682.5</v>
      </c>
      <c r="N58" s="527"/>
      <c r="O58" s="527"/>
      <c r="P58" s="540"/>
      <c r="Q58" s="528"/>
    </row>
    <row r="59" spans="1:17" ht="14.4" customHeight="1" x14ac:dyDescent="0.3">
      <c r="A59" s="523" t="s">
        <v>443</v>
      </c>
      <c r="B59" s="524" t="s">
        <v>1693</v>
      </c>
      <c r="C59" s="524" t="s">
        <v>1703</v>
      </c>
      <c r="D59" s="524" t="s">
        <v>1712</v>
      </c>
      <c r="E59" s="524" t="s">
        <v>1713</v>
      </c>
      <c r="F59" s="527">
        <v>2</v>
      </c>
      <c r="G59" s="527">
        <v>598.6</v>
      </c>
      <c r="H59" s="527">
        <v>1</v>
      </c>
      <c r="I59" s="527">
        <v>299.3</v>
      </c>
      <c r="J59" s="527">
        <v>21</v>
      </c>
      <c r="K59" s="527">
        <v>5709.6900000000005</v>
      </c>
      <c r="L59" s="527">
        <v>9.5384062813230877</v>
      </c>
      <c r="M59" s="527">
        <v>271.89000000000004</v>
      </c>
      <c r="N59" s="527">
        <v>11</v>
      </c>
      <c r="O59" s="527">
        <v>3014.59</v>
      </c>
      <c r="P59" s="540">
        <v>5.0360674908118943</v>
      </c>
      <c r="Q59" s="528">
        <v>274.05363636363637</v>
      </c>
    </row>
    <row r="60" spans="1:17" ht="14.4" customHeight="1" x14ac:dyDescent="0.3">
      <c r="A60" s="523" t="s">
        <v>443</v>
      </c>
      <c r="B60" s="524" t="s">
        <v>1693</v>
      </c>
      <c r="C60" s="524" t="s">
        <v>1703</v>
      </c>
      <c r="D60" s="524" t="s">
        <v>1789</v>
      </c>
      <c r="E60" s="524" t="s">
        <v>1790</v>
      </c>
      <c r="F60" s="527"/>
      <c r="G60" s="527"/>
      <c r="H60" s="527"/>
      <c r="I60" s="527"/>
      <c r="J60" s="527">
        <v>8</v>
      </c>
      <c r="K60" s="527">
        <v>690.32</v>
      </c>
      <c r="L60" s="527"/>
      <c r="M60" s="527">
        <v>86.29</v>
      </c>
      <c r="N60" s="527"/>
      <c r="O60" s="527"/>
      <c r="P60" s="540"/>
      <c r="Q60" s="528"/>
    </row>
    <row r="61" spans="1:17" ht="14.4" customHeight="1" x14ac:dyDescent="0.3">
      <c r="A61" s="523" t="s">
        <v>443</v>
      </c>
      <c r="B61" s="524" t="s">
        <v>1693</v>
      </c>
      <c r="C61" s="524" t="s">
        <v>1703</v>
      </c>
      <c r="D61" s="524" t="s">
        <v>1714</v>
      </c>
      <c r="E61" s="524" t="s">
        <v>1715</v>
      </c>
      <c r="F61" s="527">
        <v>12.7</v>
      </c>
      <c r="G61" s="527">
        <v>4952.5300000000007</v>
      </c>
      <c r="H61" s="527">
        <v>1</v>
      </c>
      <c r="I61" s="527">
        <v>389.96299212598433</v>
      </c>
      <c r="J61" s="527">
        <v>11.100000000000001</v>
      </c>
      <c r="K61" s="527">
        <v>1331.6999999999998</v>
      </c>
      <c r="L61" s="527">
        <v>0.26889286889731101</v>
      </c>
      <c r="M61" s="527">
        <v>119.97297297297294</v>
      </c>
      <c r="N61" s="527">
        <v>11.1</v>
      </c>
      <c r="O61" s="527">
        <v>527.25</v>
      </c>
      <c r="P61" s="540">
        <v>0.10646073824893539</v>
      </c>
      <c r="Q61" s="528">
        <v>47.5</v>
      </c>
    </row>
    <row r="62" spans="1:17" ht="14.4" customHeight="1" x14ac:dyDescent="0.3">
      <c r="A62" s="523" t="s">
        <v>443</v>
      </c>
      <c r="B62" s="524" t="s">
        <v>1693</v>
      </c>
      <c r="C62" s="524" t="s">
        <v>1703</v>
      </c>
      <c r="D62" s="524" t="s">
        <v>1791</v>
      </c>
      <c r="E62" s="524" t="s">
        <v>1792</v>
      </c>
      <c r="F62" s="527"/>
      <c r="G62" s="527"/>
      <c r="H62" s="527"/>
      <c r="I62" s="527"/>
      <c r="J62" s="527"/>
      <c r="K62" s="527"/>
      <c r="L62" s="527"/>
      <c r="M62" s="527"/>
      <c r="N62" s="527">
        <v>4</v>
      </c>
      <c r="O62" s="527">
        <v>140.5</v>
      </c>
      <c r="P62" s="540"/>
      <c r="Q62" s="528">
        <v>35.125</v>
      </c>
    </row>
    <row r="63" spans="1:17" ht="14.4" customHeight="1" x14ac:dyDescent="0.3">
      <c r="A63" s="523" t="s">
        <v>443</v>
      </c>
      <c r="B63" s="524" t="s">
        <v>1693</v>
      </c>
      <c r="C63" s="524" t="s">
        <v>1703</v>
      </c>
      <c r="D63" s="524" t="s">
        <v>1793</v>
      </c>
      <c r="E63" s="524" t="s">
        <v>1794</v>
      </c>
      <c r="F63" s="527">
        <v>40</v>
      </c>
      <c r="G63" s="527">
        <v>630.76</v>
      </c>
      <c r="H63" s="527">
        <v>1</v>
      </c>
      <c r="I63" s="527">
        <v>15.769</v>
      </c>
      <c r="J63" s="527"/>
      <c r="K63" s="527"/>
      <c r="L63" s="527"/>
      <c r="M63" s="527"/>
      <c r="N63" s="527"/>
      <c r="O63" s="527"/>
      <c r="P63" s="540"/>
      <c r="Q63" s="528"/>
    </row>
    <row r="64" spans="1:17" ht="14.4" customHeight="1" x14ac:dyDescent="0.3">
      <c r="A64" s="523" t="s">
        <v>443</v>
      </c>
      <c r="B64" s="524" t="s">
        <v>1693</v>
      </c>
      <c r="C64" s="524" t="s">
        <v>1703</v>
      </c>
      <c r="D64" s="524" t="s">
        <v>1795</v>
      </c>
      <c r="E64" s="524" t="s">
        <v>1796</v>
      </c>
      <c r="F64" s="527"/>
      <c r="G64" s="527"/>
      <c r="H64" s="527"/>
      <c r="I64" s="527"/>
      <c r="J64" s="527">
        <v>3</v>
      </c>
      <c r="K64" s="527">
        <v>61.44</v>
      </c>
      <c r="L64" s="527"/>
      <c r="M64" s="527">
        <v>20.48</v>
      </c>
      <c r="N64" s="527"/>
      <c r="O64" s="527"/>
      <c r="P64" s="540"/>
      <c r="Q64" s="528"/>
    </row>
    <row r="65" spans="1:17" ht="14.4" customHeight="1" x14ac:dyDescent="0.3">
      <c r="A65" s="523" t="s">
        <v>443</v>
      </c>
      <c r="B65" s="524" t="s">
        <v>1693</v>
      </c>
      <c r="C65" s="524" t="s">
        <v>1703</v>
      </c>
      <c r="D65" s="524" t="s">
        <v>1797</v>
      </c>
      <c r="E65" s="524" t="s">
        <v>1798</v>
      </c>
      <c r="F65" s="527"/>
      <c r="G65" s="527"/>
      <c r="H65" s="527"/>
      <c r="I65" s="527"/>
      <c r="J65" s="527"/>
      <c r="K65" s="527"/>
      <c r="L65" s="527"/>
      <c r="M65" s="527"/>
      <c r="N65" s="527">
        <v>16</v>
      </c>
      <c r="O65" s="527">
        <v>1168.8</v>
      </c>
      <c r="P65" s="540"/>
      <c r="Q65" s="528">
        <v>73.05</v>
      </c>
    </row>
    <row r="66" spans="1:17" ht="14.4" customHeight="1" x14ac:dyDescent="0.3">
      <c r="A66" s="523" t="s">
        <v>443</v>
      </c>
      <c r="B66" s="524" t="s">
        <v>1693</v>
      </c>
      <c r="C66" s="524" t="s">
        <v>1703</v>
      </c>
      <c r="D66" s="524" t="s">
        <v>1799</v>
      </c>
      <c r="E66" s="524" t="s">
        <v>1800</v>
      </c>
      <c r="F66" s="527">
        <v>0.4</v>
      </c>
      <c r="G66" s="527">
        <v>1236.44</v>
      </c>
      <c r="H66" s="527">
        <v>1</v>
      </c>
      <c r="I66" s="527">
        <v>3091.1</v>
      </c>
      <c r="J66" s="527">
        <v>9.1999999999999993</v>
      </c>
      <c r="K66" s="527">
        <v>28438.120000000003</v>
      </c>
      <c r="L66" s="527">
        <v>23</v>
      </c>
      <c r="M66" s="527">
        <v>3091.1000000000004</v>
      </c>
      <c r="N66" s="527">
        <v>1.5</v>
      </c>
      <c r="O66" s="527">
        <v>3304.6499999999996</v>
      </c>
      <c r="P66" s="540">
        <v>2.6727135971013549</v>
      </c>
      <c r="Q66" s="528">
        <v>2203.1</v>
      </c>
    </row>
    <row r="67" spans="1:17" ht="14.4" customHeight="1" x14ac:dyDescent="0.3">
      <c r="A67" s="523" t="s">
        <v>443</v>
      </c>
      <c r="B67" s="524" t="s">
        <v>1693</v>
      </c>
      <c r="C67" s="524" t="s">
        <v>1703</v>
      </c>
      <c r="D67" s="524" t="s">
        <v>1801</v>
      </c>
      <c r="E67" s="524" t="s">
        <v>1802</v>
      </c>
      <c r="F67" s="527">
        <v>22.5</v>
      </c>
      <c r="G67" s="527">
        <v>364694.53</v>
      </c>
      <c r="H67" s="527">
        <v>1</v>
      </c>
      <c r="I67" s="527">
        <v>16208.64577777778</v>
      </c>
      <c r="J67" s="527">
        <v>9.5</v>
      </c>
      <c r="K67" s="527">
        <v>137773.44</v>
      </c>
      <c r="L67" s="527">
        <v>0.37777764311408779</v>
      </c>
      <c r="M67" s="527">
        <v>14502.467368421052</v>
      </c>
      <c r="N67" s="527">
        <v>16</v>
      </c>
      <c r="O67" s="527">
        <v>261044.45</v>
      </c>
      <c r="P67" s="540">
        <v>0.71578932099694503</v>
      </c>
      <c r="Q67" s="528">
        <v>16315.278125000001</v>
      </c>
    </row>
    <row r="68" spans="1:17" ht="14.4" customHeight="1" x14ac:dyDescent="0.3">
      <c r="A68" s="523" t="s">
        <v>443</v>
      </c>
      <c r="B68" s="524" t="s">
        <v>1693</v>
      </c>
      <c r="C68" s="524" t="s">
        <v>1703</v>
      </c>
      <c r="D68" s="524" t="s">
        <v>1718</v>
      </c>
      <c r="E68" s="524" t="s">
        <v>1719</v>
      </c>
      <c r="F68" s="527">
        <v>9.1000000000000014</v>
      </c>
      <c r="G68" s="527">
        <v>4871.01</v>
      </c>
      <c r="H68" s="527">
        <v>1</v>
      </c>
      <c r="I68" s="527">
        <v>535.27582417582414</v>
      </c>
      <c r="J68" s="527">
        <v>2.7</v>
      </c>
      <c r="K68" s="527">
        <v>1651.35</v>
      </c>
      <c r="L68" s="527">
        <v>0.33901593304058086</v>
      </c>
      <c r="M68" s="527">
        <v>611.61111111111109</v>
      </c>
      <c r="N68" s="527">
        <v>2.68</v>
      </c>
      <c r="O68" s="527">
        <v>1190.29</v>
      </c>
      <c r="P68" s="540">
        <v>0.24436205222325552</v>
      </c>
      <c r="Q68" s="528">
        <v>444.13805970149252</v>
      </c>
    </row>
    <row r="69" spans="1:17" ht="14.4" customHeight="1" x14ac:dyDescent="0.3">
      <c r="A69" s="523" t="s">
        <v>443</v>
      </c>
      <c r="B69" s="524" t="s">
        <v>1693</v>
      </c>
      <c r="C69" s="524" t="s">
        <v>1703</v>
      </c>
      <c r="D69" s="524" t="s">
        <v>1720</v>
      </c>
      <c r="E69" s="524" t="s">
        <v>1721</v>
      </c>
      <c r="F69" s="527">
        <v>55</v>
      </c>
      <c r="G69" s="527">
        <v>16282.84</v>
      </c>
      <c r="H69" s="527">
        <v>1</v>
      </c>
      <c r="I69" s="527">
        <v>296.05163636363636</v>
      </c>
      <c r="J69" s="527">
        <v>76.3</v>
      </c>
      <c r="K69" s="527">
        <v>22475.29</v>
      </c>
      <c r="L69" s="527">
        <v>1.3803052784403704</v>
      </c>
      <c r="M69" s="527">
        <v>294.56474442988207</v>
      </c>
      <c r="N69" s="527">
        <v>23.1</v>
      </c>
      <c r="O69" s="527">
        <v>2646.79</v>
      </c>
      <c r="P69" s="540">
        <v>0.16255088178720664</v>
      </c>
      <c r="Q69" s="528">
        <v>114.57965367965367</v>
      </c>
    </row>
    <row r="70" spans="1:17" ht="14.4" customHeight="1" x14ac:dyDescent="0.3">
      <c r="A70" s="523" t="s">
        <v>443</v>
      </c>
      <c r="B70" s="524" t="s">
        <v>1693</v>
      </c>
      <c r="C70" s="524" t="s">
        <v>1703</v>
      </c>
      <c r="D70" s="524" t="s">
        <v>1724</v>
      </c>
      <c r="E70" s="524" t="s">
        <v>1725</v>
      </c>
      <c r="F70" s="527">
        <v>42.400000000000006</v>
      </c>
      <c r="G70" s="527">
        <v>2988.93</v>
      </c>
      <c r="H70" s="527">
        <v>1</v>
      </c>
      <c r="I70" s="527">
        <v>70.49363207547168</v>
      </c>
      <c r="J70" s="527">
        <v>30.400000000000002</v>
      </c>
      <c r="K70" s="527">
        <v>1959.17</v>
      </c>
      <c r="L70" s="527">
        <v>0.65547537078486284</v>
      </c>
      <c r="M70" s="527">
        <v>64.446381578947367</v>
      </c>
      <c r="N70" s="527">
        <v>30.400000000000002</v>
      </c>
      <c r="O70" s="527">
        <v>1470.19</v>
      </c>
      <c r="P70" s="540">
        <v>0.49187836449833222</v>
      </c>
      <c r="Q70" s="528">
        <v>48.361513157894734</v>
      </c>
    </row>
    <row r="71" spans="1:17" ht="14.4" customHeight="1" x14ac:dyDescent="0.3">
      <c r="A71" s="523" t="s">
        <v>443</v>
      </c>
      <c r="B71" s="524" t="s">
        <v>1693</v>
      </c>
      <c r="C71" s="524" t="s">
        <v>1703</v>
      </c>
      <c r="D71" s="524" t="s">
        <v>1803</v>
      </c>
      <c r="E71" s="524" t="s">
        <v>1804</v>
      </c>
      <c r="F71" s="527">
        <v>29</v>
      </c>
      <c r="G71" s="527">
        <v>7278.66</v>
      </c>
      <c r="H71" s="527">
        <v>1</v>
      </c>
      <c r="I71" s="527">
        <v>250.98827586206897</v>
      </c>
      <c r="J71" s="527"/>
      <c r="K71" s="527"/>
      <c r="L71" s="527"/>
      <c r="M71" s="527"/>
      <c r="N71" s="527"/>
      <c r="O71" s="527"/>
      <c r="P71" s="540"/>
      <c r="Q71" s="528"/>
    </row>
    <row r="72" spans="1:17" ht="14.4" customHeight="1" x14ac:dyDescent="0.3">
      <c r="A72" s="523" t="s">
        <v>443</v>
      </c>
      <c r="B72" s="524" t="s">
        <v>1693</v>
      </c>
      <c r="C72" s="524" t="s">
        <v>1703</v>
      </c>
      <c r="D72" s="524" t="s">
        <v>1805</v>
      </c>
      <c r="E72" s="524" t="s">
        <v>1806</v>
      </c>
      <c r="F72" s="527"/>
      <c r="G72" s="527"/>
      <c r="H72" s="527"/>
      <c r="I72" s="527"/>
      <c r="J72" s="527"/>
      <c r="K72" s="527"/>
      <c r="L72" s="527"/>
      <c r="M72" s="527"/>
      <c r="N72" s="527">
        <v>1.8</v>
      </c>
      <c r="O72" s="527">
        <v>1100.18</v>
      </c>
      <c r="P72" s="540"/>
      <c r="Q72" s="528">
        <v>611.21111111111111</v>
      </c>
    </row>
    <row r="73" spans="1:17" ht="14.4" customHeight="1" x14ac:dyDescent="0.3">
      <c r="A73" s="523" t="s">
        <v>443</v>
      </c>
      <c r="B73" s="524" t="s">
        <v>1693</v>
      </c>
      <c r="C73" s="524" t="s">
        <v>1703</v>
      </c>
      <c r="D73" s="524" t="s">
        <v>1807</v>
      </c>
      <c r="E73" s="524" t="s">
        <v>1808</v>
      </c>
      <c r="F73" s="527">
        <v>4</v>
      </c>
      <c r="G73" s="527">
        <v>15974.210000000001</v>
      </c>
      <c r="H73" s="527">
        <v>1</v>
      </c>
      <c r="I73" s="527">
        <v>3993.5525000000002</v>
      </c>
      <c r="J73" s="527">
        <v>3</v>
      </c>
      <c r="K73" s="527">
        <v>10515.3</v>
      </c>
      <c r="L73" s="527">
        <v>0.65826729459547595</v>
      </c>
      <c r="M73" s="527">
        <v>3505.1</v>
      </c>
      <c r="N73" s="527">
        <v>5</v>
      </c>
      <c r="O73" s="527">
        <v>17679.2</v>
      </c>
      <c r="P73" s="540">
        <v>1.1067339167320325</v>
      </c>
      <c r="Q73" s="528">
        <v>3535.84</v>
      </c>
    </row>
    <row r="74" spans="1:17" ht="14.4" customHeight="1" x14ac:dyDescent="0.3">
      <c r="A74" s="523" t="s">
        <v>443</v>
      </c>
      <c r="B74" s="524" t="s">
        <v>1693</v>
      </c>
      <c r="C74" s="524" t="s">
        <v>1703</v>
      </c>
      <c r="D74" s="524" t="s">
        <v>1809</v>
      </c>
      <c r="E74" s="524" t="s">
        <v>1713</v>
      </c>
      <c r="F74" s="527"/>
      <c r="G74" s="527"/>
      <c r="H74" s="527"/>
      <c r="I74" s="527"/>
      <c r="J74" s="527"/>
      <c r="K74" s="527"/>
      <c r="L74" s="527"/>
      <c r="M74" s="527"/>
      <c r="N74" s="527">
        <v>6</v>
      </c>
      <c r="O74" s="527">
        <v>1645.62</v>
      </c>
      <c r="P74" s="540"/>
      <c r="Q74" s="528">
        <v>274.27</v>
      </c>
    </row>
    <row r="75" spans="1:17" ht="14.4" customHeight="1" x14ac:dyDescent="0.3">
      <c r="A75" s="523" t="s">
        <v>443</v>
      </c>
      <c r="B75" s="524" t="s">
        <v>1693</v>
      </c>
      <c r="C75" s="524" t="s">
        <v>1703</v>
      </c>
      <c r="D75" s="524" t="s">
        <v>1728</v>
      </c>
      <c r="E75" s="524" t="s">
        <v>1729</v>
      </c>
      <c r="F75" s="527"/>
      <c r="G75" s="527"/>
      <c r="H75" s="527"/>
      <c r="I75" s="527"/>
      <c r="J75" s="527"/>
      <c r="K75" s="527"/>
      <c r="L75" s="527"/>
      <c r="M75" s="527"/>
      <c r="N75" s="527">
        <v>3.42</v>
      </c>
      <c r="O75" s="527">
        <v>12407.82</v>
      </c>
      <c r="P75" s="540"/>
      <c r="Q75" s="528">
        <v>3628.0175438596493</v>
      </c>
    </row>
    <row r="76" spans="1:17" ht="14.4" customHeight="1" x14ac:dyDescent="0.3">
      <c r="A76" s="523" t="s">
        <v>443</v>
      </c>
      <c r="B76" s="524" t="s">
        <v>1693</v>
      </c>
      <c r="C76" s="524" t="s">
        <v>1730</v>
      </c>
      <c r="D76" s="524" t="s">
        <v>1810</v>
      </c>
      <c r="E76" s="524" t="s">
        <v>1732</v>
      </c>
      <c r="F76" s="527"/>
      <c r="G76" s="527"/>
      <c r="H76" s="527"/>
      <c r="I76" s="527"/>
      <c r="J76" s="527">
        <v>1</v>
      </c>
      <c r="K76" s="527">
        <v>2579.8200000000002</v>
      </c>
      <c r="L76" s="527"/>
      <c r="M76" s="527">
        <v>2579.8200000000002</v>
      </c>
      <c r="N76" s="527"/>
      <c r="O76" s="527"/>
      <c r="P76" s="540"/>
      <c r="Q76" s="528"/>
    </row>
    <row r="77" spans="1:17" ht="14.4" customHeight="1" x14ac:dyDescent="0.3">
      <c r="A77" s="523" t="s">
        <v>443</v>
      </c>
      <c r="B77" s="524" t="s">
        <v>1693</v>
      </c>
      <c r="C77" s="524" t="s">
        <v>1730</v>
      </c>
      <c r="D77" s="524" t="s">
        <v>1731</v>
      </c>
      <c r="E77" s="524" t="s">
        <v>1732</v>
      </c>
      <c r="F77" s="527">
        <v>118</v>
      </c>
      <c r="G77" s="527">
        <v>183292.93999999997</v>
      </c>
      <c r="H77" s="527">
        <v>1</v>
      </c>
      <c r="I77" s="527">
        <v>1553.3299999999997</v>
      </c>
      <c r="J77" s="527">
        <v>99</v>
      </c>
      <c r="K77" s="527">
        <v>152975.80000000005</v>
      </c>
      <c r="L77" s="527">
        <v>0.83459733910100453</v>
      </c>
      <c r="M77" s="527">
        <v>1545.2101010101014</v>
      </c>
      <c r="N77" s="527">
        <v>130</v>
      </c>
      <c r="O77" s="527">
        <v>208063.44</v>
      </c>
      <c r="P77" s="540">
        <v>1.1351415935605595</v>
      </c>
      <c r="Q77" s="528">
        <v>1600.4880000000001</v>
      </c>
    </row>
    <row r="78" spans="1:17" ht="14.4" customHeight="1" x14ac:dyDescent="0.3">
      <c r="A78" s="523" t="s">
        <v>443</v>
      </c>
      <c r="B78" s="524" t="s">
        <v>1693</v>
      </c>
      <c r="C78" s="524" t="s">
        <v>1730</v>
      </c>
      <c r="D78" s="524" t="s">
        <v>1811</v>
      </c>
      <c r="E78" s="524" t="s">
        <v>1812</v>
      </c>
      <c r="F78" s="527">
        <v>5</v>
      </c>
      <c r="G78" s="527">
        <v>7436.75</v>
      </c>
      <c r="H78" s="527">
        <v>1</v>
      </c>
      <c r="I78" s="527">
        <v>1487.35</v>
      </c>
      <c r="J78" s="527"/>
      <c r="K78" s="527"/>
      <c r="L78" s="527"/>
      <c r="M78" s="527"/>
      <c r="N78" s="527"/>
      <c r="O78" s="527"/>
      <c r="P78" s="540"/>
      <c r="Q78" s="528"/>
    </row>
    <row r="79" spans="1:17" ht="14.4" customHeight="1" x14ac:dyDescent="0.3">
      <c r="A79" s="523" t="s">
        <v>443</v>
      </c>
      <c r="B79" s="524" t="s">
        <v>1693</v>
      </c>
      <c r="C79" s="524" t="s">
        <v>1730</v>
      </c>
      <c r="D79" s="524" t="s">
        <v>1733</v>
      </c>
      <c r="E79" s="524" t="s">
        <v>1734</v>
      </c>
      <c r="F79" s="527">
        <v>23</v>
      </c>
      <c r="G79" s="527">
        <v>84017.85</v>
      </c>
      <c r="H79" s="527">
        <v>1</v>
      </c>
      <c r="I79" s="527">
        <v>3652.9500000000003</v>
      </c>
      <c r="J79" s="527">
        <v>22</v>
      </c>
      <c r="K79" s="527">
        <v>80573.39999999998</v>
      </c>
      <c r="L79" s="527">
        <v>0.95900335464428066</v>
      </c>
      <c r="M79" s="527">
        <v>3662.4272727272719</v>
      </c>
      <c r="N79" s="527">
        <v>24</v>
      </c>
      <c r="O79" s="527">
        <v>93731.520000000004</v>
      </c>
      <c r="P79" s="540">
        <v>1.1156143605198181</v>
      </c>
      <c r="Q79" s="528">
        <v>3905.48</v>
      </c>
    </row>
    <row r="80" spans="1:17" ht="14.4" customHeight="1" x14ac:dyDescent="0.3">
      <c r="A80" s="523" t="s">
        <v>443</v>
      </c>
      <c r="B80" s="524" t="s">
        <v>1693</v>
      </c>
      <c r="C80" s="524" t="s">
        <v>1730</v>
      </c>
      <c r="D80" s="524" t="s">
        <v>1813</v>
      </c>
      <c r="E80" s="524" t="s">
        <v>1814</v>
      </c>
      <c r="F80" s="527"/>
      <c r="G80" s="527"/>
      <c r="H80" s="527"/>
      <c r="I80" s="527"/>
      <c r="J80" s="527"/>
      <c r="K80" s="527"/>
      <c r="L80" s="527"/>
      <c r="M80" s="527"/>
      <c r="N80" s="527">
        <v>1</v>
      </c>
      <c r="O80" s="527">
        <v>9686.1</v>
      </c>
      <c r="P80" s="540"/>
      <c r="Q80" s="528">
        <v>9686.1</v>
      </c>
    </row>
    <row r="81" spans="1:17" ht="14.4" customHeight="1" x14ac:dyDescent="0.3">
      <c r="A81" s="523" t="s">
        <v>443</v>
      </c>
      <c r="B81" s="524" t="s">
        <v>1693</v>
      </c>
      <c r="C81" s="524" t="s">
        <v>1730</v>
      </c>
      <c r="D81" s="524" t="s">
        <v>1815</v>
      </c>
      <c r="E81" s="524" t="s">
        <v>1816</v>
      </c>
      <c r="F81" s="527">
        <v>31</v>
      </c>
      <c r="G81" s="527">
        <v>26651.32</v>
      </c>
      <c r="H81" s="527">
        <v>1</v>
      </c>
      <c r="I81" s="527">
        <v>859.72</v>
      </c>
      <c r="J81" s="527">
        <v>12</v>
      </c>
      <c r="K81" s="527">
        <v>10462.59</v>
      </c>
      <c r="L81" s="527">
        <v>0.39257305079073007</v>
      </c>
      <c r="M81" s="527">
        <v>871.88250000000005</v>
      </c>
      <c r="N81" s="527">
        <v>20</v>
      </c>
      <c r="O81" s="527">
        <v>18474.739999999998</v>
      </c>
      <c r="P81" s="540">
        <v>0.69320168757119716</v>
      </c>
      <c r="Q81" s="528">
        <v>923.73699999999985</v>
      </c>
    </row>
    <row r="82" spans="1:17" ht="14.4" customHeight="1" x14ac:dyDescent="0.3">
      <c r="A82" s="523" t="s">
        <v>443</v>
      </c>
      <c r="B82" s="524" t="s">
        <v>1693</v>
      </c>
      <c r="C82" s="524" t="s">
        <v>1730</v>
      </c>
      <c r="D82" s="524" t="s">
        <v>1735</v>
      </c>
      <c r="E82" s="524" t="s">
        <v>1736</v>
      </c>
      <c r="F82" s="527">
        <v>116</v>
      </c>
      <c r="G82" s="527">
        <v>21975.039999999997</v>
      </c>
      <c r="H82" s="527">
        <v>1</v>
      </c>
      <c r="I82" s="527">
        <v>189.43999999999997</v>
      </c>
      <c r="J82" s="527">
        <v>104</v>
      </c>
      <c r="K82" s="527">
        <v>21211.51</v>
      </c>
      <c r="L82" s="527">
        <v>0.96525467075372795</v>
      </c>
      <c r="M82" s="527">
        <v>203.9568269230769</v>
      </c>
      <c r="N82" s="527">
        <v>126</v>
      </c>
      <c r="O82" s="527">
        <v>29982.940000000002</v>
      </c>
      <c r="P82" s="540">
        <v>1.3644088929986022</v>
      </c>
      <c r="Q82" s="528">
        <v>237.95984126984129</v>
      </c>
    </row>
    <row r="83" spans="1:17" ht="14.4" customHeight="1" x14ac:dyDescent="0.3">
      <c r="A83" s="523" t="s">
        <v>443</v>
      </c>
      <c r="B83" s="524" t="s">
        <v>1693</v>
      </c>
      <c r="C83" s="524" t="s">
        <v>1817</v>
      </c>
      <c r="D83" s="524" t="s">
        <v>1818</v>
      </c>
      <c r="E83" s="524" t="s">
        <v>1819</v>
      </c>
      <c r="F83" s="527">
        <v>1</v>
      </c>
      <c r="G83" s="527">
        <v>687</v>
      </c>
      <c r="H83" s="527">
        <v>1</v>
      </c>
      <c r="I83" s="527">
        <v>687</v>
      </c>
      <c r="J83" s="527"/>
      <c r="K83" s="527"/>
      <c r="L83" s="527"/>
      <c r="M83" s="527"/>
      <c r="N83" s="527"/>
      <c r="O83" s="527"/>
      <c r="P83" s="540"/>
      <c r="Q83" s="528"/>
    </row>
    <row r="84" spans="1:17" ht="14.4" customHeight="1" x14ac:dyDescent="0.3">
      <c r="A84" s="523" t="s">
        <v>443</v>
      </c>
      <c r="B84" s="524" t="s">
        <v>1693</v>
      </c>
      <c r="C84" s="524" t="s">
        <v>1817</v>
      </c>
      <c r="D84" s="524" t="s">
        <v>1820</v>
      </c>
      <c r="E84" s="524" t="s">
        <v>1821</v>
      </c>
      <c r="F84" s="527">
        <v>1</v>
      </c>
      <c r="G84" s="527">
        <v>444.7</v>
      </c>
      <c r="H84" s="527">
        <v>1</v>
      </c>
      <c r="I84" s="527">
        <v>444.7</v>
      </c>
      <c r="J84" s="527"/>
      <c r="K84" s="527"/>
      <c r="L84" s="527"/>
      <c r="M84" s="527"/>
      <c r="N84" s="527"/>
      <c r="O84" s="527"/>
      <c r="P84" s="540"/>
      <c r="Q84" s="528"/>
    </row>
    <row r="85" spans="1:17" ht="14.4" customHeight="1" x14ac:dyDescent="0.3">
      <c r="A85" s="523" t="s">
        <v>443</v>
      </c>
      <c r="B85" s="524" t="s">
        <v>1693</v>
      </c>
      <c r="C85" s="524" t="s">
        <v>1817</v>
      </c>
      <c r="D85" s="524" t="s">
        <v>1822</v>
      </c>
      <c r="E85" s="524" t="s">
        <v>1823</v>
      </c>
      <c r="F85" s="527">
        <v>1</v>
      </c>
      <c r="G85" s="527">
        <v>6200</v>
      </c>
      <c r="H85" s="527">
        <v>1</v>
      </c>
      <c r="I85" s="527">
        <v>6200</v>
      </c>
      <c r="J85" s="527"/>
      <c r="K85" s="527"/>
      <c r="L85" s="527"/>
      <c r="M85" s="527"/>
      <c r="N85" s="527"/>
      <c r="O85" s="527"/>
      <c r="P85" s="540"/>
      <c r="Q85" s="528"/>
    </row>
    <row r="86" spans="1:17" ht="14.4" customHeight="1" x14ac:dyDescent="0.3">
      <c r="A86" s="523" t="s">
        <v>443</v>
      </c>
      <c r="B86" s="524" t="s">
        <v>1693</v>
      </c>
      <c r="C86" s="524" t="s">
        <v>1817</v>
      </c>
      <c r="D86" s="524" t="s">
        <v>1824</v>
      </c>
      <c r="E86" s="524" t="s">
        <v>1823</v>
      </c>
      <c r="F86" s="527"/>
      <c r="G86" s="527"/>
      <c r="H86" s="527"/>
      <c r="I86" s="527"/>
      <c r="J86" s="527">
        <v>1</v>
      </c>
      <c r="K86" s="527">
        <v>10478</v>
      </c>
      <c r="L86" s="527"/>
      <c r="M86" s="527">
        <v>10478</v>
      </c>
      <c r="N86" s="527"/>
      <c r="O86" s="527"/>
      <c r="P86" s="540"/>
      <c r="Q86" s="528"/>
    </row>
    <row r="87" spans="1:17" ht="14.4" customHeight="1" x14ac:dyDescent="0.3">
      <c r="A87" s="523" t="s">
        <v>443</v>
      </c>
      <c r="B87" s="524" t="s">
        <v>1693</v>
      </c>
      <c r="C87" s="524" t="s">
        <v>1817</v>
      </c>
      <c r="D87" s="524" t="s">
        <v>1825</v>
      </c>
      <c r="E87" s="524" t="s">
        <v>1823</v>
      </c>
      <c r="F87" s="527">
        <v>1</v>
      </c>
      <c r="G87" s="527">
        <v>6716</v>
      </c>
      <c r="H87" s="527">
        <v>1</v>
      </c>
      <c r="I87" s="527">
        <v>6716</v>
      </c>
      <c r="J87" s="527"/>
      <c r="K87" s="527"/>
      <c r="L87" s="527"/>
      <c r="M87" s="527"/>
      <c r="N87" s="527"/>
      <c r="O87" s="527"/>
      <c r="P87" s="540"/>
      <c r="Q87" s="528"/>
    </row>
    <row r="88" spans="1:17" ht="14.4" customHeight="1" x14ac:dyDescent="0.3">
      <c r="A88" s="523" t="s">
        <v>443</v>
      </c>
      <c r="B88" s="524" t="s">
        <v>1693</v>
      </c>
      <c r="C88" s="524" t="s">
        <v>1694</v>
      </c>
      <c r="D88" s="524" t="s">
        <v>1826</v>
      </c>
      <c r="E88" s="524" t="s">
        <v>1827</v>
      </c>
      <c r="F88" s="527">
        <v>503</v>
      </c>
      <c r="G88" s="527">
        <v>14564365</v>
      </c>
      <c r="H88" s="527">
        <v>1</v>
      </c>
      <c r="I88" s="527">
        <v>28955</v>
      </c>
      <c r="J88" s="527">
        <v>293</v>
      </c>
      <c r="K88" s="527">
        <v>8485439</v>
      </c>
      <c r="L88" s="527">
        <v>0.58261647521192994</v>
      </c>
      <c r="M88" s="527">
        <v>28960.54266211604</v>
      </c>
      <c r="N88" s="527">
        <v>317</v>
      </c>
      <c r="O88" s="527">
        <v>9181839</v>
      </c>
      <c r="P88" s="540">
        <v>0.63043181079298682</v>
      </c>
      <c r="Q88" s="528">
        <v>28964.791798107257</v>
      </c>
    </row>
    <row r="89" spans="1:17" ht="14.4" customHeight="1" x14ac:dyDescent="0.3">
      <c r="A89" s="523" t="s">
        <v>443</v>
      </c>
      <c r="B89" s="524" t="s">
        <v>1693</v>
      </c>
      <c r="C89" s="524" t="s">
        <v>1694</v>
      </c>
      <c r="D89" s="524" t="s">
        <v>1828</v>
      </c>
      <c r="E89" s="524" t="s">
        <v>1829</v>
      </c>
      <c r="F89" s="527">
        <v>522</v>
      </c>
      <c r="G89" s="527">
        <v>12906450</v>
      </c>
      <c r="H89" s="527">
        <v>1</v>
      </c>
      <c r="I89" s="527">
        <v>24725</v>
      </c>
      <c r="J89" s="527">
        <v>742</v>
      </c>
      <c r="K89" s="527">
        <v>18350246</v>
      </c>
      <c r="L89" s="527">
        <v>1.4217887955247182</v>
      </c>
      <c r="M89" s="527">
        <v>24730.7897574124</v>
      </c>
      <c r="N89" s="527">
        <v>899</v>
      </c>
      <c r="O89" s="527">
        <v>22236503</v>
      </c>
      <c r="P89" s="540">
        <v>1.7228984732439983</v>
      </c>
      <c r="Q89" s="528">
        <v>24734.708565072302</v>
      </c>
    </row>
    <row r="90" spans="1:17" ht="14.4" customHeight="1" x14ac:dyDescent="0.3">
      <c r="A90" s="523" t="s">
        <v>443</v>
      </c>
      <c r="B90" s="524" t="s">
        <v>1693</v>
      </c>
      <c r="C90" s="524" t="s">
        <v>1694</v>
      </c>
      <c r="D90" s="524" t="s">
        <v>1830</v>
      </c>
      <c r="E90" s="524" t="s">
        <v>1831</v>
      </c>
      <c r="F90" s="527">
        <v>575</v>
      </c>
      <c r="G90" s="527">
        <v>7855650</v>
      </c>
      <c r="H90" s="527">
        <v>1</v>
      </c>
      <c r="I90" s="527">
        <v>13662</v>
      </c>
      <c r="J90" s="527">
        <v>499</v>
      </c>
      <c r="K90" s="527">
        <v>6820498</v>
      </c>
      <c r="L90" s="527">
        <v>0.86822834520377057</v>
      </c>
      <c r="M90" s="527">
        <v>13668.332665330661</v>
      </c>
      <c r="N90" s="527">
        <v>634</v>
      </c>
      <c r="O90" s="527">
        <v>8667878</v>
      </c>
      <c r="P90" s="540">
        <v>1.1033941176096185</v>
      </c>
      <c r="Q90" s="528">
        <v>13671.731861198738</v>
      </c>
    </row>
    <row r="91" spans="1:17" ht="14.4" customHeight="1" x14ac:dyDescent="0.3">
      <c r="A91" s="523" t="s">
        <v>443</v>
      </c>
      <c r="B91" s="524" t="s">
        <v>1693</v>
      </c>
      <c r="C91" s="524" t="s">
        <v>1694</v>
      </c>
      <c r="D91" s="524" t="s">
        <v>1832</v>
      </c>
      <c r="E91" s="524" t="s">
        <v>1833</v>
      </c>
      <c r="F91" s="527">
        <v>1944</v>
      </c>
      <c r="G91" s="527">
        <v>12251088</v>
      </c>
      <c r="H91" s="527">
        <v>1</v>
      </c>
      <c r="I91" s="527">
        <v>6302</v>
      </c>
      <c r="J91" s="527">
        <v>1955</v>
      </c>
      <c r="K91" s="527">
        <v>12332994</v>
      </c>
      <c r="L91" s="527">
        <v>1.0066856102902861</v>
      </c>
      <c r="M91" s="527">
        <v>6308.4368286445015</v>
      </c>
      <c r="N91" s="527">
        <v>1795</v>
      </c>
      <c r="O91" s="527">
        <v>11329796</v>
      </c>
      <c r="P91" s="540">
        <v>0.92479916885749247</v>
      </c>
      <c r="Q91" s="528">
        <v>6311.8640668523676</v>
      </c>
    </row>
    <row r="92" spans="1:17" ht="14.4" customHeight="1" x14ac:dyDescent="0.3">
      <c r="A92" s="523" t="s">
        <v>443</v>
      </c>
      <c r="B92" s="524" t="s">
        <v>1693</v>
      </c>
      <c r="C92" s="524" t="s">
        <v>1694</v>
      </c>
      <c r="D92" s="524" t="s">
        <v>1741</v>
      </c>
      <c r="E92" s="524" t="s">
        <v>1742</v>
      </c>
      <c r="F92" s="527">
        <v>1</v>
      </c>
      <c r="G92" s="527">
        <v>102</v>
      </c>
      <c r="H92" s="527">
        <v>1</v>
      </c>
      <c r="I92" s="527">
        <v>102</v>
      </c>
      <c r="J92" s="527">
        <v>1</v>
      </c>
      <c r="K92" s="527">
        <v>102</v>
      </c>
      <c r="L92" s="527">
        <v>1</v>
      </c>
      <c r="M92" s="527">
        <v>102</v>
      </c>
      <c r="N92" s="527">
        <v>3</v>
      </c>
      <c r="O92" s="527">
        <v>309</v>
      </c>
      <c r="P92" s="540">
        <v>3.0294117647058822</v>
      </c>
      <c r="Q92" s="528">
        <v>103</v>
      </c>
    </row>
    <row r="93" spans="1:17" ht="14.4" customHeight="1" x14ac:dyDescent="0.3">
      <c r="A93" s="523" t="s">
        <v>443</v>
      </c>
      <c r="B93" s="524" t="s">
        <v>1693</v>
      </c>
      <c r="C93" s="524" t="s">
        <v>1694</v>
      </c>
      <c r="D93" s="524" t="s">
        <v>1698</v>
      </c>
      <c r="E93" s="524" t="s">
        <v>1699</v>
      </c>
      <c r="F93" s="527">
        <v>190</v>
      </c>
      <c r="G93" s="527">
        <v>121980</v>
      </c>
      <c r="H93" s="527">
        <v>1</v>
      </c>
      <c r="I93" s="527">
        <v>642</v>
      </c>
      <c r="J93" s="527">
        <v>184</v>
      </c>
      <c r="K93" s="527">
        <v>118482</v>
      </c>
      <c r="L93" s="527">
        <v>0.97132316773241512</v>
      </c>
      <c r="M93" s="527">
        <v>643.92391304347825</v>
      </c>
      <c r="N93" s="527">
        <v>172</v>
      </c>
      <c r="O93" s="527">
        <v>110932</v>
      </c>
      <c r="P93" s="540">
        <v>0.90942777504508931</v>
      </c>
      <c r="Q93" s="528">
        <v>644.95348837209303</v>
      </c>
    </row>
    <row r="94" spans="1:17" ht="14.4" customHeight="1" x14ac:dyDescent="0.3">
      <c r="A94" s="523" t="s">
        <v>443</v>
      </c>
      <c r="B94" s="524" t="s">
        <v>1693</v>
      </c>
      <c r="C94" s="524" t="s">
        <v>1694</v>
      </c>
      <c r="D94" s="524" t="s">
        <v>1700</v>
      </c>
      <c r="E94" s="524" t="s">
        <v>1701</v>
      </c>
      <c r="F94" s="527">
        <v>73</v>
      </c>
      <c r="G94" s="527">
        <v>23798</v>
      </c>
      <c r="H94" s="527">
        <v>1</v>
      </c>
      <c r="I94" s="527">
        <v>326</v>
      </c>
      <c r="J94" s="527">
        <v>54</v>
      </c>
      <c r="K94" s="527">
        <v>17710</v>
      </c>
      <c r="L94" s="527">
        <v>0.74418018320867296</v>
      </c>
      <c r="M94" s="527">
        <v>327.96296296296299</v>
      </c>
      <c r="N94" s="527">
        <v>51</v>
      </c>
      <c r="O94" s="527">
        <v>16678</v>
      </c>
      <c r="P94" s="540">
        <v>0.70081519455416419</v>
      </c>
      <c r="Q94" s="528">
        <v>327.01960784313724</v>
      </c>
    </row>
    <row r="95" spans="1:17" ht="14.4" customHeight="1" x14ac:dyDescent="0.3">
      <c r="A95" s="523" t="s">
        <v>443</v>
      </c>
      <c r="B95" s="524" t="s">
        <v>1693</v>
      </c>
      <c r="C95" s="524" t="s">
        <v>1694</v>
      </c>
      <c r="D95" s="524" t="s">
        <v>1834</v>
      </c>
      <c r="E95" s="524" t="s">
        <v>1835</v>
      </c>
      <c r="F95" s="527">
        <v>11</v>
      </c>
      <c r="G95" s="527">
        <v>17237</v>
      </c>
      <c r="H95" s="527">
        <v>1</v>
      </c>
      <c r="I95" s="527">
        <v>1567</v>
      </c>
      <c r="J95" s="527"/>
      <c r="K95" s="527"/>
      <c r="L95" s="527"/>
      <c r="M95" s="527"/>
      <c r="N95" s="527"/>
      <c r="O95" s="527"/>
      <c r="P95" s="540"/>
      <c r="Q95" s="528"/>
    </row>
    <row r="96" spans="1:17" ht="14.4" customHeight="1" x14ac:dyDescent="0.3">
      <c r="A96" s="523" t="s">
        <v>443</v>
      </c>
      <c r="B96" s="524" t="s">
        <v>1693</v>
      </c>
      <c r="C96" s="524" t="s">
        <v>1694</v>
      </c>
      <c r="D96" s="524" t="s">
        <v>1836</v>
      </c>
      <c r="E96" s="524" t="s">
        <v>1837</v>
      </c>
      <c r="F96" s="527">
        <v>1</v>
      </c>
      <c r="G96" s="527">
        <v>2665</v>
      </c>
      <c r="H96" s="527">
        <v>1</v>
      </c>
      <c r="I96" s="527">
        <v>2665</v>
      </c>
      <c r="J96" s="527"/>
      <c r="K96" s="527"/>
      <c r="L96" s="527"/>
      <c r="M96" s="527"/>
      <c r="N96" s="527"/>
      <c r="O96" s="527"/>
      <c r="P96" s="540"/>
      <c r="Q96" s="528"/>
    </row>
    <row r="97" spans="1:17" ht="14.4" customHeight="1" x14ac:dyDescent="0.3">
      <c r="A97" s="523" t="s">
        <v>443</v>
      </c>
      <c r="B97" s="524" t="s">
        <v>1693</v>
      </c>
      <c r="C97" s="524" t="s">
        <v>1694</v>
      </c>
      <c r="D97" s="524" t="s">
        <v>1838</v>
      </c>
      <c r="E97" s="524" t="s">
        <v>1839</v>
      </c>
      <c r="F97" s="527">
        <v>1</v>
      </c>
      <c r="G97" s="527">
        <v>5905</v>
      </c>
      <c r="H97" s="527">
        <v>1</v>
      </c>
      <c r="I97" s="527">
        <v>5905</v>
      </c>
      <c r="J97" s="527"/>
      <c r="K97" s="527"/>
      <c r="L97" s="527"/>
      <c r="M97" s="527"/>
      <c r="N97" s="527"/>
      <c r="O97" s="527"/>
      <c r="P97" s="540"/>
      <c r="Q97" s="528"/>
    </row>
    <row r="98" spans="1:17" ht="14.4" customHeight="1" x14ac:dyDescent="0.3">
      <c r="A98" s="523" t="s">
        <v>443</v>
      </c>
      <c r="B98" s="524" t="s">
        <v>1693</v>
      </c>
      <c r="C98" s="524" t="s">
        <v>1694</v>
      </c>
      <c r="D98" s="524" t="s">
        <v>785</v>
      </c>
      <c r="E98" s="524" t="s">
        <v>1840</v>
      </c>
      <c r="F98" s="527">
        <v>1</v>
      </c>
      <c r="G98" s="527">
        <v>1879</v>
      </c>
      <c r="H98" s="527">
        <v>1</v>
      </c>
      <c r="I98" s="527">
        <v>1879</v>
      </c>
      <c r="J98" s="527"/>
      <c r="K98" s="527"/>
      <c r="L98" s="527"/>
      <c r="M98" s="527"/>
      <c r="N98" s="527"/>
      <c r="O98" s="527"/>
      <c r="P98" s="540"/>
      <c r="Q98" s="528"/>
    </row>
    <row r="99" spans="1:17" ht="14.4" customHeight="1" x14ac:dyDescent="0.3">
      <c r="A99" s="523" t="s">
        <v>443</v>
      </c>
      <c r="B99" s="524" t="s">
        <v>1693</v>
      </c>
      <c r="C99" s="524" t="s">
        <v>1694</v>
      </c>
      <c r="D99" s="524" t="s">
        <v>1841</v>
      </c>
      <c r="E99" s="524" t="s">
        <v>1842</v>
      </c>
      <c r="F99" s="527">
        <v>2</v>
      </c>
      <c r="G99" s="527">
        <v>6872</v>
      </c>
      <c r="H99" s="527">
        <v>1</v>
      </c>
      <c r="I99" s="527">
        <v>3436</v>
      </c>
      <c r="J99" s="527"/>
      <c r="K99" s="527"/>
      <c r="L99" s="527"/>
      <c r="M99" s="527"/>
      <c r="N99" s="527"/>
      <c r="O99" s="527"/>
      <c r="P99" s="540"/>
      <c r="Q99" s="528"/>
    </row>
    <row r="100" spans="1:17" ht="14.4" customHeight="1" x14ac:dyDescent="0.3">
      <c r="A100" s="523" t="s">
        <v>443</v>
      </c>
      <c r="B100" s="524" t="s">
        <v>1693</v>
      </c>
      <c r="C100" s="524" t="s">
        <v>1694</v>
      </c>
      <c r="D100" s="524" t="s">
        <v>1843</v>
      </c>
      <c r="E100" s="524" t="s">
        <v>1844</v>
      </c>
      <c r="F100" s="527">
        <v>1</v>
      </c>
      <c r="G100" s="527">
        <v>6445</v>
      </c>
      <c r="H100" s="527">
        <v>1</v>
      </c>
      <c r="I100" s="527">
        <v>6445</v>
      </c>
      <c r="J100" s="527"/>
      <c r="K100" s="527"/>
      <c r="L100" s="527"/>
      <c r="M100" s="527"/>
      <c r="N100" s="527"/>
      <c r="O100" s="527"/>
      <c r="P100" s="540"/>
      <c r="Q100" s="528"/>
    </row>
    <row r="101" spans="1:17" ht="14.4" customHeight="1" x14ac:dyDescent="0.3">
      <c r="A101" s="523" t="s">
        <v>443</v>
      </c>
      <c r="B101" s="524" t="s">
        <v>1693</v>
      </c>
      <c r="C101" s="524" t="s">
        <v>1694</v>
      </c>
      <c r="D101" s="524" t="s">
        <v>1845</v>
      </c>
      <c r="E101" s="524" t="s">
        <v>1846</v>
      </c>
      <c r="F101" s="527">
        <v>4</v>
      </c>
      <c r="G101" s="527">
        <v>4808</v>
      </c>
      <c r="H101" s="527">
        <v>1</v>
      </c>
      <c r="I101" s="527">
        <v>1202</v>
      </c>
      <c r="J101" s="527"/>
      <c r="K101" s="527"/>
      <c r="L101" s="527"/>
      <c r="M101" s="527"/>
      <c r="N101" s="527"/>
      <c r="O101" s="527"/>
      <c r="P101" s="540"/>
      <c r="Q101" s="528"/>
    </row>
    <row r="102" spans="1:17" ht="14.4" customHeight="1" x14ac:dyDescent="0.3">
      <c r="A102" s="523" t="s">
        <v>443</v>
      </c>
      <c r="B102" s="524" t="s">
        <v>1693</v>
      </c>
      <c r="C102" s="524" t="s">
        <v>1694</v>
      </c>
      <c r="D102" s="524" t="s">
        <v>1847</v>
      </c>
      <c r="E102" s="524" t="s">
        <v>1848</v>
      </c>
      <c r="F102" s="527">
        <v>1</v>
      </c>
      <c r="G102" s="527">
        <v>4380</v>
      </c>
      <c r="H102" s="527">
        <v>1</v>
      </c>
      <c r="I102" s="527">
        <v>4380</v>
      </c>
      <c r="J102" s="527"/>
      <c r="K102" s="527"/>
      <c r="L102" s="527"/>
      <c r="M102" s="527"/>
      <c r="N102" s="527"/>
      <c r="O102" s="527"/>
      <c r="P102" s="540"/>
      <c r="Q102" s="528"/>
    </row>
    <row r="103" spans="1:17" ht="14.4" customHeight="1" x14ac:dyDescent="0.3">
      <c r="A103" s="523" t="s">
        <v>443</v>
      </c>
      <c r="B103" s="524" t="s">
        <v>1693</v>
      </c>
      <c r="C103" s="524" t="s">
        <v>1694</v>
      </c>
      <c r="D103" s="524" t="s">
        <v>1849</v>
      </c>
      <c r="E103" s="524" t="s">
        <v>1850</v>
      </c>
      <c r="F103" s="527">
        <v>2</v>
      </c>
      <c r="G103" s="527">
        <v>340</v>
      </c>
      <c r="H103" s="527">
        <v>1</v>
      </c>
      <c r="I103" s="527">
        <v>170</v>
      </c>
      <c r="J103" s="527"/>
      <c r="K103" s="527"/>
      <c r="L103" s="527"/>
      <c r="M103" s="527"/>
      <c r="N103" s="527"/>
      <c r="O103" s="527"/>
      <c r="P103" s="540"/>
      <c r="Q103" s="528"/>
    </row>
    <row r="104" spans="1:17" ht="14.4" customHeight="1" x14ac:dyDescent="0.3">
      <c r="A104" s="523" t="s">
        <v>443</v>
      </c>
      <c r="B104" s="524" t="s">
        <v>1693</v>
      </c>
      <c r="C104" s="524" t="s">
        <v>1694</v>
      </c>
      <c r="D104" s="524" t="s">
        <v>1851</v>
      </c>
      <c r="E104" s="524" t="s">
        <v>1852</v>
      </c>
      <c r="F104" s="527">
        <v>1</v>
      </c>
      <c r="G104" s="527">
        <v>478</v>
      </c>
      <c r="H104" s="527">
        <v>1</v>
      </c>
      <c r="I104" s="527">
        <v>478</v>
      </c>
      <c r="J104" s="527"/>
      <c r="K104" s="527"/>
      <c r="L104" s="527"/>
      <c r="M104" s="527"/>
      <c r="N104" s="527"/>
      <c r="O104" s="527"/>
      <c r="P104" s="540"/>
      <c r="Q104" s="528"/>
    </row>
    <row r="105" spans="1:17" ht="14.4" customHeight="1" x14ac:dyDescent="0.3">
      <c r="A105" s="523" t="s">
        <v>443</v>
      </c>
      <c r="B105" s="524" t="s">
        <v>1693</v>
      </c>
      <c r="C105" s="524" t="s">
        <v>1694</v>
      </c>
      <c r="D105" s="524" t="s">
        <v>1853</v>
      </c>
      <c r="E105" s="524" t="s">
        <v>1854</v>
      </c>
      <c r="F105" s="527">
        <v>2</v>
      </c>
      <c r="G105" s="527">
        <v>3298</v>
      </c>
      <c r="H105" s="527">
        <v>1</v>
      </c>
      <c r="I105" s="527">
        <v>1649</v>
      </c>
      <c r="J105" s="527"/>
      <c r="K105" s="527"/>
      <c r="L105" s="527"/>
      <c r="M105" s="527"/>
      <c r="N105" s="527"/>
      <c r="O105" s="527"/>
      <c r="P105" s="540"/>
      <c r="Q105" s="528"/>
    </row>
    <row r="106" spans="1:17" ht="14.4" customHeight="1" x14ac:dyDescent="0.3">
      <c r="A106" s="523" t="s">
        <v>443</v>
      </c>
      <c r="B106" s="524" t="s">
        <v>1693</v>
      </c>
      <c r="C106" s="524" t="s">
        <v>1694</v>
      </c>
      <c r="D106" s="524" t="s">
        <v>1753</v>
      </c>
      <c r="E106" s="524" t="s">
        <v>1754</v>
      </c>
      <c r="F106" s="527">
        <v>27</v>
      </c>
      <c r="G106" s="527">
        <v>5238</v>
      </c>
      <c r="H106" s="527">
        <v>1</v>
      </c>
      <c r="I106" s="527">
        <v>194</v>
      </c>
      <c r="J106" s="527"/>
      <c r="K106" s="527"/>
      <c r="L106" s="527"/>
      <c r="M106" s="527"/>
      <c r="N106" s="527"/>
      <c r="O106" s="527"/>
      <c r="P106" s="540"/>
      <c r="Q106" s="528"/>
    </row>
    <row r="107" spans="1:17" ht="14.4" customHeight="1" x14ac:dyDescent="0.3">
      <c r="A107" s="523" t="s">
        <v>443</v>
      </c>
      <c r="B107" s="524" t="s">
        <v>1693</v>
      </c>
      <c r="C107" s="524" t="s">
        <v>1694</v>
      </c>
      <c r="D107" s="524" t="s">
        <v>1855</v>
      </c>
      <c r="E107" s="524" t="s">
        <v>1856</v>
      </c>
      <c r="F107" s="527">
        <v>1</v>
      </c>
      <c r="G107" s="527">
        <v>300</v>
      </c>
      <c r="H107" s="527">
        <v>1</v>
      </c>
      <c r="I107" s="527">
        <v>300</v>
      </c>
      <c r="J107" s="527"/>
      <c r="K107" s="527"/>
      <c r="L107" s="527"/>
      <c r="M107" s="527"/>
      <c r="N107" s="527"/>
      <c r="O107" s="527"/>
      <c r="P107" s="540"/>
      <c r="Q107" s="528"/>
    </row>
    <row r="108" spans="1:17" ht="14.4" customHeight="1" x14ac:dyDescent="0.3">
      <c r="A108" s="523" t="s">
        <v>443</v>
      </c>
      <c r="B108" s="524" t="s">
        <v>1693</v>
      </c>
      <c r="C108" s="524" t="s">
        <v>1694</v>
      </c>
      <c r="D108" s="524" t="s">
        <v>1857</v>
      </c>
      <c r="E108" s="524" t="s">
        <v>1858</v>
      </c>
      <c r="F108" s="527">
        <v>2</v>
      </c>
      <c r="G108" s="527">
        <v>3678</v>
      </c>
      <c r="H108" s="527">
        <v>1</v>
      </c>
      <c r="I108" s="527">
        <v>1839</v>
      </c>
      <c r="J108" s="527"/>
      <c r="K108" s="527"/>
      <c r="L108" s="527"/>
      <c r="M108" s="527"/>
      <c r="N108" s="527"/>
      <c r="O108" s="527"/>
      <c r="P108" s="540"/>
      <c r="Q108" s="528"/>
    </row>
    <row r="109" spans="1:17" ht="14.4" customHeight="1" x14ac:dyDescent="0.3">
      <c r="A109" s="523" t="s">
        <v>443</v>
      </c>
      <c r="B109" s="524" t="s">
        <v>1693</v>
      </c>
      <c r="C109" s="524" t="s">
        <v>1694</v>
      </c>
      <c r="D109" s="524" t="s">
        <v>1859</v>
      </c>
      <c r="E109" s="524" t="s">
        <v>1860</v>
      </c>
      <c r="F109" s="527">
        <v>2</v>
      </c>
      <c r="G109" s="527">
        <v>1206</v>
      </c>
      <c r="H109" s="527">
        <v>1</v>
      </c>
      <c r="I109" s="527">
        <v>603</v>
      </c>
      <c r="J109" s="527">
        <v>3</v>
      </c>
      <c r="K109" s="527">
        <v>1812</v>
      </c>
      <c r="L109" s="527">
        <v>1.5024875621890548</v>
      </c>
      <c r="M109" s="527">
        <v>604</v>
      </c>
      <c r="N109" s="527"/>
      <c r="O109" s="527"/>
      <c r="P109" s="540"/>
      <c r="Q109" s="528"/>
    </row>
    <row r="110" spans="1:17" ht="14.4" customHeight="1" x14ac:dyDescent="0.3">
      <c r="A110" s="523" t="s">
        <v>443</v>
      </c>
      <c r="B110" s="524" t="s">
        <v>1693</v>
      </c>
      <c r="C110" s="524" t="s">
        <v>1694</v>
      </c>
      <c r="D110" s="524" t="s">
        <v>1861</v>
      </c>
      <c r="E110" s="524" t="s">
        <v>1860</v>
      </c>
      <c r="F110" s="527"/>
      <c r="G110" s="527"/>
      <c r="H110" s="527"/>
      <c r="I110" s="527"/>
      <c r="J110" s="527">
        <v>1</v>
      </c>
      <c r="K110" s="527">
        <v>518</v>
      </c>
      <c r="L110" s="527"/>
      <c r="M110" s="527">
        <v>518</v>
      </c>
      <c r="N110" s="527"/>
      <c r="O110" s="527"/>
      <c r="P110" s="540"/>
      <c r="Q110" s="528"/>
    </row>
    <row r="111" spans="1:17" ht="14.4" customHeight="1" x14ac:dyDescent="0.3">
      <c r="A111" s="523" t="s">
        <v>443</v>
      </c>
      <c r="B111" s="524" t="s">
        <v>1693</v>
      </c>
      <c r="C111" s="524" t="s">
        <v>1694</v>
      </c>
      <c r="D111" s="524" t="s">
        <v>1755</v>
      </c>
      <c r="E111" s="524" t="s">
        <v>1756</v>
      </c>
      <c r="F111" s="527">
        <v>0</v>
      </c>
      <c r="G111" s="527">
        <v>0</v>
      </c>
      <c r="H111" s="527"/>
      <c r="I111" s="527"/>
      <c r="J111" s="527">
        <v>0</v>
      </c>
      <c r="K111" s="527">
        <v>0</v>
      </c>
      <c r="L111" s="527"/>
      <c r="M111" s="527"/>
      <c r="N111" s="527">
        <v>0</v>
      </c>
      <c r="O111" s="527">
        <v>0</v>
      </c>
      <c r="P111" s="540"/>
      <c r="Q111" s="528"/>
    </row>
    <row r="112" spans="1:17" ht="14.4" customHeight="1" x14ac:dyDescent="0.3">
      <c r="A112" s="523" t="s">
        <v>443</v>
      </c>
      <c r="B112" s="524" t="s">
        <v>1693</v>
      </c>
      <c r="C112" s="524" t="s">
        <v>1694</v>
      </c>
      <c r="D112" s="524" t="s">
        <v>1757</v>
      </c>
      <c r="E112" s="524" t="s">
        <v>1758</v>
      </c>
      <c r="F112" s="527">
        <v>1262</v>
      </c>
      <c r="G112" s="527">
        <v>0</v>
      </c>
      <c r="H112" s="527"/>
      <c r="I112" s="527">
        <v>0</v>
      </c>
      <c r="J112" s="527">
        <v>1565</v>
      </c>
      <c r="K112" s="527">
        <v>0</v>
      </c>
      <c r="L112" s="527"/>
      <c r="M112" s="527">
        <v>0</v>
      </c>
      <c r="N112" s="527">
        <v>1911</v>
      </c>
      <c r="O112" s="527">
        <v>0</v>
      </c>
      <c r="P112" s="540"/>
      <c r="Q112" s="528">
        <v>0</v>
      </c>
    </row>
    <row r="113" spans="1:17" ht="14.4" customHeight="1" x14ac:dyDescent="0.3">
      <c r="A113" s="523" t="s">
        <v>443</v>
      </c>
      <c r="B113" s="524" t="s">
        <v>1693</v>
      </c>
      <c r="C113" s="524" t="s">
        <v>1694</v>
      </c>
      <c r="D113" s="524" t="s">
        <v>1695</v>
      </c>
      <c r="E113" s="524" t="s">
        <v>1696</v>
      </c>
      <c r="F113" s="527">
        <v>377</v>
      </c>
      <c r="G113" s="527">
        <v>0</v>
      </c>
      <c r="H113" s="527"/>
      <c r="I113" s="527">
        <v>0</v>
      </c>
      <c r="J113" s="527">
        <v>342</v>
      </c>
      <c r="K113" s="527">
        <v>0</v>
      </c>
      <c r="L113" s="527"/>
      <c r="M113" s="527">
        <v>0</v>
      </c>
      <c r="N113" s="527">
        <v>475</v>
      </c>
      <c r="O113" s="527">
        <v>0</v>
      </c>
      <c r="P113" s="540"/>
      <c r="Q113" s="528">
        <v>0</v>
      </c>
    </row>
    <row r="114" spans="1:17" ht="14.4" customHeight="1" x14ac:dyDescent="0.3">
      <c r="A114" s="523" t="s">
        <v>443</v>
      </c>
      <c r="B114" s="524" t="s">
        <v>1693</v>
      </c>
      <c r="C114" s="524" t="s">
        <v>1694</v>
      </c>
      <c r="D114" s="524" t="s">
        <v>1759</v>
      </c>
      <c r="E114" s="524" t="s">
        <v>1760</v>
      </c>
      <c r="F114" s="527">
        <v>15</v>
      </c>
      <c r="G114" s="527">
        <v>0</v>
      </c>
      <c r="H114" s="527"/>
      <c r="I114" s="527">
        <v>0</v>
      </c>
      <c r="J114" s="527">
        <v>17</v>
      </c>
      <c r="K114" s="527">
        <v>0</v>
      </c>
      <c r="L114" s="527"/>
      <c r="M114" s="527">
        <v>0</v>
      </c>
      <c r="N114" s="527">
        <v>7</v>
      </c>
      <c r="O114" s="527">
        <v>0</v>
      </c>
      <c r="P114" s="540"/>
      <c r="Q114" s="528">
        <v>0</v>
      </c>
    </row>
    <row r="115" spans="1:17" ht="14.4" customHeight="1" x14ac:dyDescent="0.3">
      <c r="A115" s="523" t="s">
        <v>443</v>
      </c>
      <c r="B115" s="524" t="s">
        <v>1693</v>
      </c>
      <c r="C115" s="524" t="s">
        <v>1694</v>
      </c>
      <c r="D115" s="524" t="s">
        <v>1862</v>
      </c>
      <c r="E115" s="524" t="s">
        <v>1863</v>
      </c>
      <c r="F115" s="527"/>
      <c r="G115" s="527"/>
      <c r="H115" s="527"/>
      <c r="I115" s="527"/>
      <c r="J115" s="527"/>
      <c r="K115" s="527"/>
      <c r="L115" s="527"/>
      <c r="M115" s="527"/>
      <c r="N115" s="527">
        <v>21</v>
      </c>
      <c r="O115" s="527">
        <v>0</v>
      </c>
      <c r="P115" s="540"/>
      <c r="Q115" s="528">
        <v>0</v>
      </c>
    </row>
    <row r="116" spans="1:17" ht="14.4" customHeight="1" x14ac:dyDescent="0.3">
      <c r="A116" s="523" t="s">
        <v>443</v>
      </c>
      <c r="B116" s="524" t="s">
        <v>1693</v>
      </c>
      <c r="C116" s="524" t="s">
        <v>1694</v>
      </c>
      <c r="D116" s="524" t="s">
        <v>1864</v>
      </c>
      <c r="E116" s="524" t="s">
        <v>1865</v>
      </c>
      <c r="F116" s="527"/>
      <c r="G116" s="527"/>
      <c r="H116" s="527"/>
      <c r="I116" s="527"/>
      <c r="J116" s="527"/>
      <c r="K116" s="527"/>
      <c r="L116" s="527"/>
      <c r="M116" s="527"/>
      <c r="N116" s="527">
        <v>13</v>
      </c>
      <c r="O116" s="527">
        <v>0</v>
      </c>
      <c r="P116" s="540"/>
      <c r="Q116" s="528">
        <v>0</v>
      </c>
    </row>
    <row r="117" spans="1:17" ht="14.4" customHeight="1" x14ac:dyDescent="0.3">
      <c r="A117" s="523" t="s">
        <v>443</v>
      </c>
      <c r="B117" s="524" t="s">
        <v>1693</v>
      </c>
      <c r="C117" s="524" t="s">
        <v>1694</v>
      </c>
      <c r="D117" s="524" t="s">
        <v>1866</v>
      </c>
      <c r="E117" s="524" t="s">
        <v>1863</v>
      </c>
      <c r="F117" s="527"/>
      <c r="G117" s="527"/>
      <c r="H117" s="527"/>
      <c r="I117" s="527"/>
      <c r="J117" s="527"/>
      <c r="K117" s="527"/>
      <c r="L117" s="527"/>
      <c r="M117" s="527"/>
      <c r="N117" s="527">
        <v>32</v>
      </c>
      <c r="O117" s="527">
        <v>0</v>
      </c>
      <c r="P117" s="540"/>
      <c r="Q117" s="528">
        <v>0</v>
      </c>
    </row>
    <row r="118" spans="1:17" ht="14.4" customHeight="1" x14ac:dyDescent="0.3">
      <c r="A118" s="523" t="s">
        <v>443</v>
      </c>
      <c r="B118" s="524" t="s">
        <v>1693</v>
      </c>
      <c r="C118" s="524" t="s">
        <v>1694</v>
      </c>
      <c r="D118" s="524" t="s">
        <v>1867</v>
      </c>
      <c r="E118" s="524" t="s">
        <v>1863</v>
      </c>
      <c r="F118" s="527"/>
      <c r="G118" s="527"/>
      <c r="H118" s="527"/>
      <c r="I118" s="527"/>
      <c r="J118" s="527"/>
      <c r="K118" s="527"/>
      <c r="L118" s="527"/>
      <c r="M118" s="527"/>
      <c r="N118" s="527">
        <v>6</v>
      </c>
      <c r="O118" s="527">
        <v>0</v>
      </c>
      <c r="P118" s="540"/>
      <c r="Q118" s="528">
        <v>0</v>
      </c>
    </row>
    <row r="119" spans="1:17" ht="14.4" customHeight="1" x14ac:dyDescent="0.3">
      <c r="A119" s="523" t="s">
        <v>443</v>
      </c>
      <c r="B119" s="524" t="s">
        <v>1693</v>
      </c>
      <c r="C119" s="524" t="s">
        <v>1694</v>
      </c>
      <c r="D119" s="524" t="s">
        <v>1868</v>
      </c>
      <c r="E119" s="524" t="s">
        <v>1863</v>
      </c>
      <c r="F119" s="527"/>
      <c r="G119" s="527"/>
      <c r="H119" s="527"/>
      <c r="I119" s="527"/>
      <c r="J119" s="527"/>
      <c r="K119" s="527"/>
      <c r="L119" s="527"/>
      <c r="M119" s="527"/>
      <c r="N119" s="527">
        <v>6</v>
      </c>
      <c r="O119" s="527">
        <v>0</v>
      </c>
      <c r="P119" s="540"/>
      <c r="Q119" s="528">
        <v>0</v>
      </c>
    </row>
    <row r="120" spans="1:17" ht="14.4" customHeight="1" x14ac:dyDescent="0.3">
      <c r="A120" s="523" t="s">
        <v>443</v>
      </c>
      <c r="B120" s="524" t="s">
        <v>1693</v>
      </c>
      <c r="C120" s="524" t="s">
        <v>1694</v>
      </c>
      <c r="D120" s="524" t="s">
        <v>1761</v>
      </c>
      <c r="E120" s="524" t="s">
        <v>1762</v>
      </c>
      <c r="F120" s="527">
        <v>40</v>
      </c>
      <c r="G120" s="527">
        <v>0</v>
      </c>
      <c r="H120" s="527"/>
      <c r="I120" s="527">
        <v>0</v>
      </c>
      <c r="J120" s="527">
        <v>48</v>
      </c>
      <c r="K120" s="527">
        <v>0</v>
      </c>
      <c r="L120" s="527"/>
      <c r="M120" s="527">
        <v>0</v>
      </c>
      <c r="N120" s="527">
        <v>47</v>
      </c>
      <c r="O120" s="527">
        <v>0</v>
      </c>
      <c r="P120" s="540"/>
      <c r="Q120" s="528">
        <v>0</v>
      </c>
    </row>
    <row r="121" spans="1:17" ht="14.4" customHeight="1" x14ac:dyDescent="0.3">
      <c r="A121" s="523" t="s">
        <v>443</v>
      </c>
      <c r="B121" s="524" t="s">
        <v>1693</v>
      </c>
      <c r="C121" s="524" t="s">
        <v>1694</v>
      </c>
      <c r="D121" s="524" t="s">
        <v>1763</v>
      </c>
      <c r="E121" s="524" t="s">
        <v>1764</v>
      </c>
      <c r="F121" s="527">
        <v>38</v>
      </c>
      <c r="G121" s="527">
        <v>0</v>
      </c>
      <c r="H121" s="527"/>
      <c r="I121" s="527">
        <v>0</v>
      </c>
      <c r="J121" s="527">
        <v>50</v>
      </c>
      <c r="K121" s="527">
        <v>0</v>
      </c>
      <c r="L121" s="527"/>
      <c r="M121" s="527">
        <v>0</v>
      </c>
      <c r="N121" s="527">
        <v>25</v>
      </c>
      <c r="O121" s="527">
        <v>0</v>
      </c>
      <c r="P121" s="540"/>
      <c r="Q121" s="528">
        <v>0</v>
      </c>
    </row>
    <row r="122" spans="1:17" ht="14.4" customHeight="1" x14ac:dyDescent="0.3">
      <c r="A122" s="523" t="s">
        <v>443</v>
      </c>
      <c r="B122" s="524" t="s">
        <v>1693</v>
      </c>
      <c r="C122" s="524" t="s">
        <v>1694</v>
      </c>
      <c r="D122" s="524" t="s">
        <v>1869</v>
      </c>
      <c r="E122" s="524" t="s">
        <v>1870</v>
      </c>
      <c r="F122" s="527">
        <v>10</v>
      </c>
      <c r="G122" s="527">
        <v>0</v>
      </c>
      <c r="H122" s="527"/>
      <c r="I122" s="527">
        <v>0</v>
      </c>
      <c r="J122" s="527">
        <v>7</v>
      </c>
      <c r="K122" s="527">
        <v>0</v>
      </c>
      <c r="L122" s="527"/>
      <c r="M122" s="527">
        <v>0</v>
      </c>
      <c r="N122" s="527">
        <v>11</v>
      </c>
      <c r="O122" s="527">
        <v>0</v>
      </c>
      <c r="P122" s="540"/>
      <c r="Q122" s="528">
        <v>0</v>
      </c>
    </row>
    <row r="123" spans="1:17" ht="14.4" customHeight="1" x14ac:dyDescent="0.3">
      <c r="A123" s="523" t="s">
        <v>443</v>
      </c>
      <c r="B123" s="524" t="s">
        <v>1693</v>
      </c>
      <c r="C123" s="524" t="s">
        <v>1694</v>
      </c>
      <c r="D123" s="524" t="s">
        <v>1871</v>
      </c>
      <c r="E123" s="524" t="s">
        <v>1872</v>
      </c>
      <c r="F123" s="527">
        <v>44</v>
      </c>
      <c r="G123" s="527">
        <v>0</v>
      </c>
      <c r="H123" s="527"/>
      <c r="I123" s="527">
        <v>0</v>
      </c>
      <c r="J123" s="527">
        <v>27</v>
      </c>
      <c r="K123" s="527">
        <v>0</v>
      </c>
      <c r="L123" s="527"/>
      <c r="M123" s="527">
        <v>0</v>
      </c>
      <c r="N123" s="527">
        <v>31</v>
      </c>
      <c r="O123" s="527">
        <v>0</v>
      </c>
      <c r="P123" s="540"/>
      <c r="Q123" s="528">
        <v>0</v>
      </c>
    </row>
    <row r="124" spans="1:17" ht="14.4" customHeight="1" x14ac:dyDescent="0.3">
      <c r="A124" s="523" t="s">
        <v>443</v>
      </c>
      <c r="B124" s="524" t="s">
        <v>1693</v>
      </c>
      <c r="C124" s="524" t="s">
        <v>1694</v>
      </c>
      <c r="D124" s="524" t="s">
        <v>1765</v>
      </c>
      <c r="E124" s="524" t="s">
        <v>1766</v>
      </c>
      <c r="F124" s="527">
        <v>9</v>
      </c>
      <c r="G124" s="527">
        <v>0</v>
      </c>
      <c r="H124" s="527"/>
      <c r="I124" s="527">
        <v>0</v>
      </c>
      <c r="J124" s="527">
        <v>14</v>
      </c>
      <c r="K124" s="527">
        <v>0</v>
      </c>
      <c r="L124" s="527"/>
      <c r="M124" s="527">
        <v>0</v>
      </c>
      <c r="N124" s="527">
        <v>17</v>
      </c>
      <c r="O124" s="527">
        <v>0</v>
      </c>
      <c r="P124" s="540"/>
      <c r="Q124" s="528">
        <v>0</v>
      </c>
    </row>
    <row r="125" spans="1:17" ht="14.4" customHeight="1" x14ac:dyDescent="0.3">
      <c r="A125" s="523" t="s">
        <v>443</v>
      </c>
      <c r="B125" s="524" t="s">
        <v>1693</v>
      </c>
      <c r="C125" s="524" t="s">
        <v>1694</v>
      </c>
      <c r="D125" s="524" t="s">
        <v>1767</v>
      </c>
      <c r="E125" s="524" t="s">
        <v>1768</v>
      </c>
      <c r="F125" s="527">
        <v>64</v>
      </c>
      <c r="G125" s="527">
        <v>0</v>
      </c>
      <c r="H125" s="527"/>
      <c r="I125" s="527">
        <v>0</v>
      </c>
      <c r="J125" s="527">
        <v>50</v>
      </c>
      <c r="K125" s="527">
        <v>0</v>
      </c>
      <c r="L125" s="527"/>
      <c r="M125" s="527">
        <v>0</v>
      </c>
      <c r="N125" s="527">
        <v>54</v>
      </c>
      <c r="O125" s="527">
        <v>0</v>
      </c>
      <c r="P125" s="540"/>
      <c r="Q125" s="528">
        <v>0</v>
      </c>
    </row>
    <row r="126" spans="1:17" ht="14.4" customHeight="1" x14ac:dyDescent="0.3">
      <c r="A126" s="523" t="s">
        <v>443</v>
      </c>
      <c r="B126" s="524" t="s">
        <v>1693</v>
      </c>
      <c r="C126" s="524" t="s">
        <v>1694</v>
      </c>
      <c r="D126" s="524" t="s">
        <v>1873</v>
      </c>
      <c r="E126" s="524" t="s">
        <v>1874</v>
      </c>
      <c r="F126" s="527"/>
      <c r="G126" s="527"/>
      <c r="H126" s="527"/>
      <c r="I126" s="527"/>
      <c r="J126" s="527"/>
      <c r="K126" s="527"/>
      <c r="L126" s="527"/>
      <c r="M126" s="527"/>
      <c r="N126" s="527">
        <v>5</v>
      </c>
      <c r="O126" s="527">
        <v>0</v>
      </c>
      <c r="P126" s="540"/>
      <c r="Q126" s="528">
        <v>0</v>
      </c>
    </row>
    <row r="127" spans="1:17" ht="14.4" customHeight="1" x14ac:dyDescent="0.3">
      <c r="A127" s="523" t="s">
        <v>443</v>
      </c>
      <c r="B127" s="524" t="s">
        <v>1693</v>
      </c>
      <c r="C127" s="524" t="s">
        <v>1694</v>
      </c>
      <c r="D127" s="524" t="s">
        <v>1875</v>
      </c>
      <c r="E127" s="524" t="s">
        <v>1863</v>
      </c>
      <c r="F127" s="527"/>
      <c r="G127" s="527"/>
      <c r="H127" s="527"/>
      <c r="I127" s="527"/>
      <c r="J127" s="527"/>
      <c r="K127" s="527"/>
      <c r="L127" s="527"/>
      <c r="M127" s="527"/>
      <c r="N127" s="527">
        <v>1</v>
      </c>
      <c r="O127" s="527">
        <v>0</v>
      </c>
      <c r="P127" s="540"/>
      <c r="Q127" s="528">
        <v>0</v>
      </c>
    </row>
    <row r="128" spans="1:17" ht="14.4" customHeight="1" x14ac:dyDescent="0.3">
      <c r="A128" s="523" t="s">
        <v>443</v>
      </c>
      <c r="B128" s="524" t="s">
        <v>1693</v>
      </c>
      <c r="C128" s="524" t="s">
        <v>1694</v>
      </c>
      <c r="D128" s="524" t="s">
        <v>1876</v>
      </c>
      <c r="E128" s="524" t="s">
        <v>1877</v>
      </c>
      <c r="F128" s="527">
        <v>1</v>
      </c>
      <c r="G128" s="527">
        <v>8381</v>
      </c>
      <c r="H128" s="527">
        <v>1</v>
      </c>
      <c r="I128" s="527">
        <v>8381</v>
      </c>
      <c r="J128" s="527"/>
      <c r="K128" s="527"/>
      <c r="L128" s="527"/>
      <c r="M128" s="527"/>
      <c r="N128" s="527"/>
      <c r="O128" s="527"/>
      <c r="P128" s="540"/>
      <c r="Q128" s="528"/>
    </row>
    <row r="129" spans="1:17" ht="14.4" customHeight="1" x14ac:dyDescent="0.3">
      <c r="A129" s="523" t="s">
        <v>443</v>
      </c>
      <c r="B129" s="524" t="s">
        <v>1693</v>
      </c>
      <c r="C129" s="524" t="s">
        <v>1694</v>
      </c>
      <c r="D129" s="524" t="s">
        <v>1878</v>
      </c>
      <c r="E129" s="524" t="s">
        <v>1879</v>
      </c>
      <c r="F129" s="527">
        <v>1</v>
      </c>
      <c r="G129" s="527">
        <v>5730</v>
      </c>
      <c r="H129" s="527">
        <v>1</v>
      </c>
      <c r="I129" s="527">
        <v>5730</v>
      </c>
      <c r="J129" s="527"/>
      <c r="K129" s="527"/>
      <c r="L129" s="527"/>
      <c r="M129" s="527"/>
      <c r="N129" s="527"/>
      <c r="O129" s="527"/>
      <c r="P129" s="540"/>
      <c r="Q129" s="528"/>
    </row>
    <row r="130" spans="1:17" ht="14.4" customHeight="1" x14ac:dyDescent="0.3">
      <c r="A130" s="523" t="s">
        <v>443</v>
      </c>
      <c r="B130" s="524" t="s">
        <v>1693</v>
      </c>
      <c r="C130" s="524" t="s">
        <v>1694</v>
      </c>
      <c r="D130" s="524" t="s">
        <v>1880</v>
      </c>
      <c r="E130" s="524" t="s">
        <v>1863</v>
      </c>
      <c r="F130" s="527"/>
      <c r="G130" s="527"/>
      <c r="H130" s="527"/>
      <c r="I130" s="527"/>
      <c r="J130" s="527"/>
      <c r="K130" s="527"/>
      <c r="L130" s="527"/>
      <c r="M130" s="527"/>
      <c r="N130" s="527">
        <v>1</v>
      </c>
      <c r="O130" s="527">
        <v>0</v>
      </c>
      <c r="P130" s="540"/>
      <c r="Q130" s="528">
        <v>0</v>
      </c>
    </row>
    <row r="131" spans="1:17" ht="14.4" customHeight="1" x14ac:dyDescent="0.3">
      <c r="A131" s="523" t="s">
        <v>443</v>
      </c>
      <c r="B131" s="524" t="s">
        <v>1881</v>
      </c>
      <c r="C131" s="524" t="s">
        <v>1694</v>
      </c>
      <c r="D131" s="524" t="s">
        <v>785</v>
      </c>
      <c r="E131" s="524" t="s">
        <v>1840</v>
      </c>
      <c r="F131" s="527"/>
      <c r="G131" s="527"/>
      <c r="H131" s="527"/>
      <c r="I131" s="527"/>
      <c r="J131" s="527"/>
      <c r="K131" s="527"/>
      <c r="L131" s="527"/>
      <c r="M131" s="527"/>
      <c r="N131" s="527">
        <v>1</v>
      </c>
      <c r="O131" s="527">
        <v>1892</v>
      </c>
      <c r="P131" s="540"/>
      <c r="Q131" s="528">
        <v>1892</v>
      </c>
    </row>
    <row r="132" spans="1:17" ht="14.4" customHeight="1" x14ac:dyDescent="0.3">
      <c r="A132" s="523" t="s">
        <v>443</v>
      </c>
      <c r="B132" s="524" t="s">
        <v>1881</v>
      </c>
      <c r="C132" s="524" t="s">
        <v>1694</v>
      </c>
      <c r="D132" s="524" t="s">
        <v>1841</v>
      </c>
      <c r="E132" s="524" t="s">
        <v>1842</v>
      </c>
      <c r="F132" s="527"/>
      <c r="G132" s="527"/>
      <c r="H132" s="527"/>
      <c r="I132" s="527"/>
      <c r="J132" s="527"/>
      <c r="K132" s="527"/>
      <c r="L132" s="527"/>
      <c r="M132" s="527"/>
      <c r="N132" s="527">
        <v>1</v>
      </c>
      <c r="O132" s="527">
        <v>3459</v>
      </c>
      <c r="P132" s="540"/>
      <c r="Q132" s="528">
        <v>3459</v>
      </c>
    </row>
    <row r="133" spans="1:17" ht="14.4" customHeight="1" x14ac:dyDescent="0.3">
      <c r="A133" s="523" t="s">
        <v>443</v>
      </c>
      <c r="B133" s="524" t="s">
        <v>1881</v>
      </c>
      <c r="C133" s="524" t="s">
        <v>1694</v>
      </c>
      <c r="D133" s="524" t="s">
        <v>1882</v>
      </c>
      <c r="E133" s="524" t="s">
        <v>1883</v>
      </c>
      <c r="F133" s="527"/>
      <c r="G133" s="527"/>
      <c r="H133" s="527"/>
      <c r="I133" s="527"/>
      <c r="J133" s="527"/>
      <c r="K133" s="527"/>
      <c r="L133" s="527"/>
      <c r="M133" s="527"/>
      <c r="N133" s="527">
        <v>1</v>
      </c>
      <c r="O133" s="527">
        <v>5390</v>
      </c>
      <c r="P133" s="540"/>
      <c r="Q133" s="528">
        <v>5390</v>
      </c>
    </row>
    <row r="134" spans="1:17" ht="14.4" customHeight="1" x14ac:dyDescent="0.3">
      <c r="A134" s="523" t="s">
        <v>443</v>
      </c>
      <c r="B134" s="524" t="s">
        <v>1884</v>
      </c>
      <c r="C134" s="524" t="s">
        <v>1694</v>
      </c>
      <c r="D134" s="524" t="s">
        <v>1885</v>
      </c>
      <c r="E134" s="524" t="s">
        <v>1886</v>
      </c>
      <c r="F134" s="527">
        <v>1</v>
      </c>
      <c r="G134" s="527">
        <v>2417</v>
      </c>
      <c r="H134" s="527">
        <v>1</v>
      </c>
      <c r="I134" s="527">
        <v>2417</v>
      </c>
      <c r="J134" s="527"/>
      <c r="K134" s="527"/>
      <c r="L134" s="527"/>
      <c r="M134" s="527"/>
      <c r="N134" s="527"/>
      <c r="O134" s="527"/>
      <c r="P134" s="540"/>
      <c r="Q134" s="528"/>
    </row>
    <row r="135" spans="1:17" ht="14.4" customHeight="1" x14ac:dyDescent="0.3">
      <c r="A135" s="523" t="s">
        <v>443</v>
      </c>
      <c r="B135" s="524" t="s">
        <v>1884</v>
      </c>
      <c r="C135" s="524" t="s">
        <v>1694</v>
      </c>
      <c r="D135" s="524" t="s">
        <v>1836</v>
      </c>
      <c r="E135" s="524" t="s">
        <v>1837</v>
      </c>
      <c r="F135" s="527">
        <v>1</v>
      </c>
      <c r="G135" s="527">
        <v>2665</v>
      </c>
      <c r="H135" s="527">
        <v>1</v>
      </c>
      <c r="I135" s="527">
        <v>2665</v>
      </c>
      <c r="J135" s="527">
        <v>2</v>
      </c>
      <c r="K135" s="527">
        <v>5330</v>
      </c>
      <c r="L135" s="527">
        <v>2</v>
      </c>
      <c r="M135" s="527">
        <v>2665</v>
      </c>
      <c r="N135" s="527">
        <v>4</v>
      </c>
      <c r="O135" s="527">
        <v>10712</v>
      </c>
      <c r="P135" s="540">
        <v>4.0195121951219512</v>
      </c>
      <c r="Q135" s="528">
        <v>2678</v>
      </c>
    </row>
    <row r="136" spans="1:17" ht="14.4" customHeight="1" x14ac:dyDescent="0.3">
      <c r="A136" s="523" t="s">
        <v>443</v>
      </c>
      <c r="B136" s="524" t="s">
        <v>1884</v>
      </c>
      <c r="C136" s="524" t="s">
        <v>1694</v>
      </c>
      <c r="D136" s="524" t="s">
        <v>1887</v>
      </c>
      <c r="E136" s="524" t="s">
        <v>1888</v>
      </c>
      <c r="F136" s="527"/>
      <c r="G136" s="527"/>
      <c r="H136" s="527"/>
      <c r="I136" s="527"/>
      <c r="J136" s="527">
        <v>1</v>
      </c>
      <c r="K136" s="527">
        <v>5070</v>
      </c>
      <c r="L136" s="527"/>
      <c r="M136" s="527">
        <v>5070</v>
      </c>
      <c r="N136" s="527"/>
      <c r="O136" s="527"/>
      <c r="P136" s="540"/>
      <c r="Q136" s="528"/>
    </row>
    <row r="137" spans="1:17" ht="14.4" customHeight="1" x14ac:dyDescent="0.3">
      <c r="A137" s="523" t="s">
        <v>443</v>
      </c>
      <c r="B137" s="524" t="s">
        <v>1884</v>
      </c>
      <c r="C137" s="524" t="s">
        <v>1694</v>
      </c>
      <c r="D137" s="524" t="s">
        <v>1838</v>
      </c>
      <c r="E137" s="524" t="s">
        <v>1839</v>
      </c>
      <c r="F137" s="527"/>
      <c r="G137" s="527"/>
      <c r="H137" s="527"/>
      <c r="I137" s="527"/>
      <c r="J137" s="527">
        <v>1</v>
      </c>
      <c r="K137" s="527">
        <v>5905</v>
      </c>
      <c r="L137" s="527"/>
      <c r="M137" s="527">
        <v>5905</v>
      </c>
      <c r="N137" s="527">
        <v>2</v>
      </c>
      <c r="O137" s="527">
        <v>11880</v>
      </c>
      <c r="P137" s="540"/>
      <c r="Q137" s="528">
        <v>5940</v>
      </c>
    </row>
    <row r="138" spans="1:17" ht="14.4" customHeight="1" x14ac:dyDescent="0.3">
      <c r="A138" s="523" t="s">
        <v>443</v>
      </c>
      <c r="B138" s="524" t="s">
        <v>1884</v>
      </c>
      <c r="C138" s="524" t="s">
        <v>1694</v>
      </c>
      <c r="D138" s="524" t="s">
        <v>1889</v>
      </c>
      <c r="E138" s="524" t="s">
        <v>1890</v>
      </c>
      <c r="F138" s="527"/>
      <c r="G138" s="527"/>
      <c r="H138" s="527"/>
      <c r="I138" s="527"/>
      <c r="J138" s="527">
        <v>1</v>
      </c>
      <c r="K138" s="527">
        <v>7990</v>
      </c>
      <c r="L138" s="527"/>
      <c r="M138" s="527">
        <v>7990</v>
      </c>
      <c r="N138" s="527">
        <v>1</v>
      </c>
      <c r="O138" s="527">
        <v>8028</v>
      </c>
      <c r="P138" s="540"/>
      <c r="Q138" s="528">
        <v>8028</v>
      </c>
    </row>
    <row r="139" spans="1:17" ht="14.4" customHeight="1" x14ac:dyDescent="0.3">
      <c r="A139" s="523" t="s">
        <v>443</v>
      </c>
      <c r="B139" s="524" t="s">
        <v>1884</v>
      </c>
      <c r="C139" s="524" t="s">
        <v>1694</v>
      </c>
      <c r="D139" s="524" t="s">
        <v>785</v>
      </c>
      <c r="E139" s="524" t="s">
        <v>1840</v>
      </c>
      <c r="F139" s="527"/>
      <c r="G139" s="527"/>
      <c r="H139" s="527"/>
      <c r="I139" s="527"/>
      <c r="J139" s="527"/>
      <c r="K139" s="527"/>
      <c r="L139" s="527"/>
      <c r="M139" s="527"/>
      <c r="N139" s="527">
        <v>2</v>
      </c>
      <c r="O139" s="527">
        <v>3784</v>
      </c>
      <c r="P139" s="540"/>
      <c r="Q139" s="528">
        <v>1892</v>
      </c>
    </row>
    <row r="140" spans="1:17" ht="14.4" customHeight="1" x14ac:dyDescent="0.3">
      <c r="A140" s="523" t="s">
        <v>443</v>
      </c>
      <c r="B140" s="524" t="s">
        <v>1884</v>
      </c>
      <c r="C140" s="524" t="s">
        <v>1694</v>
      </c>
      <c r="D140" s="524" t="s">
        <v>1891</v>
      </c>
      <c r="E140" s="524" t="s">
        <v>1892</v>
      </c>
      <c r="F140" s="527"/>
      <c r="G140" s="527"/>
      <c r="H140" s="527"/>
      <c r="I140" s="527"/>
      <c r="J140" s="527"/>
      <c r="K140" s="527"/>
      <c r="L140" s="527"/>
      <c r="M140" s="527"/>
      <c r="N140" s="527">
        <v>1</v>
      </c>
      <c r="O140" s="527">
        <v>2370</v>
      </c>
      <c r="P140" s="540"/>
      <c r="Q140" s="528">
        <v>2370</v>
      </c>
    </row>
    <row r="141" spans="1:17" ht="14.4" customHeight="1" x14ac:dyDescent="0.3">
      <c r="A141" s="523" t="s">
        <v>443</v>
      </c>
      <c r="B141" s="524" t="s">
        <v>1884</v>
      </c>
      <c r="C141" s="524" t="s">
        <v>1694</v>
      </c>
      <c r="D141" s="524" t="s">
        <v>1841</v>
      </c>
      <c r="E141" s="524" t="s">
        <v>1842</v>
      </c>
      <c r="F141" s="527"/>
      <c r="G141" s="527"/>
      <c r="H141" s="527"/>
      <c r="I141" s="527"/>
      <c r="J141" s="527"/>
      <c r="K141" s="527"/>
      <c r="L141" s="527"/>
      <c r="M141" s="527"/>
      <c r="N141" s="527">
        <v>1</v>
      </c>
      <c r="O141" s="527">
        <v>3459</v>
      </c>
      <c r="P141" s="540"/>
      <c r="Q141" s="528">
        <v>3459</v>
      </c>
    </row>
    <row r="142" spans="1:17" ht="14.4" customHeight="1" x14ac:dyDescent="0.3">
      <c r="A142" s="523" t="s">
        <v>443</v>
      </c>
      <c r="B142" s="524" t="s">
        <v>1884</v>
      </c>
      <c r="C142" s="524" t="s">
        <v>1694</v>
      </c>
      <c r="D142" s="524" t="s">
        <v>1893</v>
      </c>
      <c r="E142" s="524" t="s">
        <v>1894</v>
      </c>
      <c r="F142" s="527">
        <v>1</v>
      </c>
      <c r="G142" s="527">
        <v>5650</v>
      </c>
      <c r="H142" s="527">
        <v>1</v>
      </c>
      <c r="I142" s="527">
        <v>5650</v>
      </c>
      <c r="J142" s="527"/>
      <c r="K142" s="527"/>
      <c r="L142" s="527"/>
      <c r="M142" s="527"/>
      <c r="N142" s="527">
        <v>2</v>
      </c>
      <c r="O142" s="527">
        <v>11402</v>
      </c>
      <c r="P142" s="540">
        <v>2.0180530973451329</v>
      </c>
      <c r="Q142" s="528">
        <v>5701</v>
      </c>
    </row>
    <row r="143" spans="1:17" ht="14.4" customHeight="1" x14ac:dyDescent="0.3">
      <c r="A143" s="523" t="s">
        <v>443</v>
      </c>
      <c r="B143" s="524" t="s">
        <v>1884</v>
      </c>
      <c r="C143" s="524" t="s">
        <v>1694</v>
      </c>
      <c r="D143" s="524" t="s">
        <v>1882</v>
      </c>
      <c r="E143" s="524" t="s">
        <v>1883</v>
      </c>
      <c r="F143" s="527">
        <v>1</v>
      </c>
      <c r="G143" s="527">
        <v>5329</v>
      </c>
      <c r="H143" s="527">
        <v>1</v>
      </c>
      <c r="I143" s="527">
        <v>5329</v>
      </c>
      <c r="J143" s="527"/>
      <c r="K143" s="527"/>
      <c r="L143" s="527"/>
      <c r="M143" s="527"/>
      <c r="N143" s="527">
        <v>4</v>
      </c>
      <c r="O143" s="527">
        <v>21560</v>
      </c>
      <c r="P143" s="540">
        <v>4.0457872021017076</v>
      </c>
      <c r="Q143" s="528">
        <v>5390</v>
      </c>
    </row>
    <row r="144" spans="1:17" ht="14.4" customHeight="1" x14ac:dyDescent="0.3">
      <c r="A144" s="523" t="s">
        <v>443</v>
      </c>
      <c r="B144" s="524" t="s">
        <v>1884</v>
      </c>
      <c r="C144" s="524" t="s">
        <v>1694</v>
      </c>
      <c r="D144" s="524" t="s">
        <v>1843</v>
      </c>
      <c r="E144" s="524" t="s">
        <v>1844</v>
      </c>
      <c r="F144" s="527"/>
      <c r="G144" s="527"/>
      <c r="H144" s="527"/>
      <c r="I144" s="527"/>
      <c r="J144" s="527">
        <v>2</v>
      </c>
      <c r="K144" s="527">
        <v>12944</v>
      </c>
      <c r="L144" s="527"/>
      <c r="M144" s="527">
        <v>6472</v>
      </c>
      <c r="N144" s="527"/>
      <c r="O144" s="527"/>
      <c r="P144" s="540"/>
      <c r="Q144" s="528"/>
    </row>
    <row r="145" spans="1:17" ht="14.4" customHeight="1" x14ac:dyDescent="0.3">
      <c r="A145" s="523" t="s">
        <v>443</v>
      </c>
      <c r="B145" s="524" t="s">
        <v>1884</v>
      </c>
      <c r="C145" s="524" t="s">
        <v>1694</v>
      </c>
      <c r="D145" s="524" t="s">
        <v>1895</v>
      </c>
      <c r="E145" s="524" t="s">
        <v>1896</v>
      </c>
      <c r="F145" s="527">
        <v>1</v>
      </c>
      <c r="G145" s="527">
        <v>9283</v>
      </c>
      <c r="H145" s="527">
        <v>1</v>
      </c>
      <c r="I145" s="527">
        <v>9283</v>
      </c>
      <c r="J145" s="527">
        <v>1</v>
      </c>
      <c r="K145" s="527">
        <v>9319</v>
      </c>
      <c r="L145" s="527">
        <v>1.0038780566627168</v>
      </c>
      <c r="M145" s="527">
        <v>9319</v>
      </c>
      <c r="N145" s="527"/>
      <c r="O145" s="527"/>
      <c r="P145" s="540"/>
      <c r="Q145" s="528"/>
    </row>
    <row r="146" spans="1:17" ht="14.4" customHeight="1" x14ac:dyDescent="0.3">
      <c r="A146" s="523" t="s">
        <v>443</v>
      </c>
      <c r="B146" s="524" t="s">
        <v>1884</v>
      </c>
      <c r="C146" s="524" t="s">
        <v>1694</v>
      </c>
      <c r="D146" s="524" t="s">
        <v>1845</v>
      </c>
      <c r="E146" s="524" t="s">
        <v>1846</v>
      </c>
      <c r="F146" s="527">
        <v>1</v>
      </c>
      <c r="G146" s="527">
        <v>1202</v>
      </c>
      <c r="H146" s="527">
        <v>1</v>
      </c>
      <c r="I146" s="527">
        <v>1202</v>
      </c>
      <c r="J146" s="527"/>
      <c r="K146" s="527"/>
      <c r="L146" s="527"/>
      <c r="M146" s="527"/>
      <c r="N146" s="527"/>
      <c r="O146" s="527"/>
      <c r="P146" s="540"/>
      <c r="Q146" s="528"/>
    </row>
    <row r="147" spans="1:17" ht="14.4" customHeight="1" x14ac:dyDescent="0.3">
      <c r="A147" s="523" t="s">
        <v>443</v>
      </c>
      <c r="B147" s="524" t="s">
        <v>1884</v>
      </c>
      <c r="C147" s="524" t="s">
        <v>1694</v>
      </c>
      <c r="D147" s="524" t="s">
        <v>1897</v>
      </c>
      <c r="E147" s="524" t="s">
        <v>1898</v>
      </c>
      <c r="F147" s="527"/>
      <c r="G147" s="527"/>
      <c r="H147" s="527"/>
      <c r="I147" s="527"/>
      <c r="J147" s="527"/>
      <c r="K147" s="527"/>
      <c r="L147" s="527"/>
      <c r="M147" s="527"/>
      <c r="N147" s="527">
        <v>1</v>
      </c>
      <c r="O147" s="527">
        <v>1788</v>
      </c>
      <c r="P147" s="540"/>
      <c r="Q147" s="528">
        <v>1788</v>
      </c>
    </row>
    <row r="148" spans="1:17" ht="14.4" customHeight="1" x14ac:dyDescent="0.3">
      <c r="A148" s="523" t="s">
        <v>443</v>
      </c>
      <c r="B148" s="524" t="s">
        <v>1884</v>
      </c>
      <c r="C148" s="524" t="s">
        <v>1694</v>
      </c>
      <c r="D148" s="524" t="s">
        <v>1899</v>
      </c>
      <c r="E148" s="524" t="s">
        <v>1900</v>
      </c>
      <c r="F148" s="527">
        <v>1</v>
      </c>
      <c r="G148" s="527">
        <v>4031</v>
      </c>
      <c r="H148" s="527">
        <v>1</v>
      </c>
      <c r="I148" s="527">
        <v>4031</v>
      </c>
      <c r="J148" s="527"/>
      <c r="K148" s="527"/>
      <c r="L148" s="527"/>
      <c r="M148" s="527"/>
      <c r="N148" s="527"/>
      <c r="O148" s="527"/>
      <c r="P148" s="540"/>
      <c r="Q148" s="528"/>
    </row>
    <row r="149" spans="1:17" ht="14.4" customHeight="1" x14ac:dyDescent="0.3">
      <c r="A149" s="523" t="s">
        <v>443</v>
      </c>
      <c r="B149" s="524" t="s">
        <v>1884</v>
      </c>
      <c r="C149" s="524" t="s">
        <v>1694</v>
      </c>
      <c r="D149" s="524" t="s">
        <v>1901</v>
      </c>
      <c r="E149" s="524" t="s">
        <v>1902</v>
      </c>
      <c r="F149" s="527">
        <v>1</v>
      </c>
      <c r="G149" s="527">
        <v>1312</v>
      </c>
      <c r="H149" s="527">
        <v>1</v>
      </c>
      <c r="I149" s="527">
        <v>1312</v>
      </c>
      <c r="J149" s="527"/>
      <c r="K149" s="527"/>
      <c r="L149" s="527"/>
      <c r="M149" s="527"/>
      <c r="N149" s="527"/>
      <c r="O149" s="527"/>
      <c r="P149" s="540"/>
      <c r="Q149" s="528"/>
    </row>
    <row r="150" spans="1:17" ht="14.4" customHeight="1" x14ac:dyDescent="0.3">
      <c r="A150" s="523" t="s">
        <v>443</v>
      </c>
      <c r="B150" s="524" t="s">
        <v>1903</v>
      </c>
      <c r="C150" s="524" t="s">
        <v>1694</v>
      </c>
      <c r="D150" s="524" t="s">
        <v>1904</v>
      </c>
      <c r="E150" s="524" t="s">
        <v>1905</v>
      </c>
      <c r="F150" s="527"/>
      <c r="G150" s="527"/>
      <c r="H150" s="527"/>
      <c r="I150" s="527"/>
      <c r="J150" s="527">
        <v>1</v>
      </c>
      <c r="K150" s="527">
        <v>4398</v>
      </c>
      <c r="L150" s="527"/>
      <c r="M150" s="527">
        <v>4398</v>
      </c>
      <c r="N150" s="527"/>
      <c r="O150" s="527"/>
      <c r="P150" s="540"/>
      <c r="Q150" s="528"/>
    </row>
    <row r="151" spans="1:17" ht="14.4" customHeight="1" x14ac:dyDescent="0.3">
      <c r="A151" s="523" t="s">
        <v>443</v>
      </c>
      <c r="B151" s="524" t="s">
        <v>1903</v>
      </c>
      <c r="C151" s="524" t="s">
        <v>1694</v>
      </c>
      <c r="D151" s="524" t="s">
        <v>1906</v>
      </c>
      <c r="E151" s="524" t="s">
        <v>1907</v>
      </c>
      <c r="F151" s="527"/>
      <c r="G151" s="527"/>
      <c r="H151" s="527"/>
      <c r="I151" s="527"/>
      <c r="J151" s="527">
        <v>1</v>
      </c>
      <c r="K151" s="527">
        <v>2196</v>
      </c>
      <c r="L151" s="527"/>
      <c r="M151" s="527">
        <v>2196</v>
      </c>
      <c r="N151" s="527"/>
      <c r="O151" s="527"/>
      <c r="P151" s="540"/>
      <c r="Q151" s="528"/>
    </row>
    <row r="152" spans="1:17" ht="14.4" customHeight="1" x14ac:dyDescent="0.3">
      <c r="A152" s="523" t="s">
        <v>443</v>
      </c>
      <c r="B152" s="524" t="s">
        <v>1908</v>
      </c>
      <c r="C152" s="524" t="s">
        <v>1694</v>
      </c>
      <c r="D152" s="524" t="s">
        <v>1909</v>
      </c>
      <c r="E152" s="524" t="s">
        <v>1910</v>
      </c>
      <c r="F152" s="527"/>
      <c r="G152" s="527"/>
      <c r="H152" s="527"/>
      <c r="I152" s="527"/>
      <c r="J152" s="527"/>
      <c r="K152" s="527"/>
      <c r="L152" s="527"/>
      <c r="M152" s="527"/>
      <c r="N152" s="527">
        <v>1</v>
      </c>
      <c r="O152" s="527">
        <v>344</v>
      </c>
      <c r="P152" s="540"/>
      <c r="Q152" s="528">
        <v>344</v>
      </c>
    </row>
    <row r="153" spans="1:17" ht="14.4" customHeight="1" x14ac:dyDescent="0.3">
      <c r="A153" s="523" t="s">
        <v>443</v>
      </c>
      <c r="B153" s="524" t="s">
        <v>1908</v>
      </c>
      <c r="C153" s="524" t="s">
        <v>1694</v>
      </c>
      <c r="D153" s="524" t="s">
        <v>1753</v>
      </c>
      <c r="E153" s="524" t="s">
        <v>1754</v>
      </c>
      <c r="F153" s="527">
        <v>314</v>
      </c>
      <c r="G153" s="527">
        <v>60916</v>
      </c>
      <c r="H153" s="527">
        <v>1</v>
      </c>
      <c r="I153" s="527">
        <v>194</v>
      </c>
      <c r="J153" s="527">
        <v>1191</v>
      </c>
      <c r="K153" s="527">
        <v>232239</v>
      </c>
      <c r="L153" s="527">
        <v>3.8124466478429313</v>
      </c>
      <c r="M153" s="527">
        <v>194.99496221662469</v>
      </c>
      <c r="N153" s="527">
        <v>1298</v>
      </c>
      <c r="O153" s="527">
        <v>254405</v>
      </c>
      <c r="P153" s="540">
        <v>4.176324775100138</v>
      </c>
      <c r="Q153" s="528">
        <v>195.99768875192603</v>
      </c>
    </row>
    <row r="154" spans="1:17" ht="14.4" customHeight="1" thickBot="1" x14ac:dyDescent="0.35">
      <c r="A154" s="529" t="s">
        <v>443</v>
      </c>
      <c r="B154" s="530" t="s">
        <v>1911</v>
      </c>
      <c r="C154" s="530" t="s">
        <v>1694</v>
      </c>
      <c r="D154" s="530" t="s">
        <v>1912</v>
      </c>
      <c r="E154" s="530" t="s">
        <v>1913</v>
      </c>
      <c r="F154" s="533"/>
      <c r="G154" s="533"/>
      <c r="H154" s="533"/>
      <c r="I154" s="533"/>
      <c r="J154" s="533">
        <v>2</v>
      </c>
      <c r="K154" s="533">
        <v>1022</v>
      </c>
      <c r="L154" s="533"/>
      <c r="M154" s="533">
        <v>511</v>
      </c>
      <c r="N154" s="533"/>
      <c r="O154" s="533"/>
      <c r="P154" s="541"/>
      <c r="Q154" s="53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01" bestFit="1" customWidth="1"/>
    <col min="2" max="4" width="7.88671875" style="101" customWidth="1"/>
    <col min="5" max="5" width="7.88671875" style="106" customWidth="1"/>
    <col min="6" max="8" width="7.88671875" style="101" customWidth="1"/>
    <col min="9" max="9" width="7.88671875" style="107" customWidth="1"/>
    <col min="10" max="13" width="7.88671875" style="101" customWidth="1"/>
    <col min="14" max="16384" width="9.33203125" style="101"/>
  </cols>
  <sheetData>
    <row r="1" spans="1:47" ht="18.600000000000001" customHeight="1" thickBot="1" x14ac:dyDescent="0.4">
      <c r="A1" s="450" t="s">
        <v>161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</row>
    <row r="2" spans="1:47" ht="14.4" customHeight="1" thickBot="1" x14ac:dyDescent="0.4">
      <c r="A2" s="478" t="s">
        <v>215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</row>
    <row r="3" spans="1:47" ht="14.4" customHeight="1" thickBot="1" x14ac:dyDescent="0.35">
      <c r="A3" s="452" t="s">
        <v>78</v>
      </c>
      <c r="B3" s="417" t="s">
        <v>79</v>
      </c>
      <c r="C3" s="418"/>
      <c r="D3" s="418"/>
      <c r="E3" s="419"/>
      <c r="F3" s="417" t="s">
        <v>80</v>
      </c>
      <c r="G3" s="418"/>
      <c r="H3" s="418"/>
      <c r="I3" s="419"/>
      <c r="J3" s="157"/>
      <c r="K3" s="158"/>
      <c r="L3" s="157"/>
      <c r="M3" s="159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</row>
    <row r="4" spans="1:47" ht="14.4" customHeight="1" thickBot="1" x14ac:dyDescent="0.35">
      <c r="A4" s="453"/>
      <c r="B4" s="160">
        <v>2011</v>
      </c>
      <c r="C4" s="161">
        <v>2012</v>
      </c>
      <c r="D4" s="161">
        <v>2013</v>
      </c>
      <c r="E4" s="162" t="s">
        <v>5</v>
      </c>
      <c r="F4" s="161">
        <v>2011</v>
      </c>
      <c r="G4" s="161">
        <v>2012</v>
      </c>
      <c r="H4" s="161">
        <v>2013</v>
      </c>
      <c r="I4" s="162" t="s">
        <v>5</v>
      </c>
      <c r="J4" s="157"/>
      <c r="K4" s="157"/>
      <c r="L4" s="163" t="s">
        <v>81</v>
      </c>
      <c r="M4" s="164" t="s">
        <v>82</v>
      </c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</row>
    <row r="5" spans="1:47" ht="14.4" customHeight="1" x14ac:dyDescent="0.3">
      <c r="A5" s="152" t="s">
        <v>83</v>
      </c>
      <c r="B5" s="155">
        <v>869.21</v>
      </c>
      <c r="C5" s="148">
        <v>578.6</v>
      </c>
      <c r="D5" s="148">
        <v>740.85599999999999</v>
      </c>
      <c r="E5" s="165">
        <v>0.85233257785805494</v>
      </c>
      <c r="F5" s="166">
        <v>404</v>
      </c>
      <c r="G5" s="148">
        <v>389</v>
      </c>
      <c r="H5" s="148">
        <v>452</v>
      </c>
      <c r="I5" s="167">
        <v>1.1188118811881189</v>
      </c>
      <c r="J5" s="157"/>
      <c r="K5" s="157"/>
      <c r="L5" s="8">
        <f>D5-B5</f>
        <v>-128.35400000000004</v>
      </c>
      <c r="M5" s="9">
        <f>H5-F5</f>
        <v>48</v>
      </c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</row>
    <row r="6" spans="1:47" ht="14.4" customHeight="1" x14ac:dyDescent="0.3">
      <c r="A6" s="153" t="s">
        <v>84</v>
      </c>
      <c r="B6" s="156">
        <v>114.458</v>
      </c>
      <c r="C6" s="147">
        <v>142.05699999999999</v>
      </c>
      <c r="D6" s="147">
        <v>370.34399999999999</v>
      </c>
      <c r="E6" s="168">
        <v>3.2356322843313703</v>
      </c>
      <c r="F6" s="169">
        <v>171</v>
      </c>
      <c r="G6" s="147">
        <v>177</v>
      </c>
      <c r="H6" s="147">
        <v>205</v>
      </c>
      <c r="I6" s="170">
        <v>1.1988304093567252</v>
      </c>
      <c r="J6" s="157"/>
      <c r="K6" s="157"/>
      <c r="L6" s="6">
        <f t="shared" ref="L6:L11" si="0">D6-B6</f>
        <v>255.886</v>
      </c>
      <c r="M6" s="7">
        <f t="shared" ref="M6:M12" si="1">H6-F6</f>
        <v>34</v>
      </c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</row>
    <row r="7" spans="1:47" ht="14.4" customHeight="1" x14ac:dyDescent="0.3">
      <c r="A7" s="153" t="s">
        <v>85</v>
      </c>
      <c r="B7" s="156">
        <v>916.77599999999995</v>
      </c>
      <c r="C7" s="147">
        <v>1018.729</v>
      </c>
      <c r="D7" s="147">
        <v>981.029</v>
      </c>
      <c r="E7" s="168">
        <v>1.0700858224909902</v>
      </c>
      <c r="F7" s="169">
        <v>785</v>
      </c>
      <c r="G7" s="147">
        <v>729</v>
      </c>
      <c r="H7" s="147">
        <v>743</v>
      </c>
      <c r="I7" s="170">
        <v>0.94649681528662422</v>
      </c>
      <c r="J7" s="157"/>
      <c r="K7" s="157"/>
      <c r="L7" s="6">
        <f t="shared" si="0"/>
        <v>64.253000000000043</v>
      </c>
      <c r="M7" s="7">
        <f t="shared" si="1"/>
        <v>-42</v>
      </c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</row>
    <row r="8" spans="1:47" ht="14.4" customHeight="1" x14ac:dyDescent="0.3">
      <c r="A8" s="153" t="s">
        <v>86</v>
      </c>
      <c r="B8" s="156">
        <v>28.919</v>
      </c>
      <c r="C8" s="147">
        <v>50.965000000000003</v>
      </c>
      <c r="D8" s="147">
        <v>86.942999999999998</v>
      </c>
      <c r="E8" s="168">
        <v>3.0064317576679689</v>
      </c>
      <c r="F8" s="169">
        <v>59</v>
      </c>
      <c r="G8" s="147">
        <v>44</v>
      </c>
      <c r="H8" s="147">
        <v>61</v>
      </c>
      <c r="I8" s="170">
        <v>1.0338983050847457</v>
      </c>
      <c r="J8" s="157"/>
      <c r="K8" s="157"/>
      <c r="L8" s="6">
        <f t="shared" si="0"/>
        <v>58.024000000000001</v>
      </c>
      <c r="M8" s="7">
        <f t="shared" si="1"/>
        <v>2</v>
      </c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</row>
    <row r="9" spans="1:47" ht="14.4" customHeight="1" x14ac:dyDescent="0.3">
      <c r="A9" s="153" t="s">
        <v>87</v>
      </c>
      <c r="B9" s="156">
        <v>0</v>
      </c>
      <c r="C9" s="147">
        <v>0</v>
      </c>
      <c r="D9" s="147">
        <v>0</v>
      </c>
      <c r="E9" s="168" t="s">
        <v>444</v>
      </c>
      <c r="F9" s="169">
        <v>0</v>
      </c>
      <c r="G9" s="147">
        <v>0</v>
      </c>
      <c r="H9" s="147">
        <v>0</v>
      </c>
      <c r="I9" s="170" t="s">
        <v>444</v>
      </c>
      <c r="J9" s="157"/>
      <c r="K9" s="157"/>
      <c r="L9" s="6">
        <f t="shared" si="0"/>
        <v>0</v>
      </c>
      <c r="M9" s="7">
        <f t="shared" si="1"/>
        <v>0</v>
      </c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</row>
    <row r="10" spans="1:47" ht="14.4" customHeight="1" x14ac:dyDescent="0.3">
      <c r="A10" s="153" t="s">
        <v>88</v>
      </c>
      <c r="B10" s="156">
        <v>335.09399999999999</v>
      </c>
      <c r="C10" s="147">
        <v>224.68700000000001</v>
      </c>
      <c r="D10" s="147">
        <v>242.47300000000001</v>
      </c>
      <c r="E10" s="168">
        <v>0.72359696085277569</v>
      </c>
      <c r="F10" s="169">
        <v>245</v>
      </c>
      <c r="G10" s="147">
        <v>195</v>
      </c>
      <c r="H10" s="147">
        <v>231</v>
      </c>
      <c r="I10" s="170">
        <v>0.94285714285714284</v>
      </c>
      <c r="J10" s="157"/>
      <c r="K10" s="157"/>
      <c r="L10" s="6">
        <f t="shared" si="0"/>
        <v>-92.620999999999981</v>
      </c>
      <c r="M10" s="7">
        <f t="shared" si="1"/>
        <v>-14</v>
      </c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</row>
    <row r="11" spans="1:47" ht="14.4" customHeight="1" thickBot="1" x14ac:dyDescent="0.35">
      <c r="A11" s="153" t="s">
        <v>89</v>
      </c>
      <c r="B11" s="156">
        <v>59.475000000000001</v>
      </c>
      <c r="C11" s="147">
        <v>120.913</v>
      </c>
      <c r="D11" s="147">
        <v>21.655999999999999</v>
      </c>
      <c r="E11" s="168">
        <v>0.36411937788986964</v>
      </c>
      <c r="F11" s="169">
        <v>43</v>
      </c>
      <c r="G11" s="147">
        <v>38</v>
      </c>
      <c r="H11" s="147">
        <v>23</v>
      </c>
      <c r="I11" s="170">
        <v>0.53488372093023251</v>
      </c>
      <c r="J11" s="157"/>
      <c r="K11" s="157"/>
      <c r="L11" s="6">
        <f t="shared" si="0"/>
        <v>-37.819000000000003</v>
      </c>
      <c r="M11" s="7">
        <f t="shared" si="1"/>
        <v>-20</v>
      </c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</row>
    <row r="12" spans="1:47" ht="14.4" customHeight="1" thickBot="1" x14ac:dyDescent="0.35">
      <c r="A12" s="154" t="s">
        <v>6</v>
      </c>
      <c r="B12" s="149">
        <f>SUM(B5:B11)</f>
        <v>2323.9319999999998</v>
      </c>
      <c r="C12" s="150">
        <f>SUM(C5:C11)</f>
        <v>2135.951</v>
      </c>
      <c r="D12" s="150">
        <f>SUM(D5:D11)</f>
        <v>2443.3010000000004</v>
      </c>
      <c r="E12" s="171">
        <f>IF(OR(D12=0,B12=0),0,D12/B12)</f>
        <v>1.0513651001836546</v>
      </c>
      <c r="F12" s="172">
        <f>SUM(F5:F11)</f>
        <v>1707</v>
      </c>
      <c r="G12" s="150">
        <f>SUM(G5:G11)</f>
        <v>1572</v>
      </c>
      <c r="H12" s="150">
        <f>SUM(H5:H11)</f>
        <v>1715</v>
      </c>
      <c r="I12" s="173">
        <f>IF(OR(H12=0,F12=0),0,H12/F12)</f>
        <v>1.0046865846514352</v>
      </c>
      <c r="J12" s="157"/>
      <c r="K12" s="157"/>
      <c r="L12" s="163">
        <f>D12-B12</f>
        <v>119.3690000000006</v>
      </c>
      <c r="M12" s="174">
        <f t="shared" si="1"/>
        <v>8</v>
      </c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</row>
    <row r="13" spans="1:47" ht="14.4" customHeight="1" x14ac:dyDescent="0.3">
      <c r="A13" s="175"/>
      <c r="B13" s="428" t="s">
        <v>90</v>
      </c>
      <c r="C13" s="428"/>
      <c r="D13" s="428"/>
      <c r="E13" s="428"/>
      <c r="F13" s="428" t="s">
        <v>91</v>
      </c>
      <c r="G13" s="428"/>
      <c r="H13" s="428"/>
      <c r="I13" s="428"/>
      <c r="J13" s="157"/>
      <c r="K13" s="157"/>
      <c r="L13" s="157"/>
      <c r="M13" s="159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</row>
    <row r="14" spans="1:47" ht="14.4" customHeight="1" thickBot="1" x14ac:dyDescent="0.35">
      <c r="A14" s="175"/>
      <c r="B14" s="222"/>
      <c r="C14" s="223"/>
      <c r="D14" s="223"/>
      <c r="E14" s="223"/>
      <c r="F14" s="222"/>
      <c r="G14" s="223"/>
      <c r="H14" s="223"/>
      <c r="I14" s="223"/>
      <c r="J14" s="157"/>
      <c r="K14" s="157"/>
      <c r="L14" s="157"/>
      <c r="M14" s="159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</row>
    <row r="15" spans="1:47" ht="14.4" customHeight="1" thickBot="1" x14ac:dyDescent="0.35">
      <c r="A15" s="435" t="s">
        <v>92</v>
      </c>
      <c r="B15" s="437" t="s">
        <v>79</v>
      </c>
      <c r="C15" s="438"/>
      <c r="D15" s="438"/>
      <c r="E15" s="439"/>
      <c r="F15" s="437" t="s">
        <v>80</v>
      </c>
      <c r="G15" s="438"/>
      <c r="H15" s="438"/>
      <c r="I15" s="439"/>
      <c r="J15" s="445" t="s">
        <v>197</v>
      </c>
      <c r="K15" s="446"/>
      <c r="L15" s="176"/>
      <c r="M15" s="176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</row>
    <row r="16" spans="1:47" ht="14.4" customHeight="1" thickBot="1" x14ac:dyDescent="0.35">
      <c r="A16" s="436"/>
      <c r="B16" s="177">
        <v>2011</v>
      </c>
      <c r="C16" s="178">
        <v>2012</v>
      </c>
      <c r="D16" s="178">
        <v>2013</v>
      </c>
      <c r="E16" s="179" t="s">
        <v>5</v>
      </c>
      <c r="F16" s="177">
        <v>2011</v>
      </c>
      <c r="G16" s="178">
        <v>2012</v>
      </c>
      <c r="H16" s="178">
        <v>2013</v>
      </c>
      <c r="I16" s="179" t="s">
        <v>5</v>
      </c>
      <c r="J16" s="447" t="s">
        <v>198</v>
      </c>
      <c r="K16" s="448"/>
      <c r="L16" s="180" t="s">
        <v>81</v>
      </c>
      <c r="M16" s="181" t="s">
        <v>82</v>
      </c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</row>
    <row r="17" spans="1:47" ht="14.4" customHeight="1" x14ac:dyDescent="0.3">
      <c r="A17" s="152" t="s">
        <v>83</v>
      </c>
      <c r="B17" s="155">
        <v>869.21</v>
      </c>
      <c r="C17" s="148">
        <v>578.6</v>
      </c>
      <c r="D17" s="148">
        <v>740.85599999999999</v>
      </c>
      <c r="E17" s="165">
        <v>0.85233257785805494</v>
      </c>
      <c r="F17" s="155">
        <v>404</v>
      </c>
      <c r="G17" s="148">
        <v>389</v>
      </c>
      <c r="H17" s="148">
        <v>452</v>
      </c>
      <c r="I17" s="167">
        <v>1.1188118811881189</v>
      </c>
      <c r="J17" s="449">
        <f>0.93*0.95</f>
        <v>0.88349999999999995</v>
      </c>
      <c r="K17" s="448"/>
      <c r="L17" s="182">
        <f>D17-B17</f>
        <v>-128.35400000000004</v>
      </c>
      <c r="M17" s="183">
        <f>H17-F17</f>
        <v>48</v>
      </c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</row>
    <row r="18" spans="1:47" ht="14.4" customHeight="1" x14ac:dyDescent="0.3">
      <c r="A18" s="153" t="s">
        <v>84</v>
      </c>
      <c r="B18" s="156">
        <v>114.458</v>
      </c>
      <c r="C18" s="147">
        <v>142.05699999999999</v>
      </c>
      <c r="D18" s="147">
        <v>370.34399999999999</v>
      </c>
      <c r="E18" s="168">
        <v>3.2356322843313703</v>
      </c>
      <c r="F18" s="156">
        <v>171</v>
      </c>
      <c r="G18" s="147">
        <v>177</v>
      </c>
      <c r="H18" s="147">
        <v>205</v>
      </c>
      <c r="I18" s="170">
        <v>1.1988304093567252</v>
      </c>
      <c r="J18" s="449">
        <f>1.07*0.95</f>
        <v>1.0165</v>
      </c>
      <c r="K18" s="448"/>
      <c r="L18" s="184">
        <f t="shared" ref="L18:L24" si="2">D18-B18</f>
        <v>255.886</v>
      </c>
      <c r="M18" s="185">
        <f t="shared" ref="M18:M24" si="3">H18-F18</f>
        <v>34</v>
      </c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</row>
    <row r="19" spans="1:47" ht="14.4" customHeight="1" x14ac:dyDescent="0.3">
      <c r="A19" s="153" t="s">
        <v>85</v>
      </c>
      <c r="B19" s="156">
        <v>916.77599999999995</v>
      </c>
      <c r="C19" s="147">
        <v>1018.729</v>
      </c>
      <c r="D19" s="147">
        <v>981.029</v>
      </c>
      <c r="E19" s="168">
        <v>1.0700858224909902</v>
      </c>
      <c r="F19" s="156">
        <v>785</v>
      </c>
      <c r="G19" s="147">
        <v>729</v>
      </c>
      <c r="H19" s="147">
        <v>743</v>
      </c>
      <c r="I19" s="170">
        <v>0.94649681528662422</v>
      </c>
      <c r="J19" s="449">
        <f>1.04*0.95</f>
        <v>0.98799999999999999</v>
      </c>
      <c r="K19" s="448"/>
      <c r="L19" s="184">
        <f t="shared" si="2"/>
        <v>64.253000000000043</v>
      </c>
      <c r="M19" s="185">
        <f t="shared" si="3"/>
        <v>-42</v>
      </c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</row>
    <row r="20" spans="1:47" ht="14.4" customHeight="1" x14ac:dyDescent="0.3">
      <c r="A20" s="153" t="s">
        <v>86</v>
      </c>
      <c r="B20" s="156">
        <v>28.919</v>
      </c>
      <c r="C20" s="147">
        <v>50.965000000000003</v>
      </c>
      <c r="D20" s="147">
        <v>86.942999999999998</v>
      </c>
      <c r="E20" s="168">
        <v>3.0064317576679689</v>
      </c>
      <c r="F20" s="156">
        <v>59</v>
      </c>
      <c r="G20" s="147">
        <v>44</v>
      </c>
      <c r="H20" s="147">
        <v>61</v>
      </c>
      <c r="I20" s="170">
        <v>1.0338983050847457</v>
      </c>
      <c r="J20" s="449">
        <f>0.96*0.95</f>
        <v>0.91199999999999992</v>
      </c>
      <c r="K20" s="448"/>
      <c r="L20" s="184">
        <f t="shared" si="2"/>
        <v>58.024000000000001</v>
      </c>
      <c r="M20" s="185">
        <f t="shared" si="3"/>
        <v>2</v>
      </c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</row>
    <row r="21" spans="1:47" ht="14.4" customHeight="1" x14ac:dyDescent="0.3">
      <c r="A21" s="153" t="s">
        <v>87</v>
      </c>
      <c r="B21" s="156">
        <v>0</v>
      </c>
      <c r="C21" s="147">
        <v>0</v>
      </c>
      <c r="D21" s="147">
        <v>0</v>
      </c>
      <c r="E21" s="168" t="s">
        <v>444</v>
      </c>
      <c r="F21" s="156">
        <v>0</v>
      </c>
      <c r="G21" s="147">
        <v>0</v>
      </c>
      <c r="H21" s="147">
        <v>0</v>
      </c>
      <c r="I21" s="170" t="s">
        <v>444</v>
      </c>
      <c r="J21" s="449">
        <f>1*0.95</f>
        <v>0.95</v>
      </c>
      <c r="K21" s="448"/>
      <c r="L21" s="184">
        <f t="shared" si="2"/>
        <v>0</v>
      </c>
      <c r="M21" s="185">
        <f t="shared" si="3"/>
        <v>0</v>
      </c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</row>
    <row r="22" spans="1:47" ht="14.4" customHeight="1" x14ac:dyDescent="0.3">
      <c r="A22" s="153" t="s">
        <v>88</v>
      </c>
      <c r="B22" s="156">
        <v>335.09399999999999</v>
      </c>
      <c r="C22" s="147">
        <v>224.68700000000001</v>
      </c>
      <c r="D22" s="147">
        <v>242.47300000000001</v>
      </c>
      <c r="E22" s="168">
        <v>0.72359696085277569</v>
      </c>
      <c r="F22" s="156">
        <v>245</v>
      </c>
      <c r="G22" s="147">
        <v>195</v>
      </c>
      <c r="H22" s="147">
        <v>231</v>
      </c>
      <c r="I22" s="170">
        <v>0.94285714285714284</v>
      </c>
      <c r="J22" s="449">
        <f>1.05*0.95</f>
        <v>0.99749999999999994</v>
      </c>
      <c r="K22" s="448"/>
      <c r="L22" s="184">
        <f t="shared" si="2"/>
        <v>-92.620999999999981</v>
      </c>
      <c r="M22" s="185">
        <f t="shared" si="3"/>
        <v>-14</v>
      </c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</row>
    <row r="23" spans="1:47" ht="14.4" customHeight="1" thickBot="1" x14ac:dyDescent="0.35">
      <c r="A23" s="153" t="s">
        <v>89</v>
      </c>
      <c r="B23" s="156">
        <v>59.475000000000001</v>
      </c>
      <c r="C23" s="147">
        <v>120.913</v>
      </c>
      <c r="D23" s="147">
        <v>21.655999999999999</v>
      </c>
      <c r="E23" s="168">
        <v>0.36411937788986964</v>
      </c>
      <c r="F23" s="156">
        <v>43</v>
      </c>
      <c r="G23" s="147">
        <v>38</v>
      </c>
      <c r="H23" s="147">
        <v>23</v>
      </c>
      <c r="I23" s="170">
        <v>0.53488372093023251</v>
      </c>
      <c r="J23" s="449">
        <f>1*0.95</f>
        <v>0.95</v>
      </c>
      <c r="K23" s="448"/>
      <c r="L23" s="184">
        <f t="shared" si="2"/>
        <v>-37.819000000000003</v>
      </c>
      <c r="M23" s="185">
        <f t="shared" si="3"/>
        <v>-20</v>
      </c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</row>
    <row r="24" spans="1:47" ht="14.4" customHeight="1" thickBot="1" x14ac:dyDescent="0.35">
      <c r="A24" s="186" t="s">
        <v>6</v>
      </c>
      <c r="B24" s="187">
        <f>SUM(B17:B23)</f>
        <v>2323.9319999999998</v>
      </c>
      <c r="C24" s="188">
        <f>SUM(C17:C23)</f>
        <v>2135.951</v>
      </c>
      <c r="D24" s="188">
        <f>SUM(D17:D23)</f>
        <v>2443.3010000000004</v>
      </c>
      <c r="E24" s="189">
        <f>IF(OR(D24=0,B24=0),0,D24/B24)</f>
        <v>1.0513651001836546</v>
      </c>
      <c r="F24" s="187">
        <f>SUM(F17:F23)</f>
        <v>1707</v>
      </c>
      <c r="G24" s="188">
        <f>SUM(G17:G23)</f>
        <v>1572</v>
      </c>
      <c r="H24" s="188">
        <f>SUM(H17:H23)</f>
        <v>1715</v>
      </c>
      <c r="I24" s="190">
        <f>IF(OR(H24=0,F24=0),0,H24/F24)</f>
        <v>1.0046865846514352</v>
      </c>
      <c r="J24" s="157"/>
      <c r="K24" s="157"/>
      <c r="L24" s="180">
        <f t="shared" si="2"/>
        <v>119.3690000000006</v>
      </c>
      <c r="M24" s="191">
        <f t="shared" si="3"/>
        <v>8</v>
      </c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</row>
    <row r="25" spans="1:47" ht="14.4" customHeight="1" x14ac:dyDescent="0.3">
      <c r="A25" s="192"/>
      <c r="B25" s="428" t="s">
        <v>90</v>
      </c>
      <c r="C25" s="429"/>
      <c r="D25" s="429"/>
      <c r="E25" s="429"/>
      <c r="F25" s="428" t="s">
        <v>91</v>
      </c>
      <c r="G25" s="429"/>
      <c r="H25" s="429"/>
      <c r="I25" s="429"/>
      <c r="J25" s="193"/>
      <c r="K25" s="193"/>
      <c r="L25" s="193"/>
      <c r="M25" s="194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</row>
    <row r="26" spans="1:47" ht="14.4" customHeight="1" thickBot="1" x14ac:dyDescent="0.35">
      <c r="A26" s="192"/>
      <c r="B26" s="222"/>
      <c r="C26" s="223"/>
      <c r="D26" s="223"/>
      <c r="E26" s="223"/>
      <c r="F26" s="222"/>
      <c r="G26" s="223"/>
      <c r="H26" s="223"/>
      <c r="I26" s="223"/>
      <c r="J26" s="193"/>
      <c r="K26" s="193"/>
      <c r="L26" s="193"/>
      <c r="M26" s="194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</row>
    <row r="27" spans="1:47" ht="14.4" customHeight="1" x14ac:dyDescent="0.3">
      <c r="A27" s="440" t="s">
        <v>142</v>
      </c>
      <c r="B27" s="442" t="s">
        <v>79</v>
      </c>
      <c r="C27" s="443"/>
      <c r="D27" s="443"/>
      <c r="E27" s="444"/>
      <c r="F27" s="443" t="s">
        <v>80</v>
      </c>
      <c r="G27" s="443"/>
      <c r="H27" s="443"/>
      <c r="I27" s="443"/>
      <c r="J27" s="442" t="s">
        <v>93</v>
      </c>
      <c r="K27" s="443"/>
      <c r="L27" s="443"/>
      <c r="M27" s="444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</row>
    <row r="28" spans="1:47" ht="14.4" customHeight="1" thickBot="1" x14ac:dyDescent="0.35">
      <c r="A28" s="441"/>
      <c r="B28" s="195">
        <v>2011</v>
      </c>
      <c r="C28" s="196">
        <v>2012</v>
      </c>
      <c r="D28" s="196">
        <v>2013</v>
      </c>
      <c r="E28" s="197" t="s">
        <v>5</v>
      </c>
      <c r="F28" s="196">
        <v>2011</v>
      </c>
      <c r="G28" s="196">
        <v>2012</v>
      </c>
      <c r="H28" s="196">
        <v>2013</v>
      </c>
      <c r="I28" s="196" t="s">
        <v>5</v>
      </c>
      <c r="J28" s="195">
        <v>2011</v>
      </c>
      <c r="K28" s="196">
        <v>2012</v>
      </c>
      <c r="L28" s="196">
        <v>2013</v>
      </c>
      <c r="M28" s="197" t="s">
        <v>5</v>
      </c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</row>
    <row r="29" spans="1:47" ht="14.4" customHeight="1" x14ac:dyDescent="0.3">
      <c r="A29" s="198" t="s">
        <v>83</v>
      </c>
      <c r="B29" s="155">
        <v>0</v>
      </c>
      <c r="C29" s="148">
        <v>0</v>
      </c>
      <c r="D29" s="148">
        <v>0</v>
      </c>
      <c r="E29" s="165" t="s">
        <v>444</v>
      </c>
      <c r="F29" s="166">
        <v>0</v>
      </c>
      <c r="G29" s="148">
        <v>0</v>
      </c>
      <c r="H29" s="148">
        <v>0</v>
      </c>
      <c r="I29" s="199" t="s">
        <v>444</v>
      </c>
      <c r="J29" s="155">
        <v>0</v>
      </c>
      <c r="K29" s="148">
        <v>0</v>
      </c>
      <c r="L29" s="148">
        <v>0</v>
      </c>
      <c r="M29" s="165" t="s">
        <v>444</v>
      </c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</row>
    <row r="30" spans="1:47" ht="14.4" customHeight="1" x14ac:dyDescent="0.3">
      <c r="A30" s="200" t="s">
        <v>84</v>
      </c>
      <c r="B30" s="156">
        <v>0</v>
      </c>
      <c r="C30" s="147">
        <v>0</v>
      </c>
      <c r="D30" s="147">
        <v>0</v>
      </c>
      <c r="E30" s="168" t="s">
        <v>444</v>
      </c>
      <c r="F30" s="169">
        <v>0</v>
      </c>
      <c r="G30" s="147">
        <v>0</v>
      </c>
      <c r="H30" s="147">
        <v>0</v>
      </c>
      <c r="I30" s="201" t="s">
        <v>444</v>
      </c>
      <c r="J30" s="156">
        <v>0</v>
      </c>
      <c r="K30" s="147">
        <v>0</v>
      </c>
      <c r="L30" s="147">
        <v>0</v>
      </c>
      <c r="M30" s="168" t="s">
        <v>444</v>
      </c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</row>
    <row r="31" spans="1:47" ht="14.4" customHeight="1" x14ac:dyDescent="0.3">
      <c r="A31" s="200" t="s">
        <v>85</v>
      </c>
      <c r="B31" s="156">
        <v>0</v>
      </c>
      <c r="C31" s="147">
        <v>0</v>
      </c>
      <c r="D31" s="147">
        <v>0</v>
      </c>
      <c r="E31" s="168" t="s">
        <v>444</v>
      </c>
      <c r="F31" s="169">
        <v>0</v>
      </c>
      <c r="G31" s="147">
        <v>0</v>
      </c>
      <c r="H31" s="147">
        <v>0</v>
      </c>
      <c r="I31" s="201" t="s">
        <v>444</v>
      </c>
      <c r="J31" s="156">
        <v>0</v>
      </c>
      <c r="K31" s="147">
        <v>0</v>
      </c>
      <c r="L31" s="147">
        <v>0</v>
      </c>
      <c r="M31" s="168" t="s">
        <v>444</v>
      </c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</row>
    <row r="32" spans="1:47" ht="14.4" customHeight="1" x14ac:dyDescent="0.3">
      <c r="A32" s="200" t="s">
        <v>86</v>
      </c>
      <c r="B32" s="156">
        <v>0</v>
      </c>
      <c r="C32" s="147">
        <v>0</v>
      </c>
      <c r="D32" s="147">
        <v>0</v>
      </c>
      <c r="E32" s="168" t="s">
        <v>444</v>
      </c>
      <c r="F32" s="169">
        <v>0</v>
      </c>
      <c r="G32" s="147">
        <v>0</v>
      </c>
      <c r="H32" s="147">
        <v>0</v>
      </c>
      <c r="I32" s="201" t="s">
        <v>444</v>
      </c>
      <c r="J32" s="156">
        <v>0</v>
      </c>
      <c r="K32" s="147">
        <v>0</v>
      </c>
      <c r="L32" s="147">
        <v>0</v>
      </c>
      <c r="M32" s="168" t="s">
        <v>444</v>
      </c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</row>
    <row r="33" spans="1:47" ht="14.4" customHeight="1" x14ac:dyDescent="0.3">
      <c r="A33" s="200" t="s">
        <v>87</v>
      </c>
      <c r="B33" s="156">
        <v>0</v>
      </c>
      <c r="C33" s="147">
        <v>0</v>
      </c>
      <c r="D33" s="147">
        <v>0</v>
      </c>
      <c r="E33" s="168" t="s">
        <v>444</v>
      </c>
      <c r="F33" s="169">
        <v>0</v>
      </c>
      <c r="G33" s="147">
        <v>0</v>
      </c>
      <c r="H33" s="147">
        <v>0</v>
      </c>
      <c r="I33" s="201" t="s">
        <v>444</v>
      </c>
      <c r="J33" s="156">
        <v>0</v>
      </c>
      <c r="K33" s="147">
        <v>0</v>
      </c>
      <c r="L33" s="147">
        <v>0</v>
      </c>
      <c r="M33" s="168" t="s">
        <v>444</v>
      </c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</row>
    <row r="34" spans="1:47" ht="14.4" customHeight="1" x14ac:dyDescent="0.3">
      <c r="A34" s="200" t="s">
        <v>88</v>
      </c>
      <c r="B34" s="156">
        <v>0</v>
      </c>
      <c r="C34" s="147">
        <v>0</v>
      </c>
      <c r="D34" s="147">
        <v>0</v>
      </c>
      <c r="E34" s="168" t="s">
        <v>444</v>
      </c>
      <c r="F34" s="169">
        <v>0</v>
      </c>
      <c r="G34" s="147">
        <v>0</v>
      </c>
      <c r="H34" s="147">
        <v>0</v>
      </c>
      <c r="I34" s="201" t="s">
        <v>444</v>
      </c>
      <c r="J34" s="156">
        <v>0</v>
      </c>
      <c r="K34" s="147">
        <v>0</v>
      </c>
      <c r="L34" s="147">
        <v>0</v>
      </c>
      <c r="M34" s="168" t="s">
        <v>444</v>
      </c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</row>
    <row r="35" spans="1:47" ht="14.4" customHeight="1" thickBot="1" x14ac:dyDescent="0.35">
      <c r="A35" s="200" t="s">
        <v>89</v>
      </c>
      <c r="B35" s="156">
        <v>0</v>
      </c>
      <c r="C35" s="147">
        <v>0</v>
      </c>
      <c r="D35" s="147">
        <v>0</v>
      </c>
      <c r="E35" s="168" t="s">
        <v>444</v>
      </c>
      <c r="F35" s="169">
        <v>0</v>
      </c>
      <c r="G35" s="147">
        <v>0</v>
      </c>
      <c r="H35" s="147">
        <v>0</v>
      </c>
      <c r="I35" s="201" t="s">
        <v>444</v>
      </c>
      <c r="J35" s="156">
        <v>0</v>
      </c>
      <c r="K35" s="147">
        <v>0</v>
      </c>
      <c r="L35" s="147">
        <v>0</v>
      </c>
      <c r="M35" s="168" t="s">
        <v>444</v>
      </c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</row>
    <row r="36" spans="1:47" ht="14.4" customHeight="1" thickBot="1" x14ac:dyDescent="0.35">
      <c r="A36" s="202" t="s">
        <v>6</v>
      </c>
      <c r="B36" s="203">
        <f>SUM(B29:B35)</f>
        <v>0</v>
      </c>
      <c r="C36" s="204">
        <f>SUM(C29:C35)</f>
        <v>0</v>
      </c>
      <c r="D36" s="204">
        <f>SUM(D29:D35)</f>
        <v>0</v>
      </c>
      <c r="E36" s="205">
        <f>IF(OR(D36=0,B36=0),0,D36/B36)</f>
        <v>0</v>
      </c>
      <c r="F36" s="206">
        <f>SUM(F29:F35)</f>
        <v>0</v>
      </c>
      <c r="G36" s="204">
        <f>SUM(G29:G35)</f>
        <v>0</v>
      </c>
      <c r="H36" s="204">
        <f>SUM(H29:H35)</f>
        <v>0</v>
      </c>
      <c r="I36" s="207">
        <f>IF(OR(H36=0,F36=0),0,H36/F36)</f>
        <v>0</v>
      </c>
      <c r="J36" s="203">
        <f>SUM(J29:J35)</f>
        <v>0</v>
      </c>
      <c r="K36" s="204">
        <f>SUM(K29:K35)</f>
        <v>0</v>
      </c>
      <c r="L36" s="204">
        <f>SUM(L29:L35)</f>
        <v>0</v>
      </c>
      <c r="M36" s="205">
        <f>IF(OR(L36=0,J36=0),0,L36/J36)</f>
        <v>0</v>
      </c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</row>
    <row r="37" spans="1:47" ht="14.4" customHeight="1" x14ac:dyDescent="0.3">
      <c r="A37" s="193"/>
      <c r="B37" s="193"/>
      <c r="C37" s="193"/>
      <c r="D37" s="193"/>
      <c r="E37" s="208"/>
      <c r="F37" s="193"/>
      <c r="G37" s="193"/>
      <c r="H37" s="193"/>
      <c r="I37" s="194"/>
      <c r="J37" s="428" t="s">
        <v>94</v>
      </c>
      <c r="K37" s="429"/>
      <c r="L37" s="429"/>
      <c r="M37" s="429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</row>
    <row r="38" spans="1:47" ht="14.4" customHeight="1" thickBot="1" x14ac:dyDescent="0.35">
      <c r="A38" s="193"/>
      <c r="B38" s="193"/>
      <c r="C38" s="193"/>
      <c r="D38" s="193"/>
      <c r="E38" s="208"/>
      <c r="F38" s="193"/>
      <c r="G38" s="193"/>
      <c r="H38" s="193"/>
      <c r="I38" s="194"/>
      <c r="J38" s="220"/>
      <c r="K38" s="221"/>
      <c r="L38" s="221"/>
      <c r="M38" s="221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</row>
    <row r="39" spans="1:47" ht="14.4" customHeight="1" thickBot="1" x14ac:dyDescent="0.35">
      <c r="A39" s="430" t="s">
        <v>95</v>
      </c>
      <c r="B39" s="432" t="s">
        <v>79</v>
      </c>
      <c r="C39" s="433"/>
      <c r="D39" s="433"/>
      <c r="E39" s="434"/>
      <c r="F39" s="433" t="s">
        <v>80</v>
      </c>
      <c r="G39" s="433"/>
      <c r="H39" s="433"/>
      <c r="I39" s="434"/>
      <c r="J39" s="193"/>
      <c r="K39" s="193"/>
      <c r="L39" s="193"/>
      <c r="M39" s="194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</row>
    <row r="40" spans="1:47" ht="14.4" customHeight="1" thickBot="1" x14ac:dyDescent="0.35">
      <c r="A40" s="431"/>
      <c r="B40" s="209">
        <v>2011</v>
      </c>
      <c r="C40" s="210">
        <v>2012</v>
      </c>
      <c r="D40" s="210">
        <v>2013</v>
      </c>
      <c r="E40" s="211" t="s">
        <v>5</v>
      </c>
      <c r="F40" s="210">
        <v>2011</v>
      </c>
      <c r="G40" s="210">
        <v>2012</v>
      </c>
      <c r="H40" s="210">
        <v>2013</v>
      </c>
      <c r="I40" s="211" t="s">
        <v>5</v>
      </c>
      <c r="J40" s="193"/>
      <c r="K40" s="193"/>
      <c r="L40" s="212" t="s">
        <v>81</v>
      </c>
      <c r="M40" s="213" t="s">
        <v>82</v>
      </c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</row>
    <row r="41" spans="1:47" ht="14.4" customHeight="1" x14ac:dyDescent="0.3">
      <c r="A41" s="152" t="s">
        <v>83</v>
      </c>
      <c r="B41" s="155">
        <v>0</v>
      </c>
      <c r="C41" s="148">
        <v>0</v>
      </c>
      <c r="D41" s="148">
        <v>0</v>
      </c>
      <c r="E41" s="165" t="s">
        <v>444</v>
      </c>
      <c r="F41" s="166">
        <v>0</v>
      </c>
      <c r="G41" s="148">
        <v>0</v>
      </c>
      <c r="H41" s="148">
        <v>0</v>
      </c>
      <c r="I41" s="167" t="s">
        <v>444</v>
      </c>
      <c r="J41" s="193"/>
      <c r="K41" s="193"/>
      <c r="L41" s="182">
        <f t="shared" ref="L41:L48" si="4">D41-B41</f>
        <v>0</v>
      </c>
      <c r="M41" s="183">
        <f t="shared" ref="M41:M48" si="5">H41-F41</f>
        <v>0</v>
      </c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</row>
    <row r="42" spans="1:47" ht="14.4" customHeight="1" x14ac:dyDescent="0.3">
      <c r="A42" s="153" t="s">
        <v>84</v>
      </c>
      <c r="B42" s="156">
        <v>0</v>
      </c>
      <c r="C42" s="147">
        <v>0</v>
      </c>
      <c r="D42" s="147">
        <v>0</v>
      </c>
      <c r="E42" s="168" t="s">
        <v>444</v>
      </c>
      <c r="F42" s="169">
        <v>0</v>
      </c>
      <c r="G42" s="147">
        <v>0</v>
      </c>
      <c r="H42" s="147">
        <v>0</v>
      </c>
      <c r="I42" s="170" t="s">
        <v>444</v>
      </c>
      <c r="J42" s="193"/>
      <c r="K42" s="193"/>
      <c r="L42" s="184">
        <f t="shared" si="4"/>
        <v>0</v>
      </c>
      <c r="M42" s="185">
        <f t="shared" si="5"/>
        <v>0</v>
      </c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</row>
    <row r="43" spans="1:47" ht="14.4" customHeight="1" x14ac:dyDescent="0.3">
      <c r="A43" s="153" t="s">
        <v>85</v>
      </c>
      <c r="B43" s="156">
        <v>0</v>
      </c>
      <c r="C43" s="147">
        <v>0</v>
      </c>
      <c r="D43" s="147">
        <v>0</v>
      </c>
      <c r="E43" s="168" t="s">
        <v>444</v>
      </c>
      <c r="F43" s="169">
        <v>0</v>
      </c>
      <c r="G43" s="147">
        <v>0</v>
      </c>
      <c r="H43" s="147">
        <v>0</v>
      </c>
      <c r="I43" s="170" t="s">
        <v>444</v>
      </c>
      <c r="J43" s="193"/>
      <c r="K43" s="193"/>
      <c r="L43" s="184">
        <f t="shared" si="4"/>
        <v>0</v>
      </c>
      <c r="M43" s="185">
        <f t="shared" si="5"/>
        <v>0</v>
      </c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</row>
    <row r="44" spans="1:47" ht="14.4" customHeight="1" x14ac:dyDescent="0.3">
      <c r="A44" s="153" t="s">
        <v>86</v>
      </c>
      <c r="B44" s="156">
        <v>0</v>
      </c>
      <c r="C44" s="147">
        <v>0</v>
      </c>
      <c r="D44" s="147">
        <v>0</v>
      </c>
      <c r="E44" s="168" t="s">
        <v>444</v>
      </c>
      <c r="F44" s="169">
        <v>0</v>
      </c>
      <c r="G44" s="147">
        <v>0</v>
      </c>
      <c r="H44" s="147">
        <v>0</v>
      </c>
      <c r="I44" s="170" t="s">
        <v>444</v>
      </c>
      <c r="J44" s="193"/>
      <c r="K44" s="193"/>
      <c r="L44" s="184">
        <f t="shared" si="4"/>
        <v>0</v>
      </c>
      <c r="M44" s="185">
        <f t="shared" si="5"/>
        <v>0</v>
      </c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</row>
    <row r="45" spans="1:47" ht="14.4" customHeight="1" x14ac:dyDescent="0.3">
      <c r="A45" s="153" t="s">
        <v>87</v>
      </c>
      <c r="B45" s="156">
        <v>0</v>
      </c>
      <c r="C45" s="147">
        <v>0</v>
      </c>
      <c r="D45" s="147">
        <v>0</v>
      </c>
      <c r="E45" s="168" t="s">
        <v>444</v>
      </c>
      <c r="F45" s="169">
        <v>0</v>
      </c>
      <c r="G45" s="147">
        <v>0</v>
      </c>
      <c r="H45" s="147">
        <v>0</v>
      </c>
      <c r="I45" s="170" t="s">
        <v>444</v>
      </c>
      <c r="J45" s="193"/>
      <c r="K45" s="193"/>
      <c r="L45" s="184">
        <f t="shared" si="4"/>
        <v>0</v>
      </c>
      <c r="M45" s="185">
        <f t="shared" si="5"/>
        <v>0</v>
      </c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</row>
    <row r="46" spans="1:47" ht="14.4" customHeight="1" x14ac:dyDescent="0.3">
      <c r="A46" s="153" t="s">
        <v>88</v>
      </c>
      <c r="B46" s="156">
        <v>0</v>
      </c>
      <c r="C46" s="147">
        <v>0</v>
      </c>
      <c r="D46" s="147">
        <v>0</v>
      </c>
      <c r="E46" s="168" t="s">
        <v>444</v>
      </c>
      <c r="F46" s="169">
        <v>0</v>
      </c>
      <c r="G46" s="147">
        <v>0</v>
      </c>
      <c r="H46" s="147">
        <v>0</v>
      </c>
      <c r="I46" s="170" t="s">
        <v>444</v>
      </c>
      <c r="J46" s="193"/>
      <c r="K46" s="193"/>
      <c r="L46" s="184">
        <f t="shared" si="4"/>
        <v>0</v>
      </c>
      <c r="M46" s="185">
        <f t="shared" si="5"/>
        <v>0</v>
      </c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</row>
    <row r="47" spans="1:47" ht="14.4" customHeight="1" thickBot="1" x14ac:dyDescent="0.35">
      <c r="A47" s="153" t="s">
        <v>89</v>
      </c>
      <c r="B47" s="156">
        <v>0</v>
      </c>
      <c r="C47" s="147">
        <v>0</v>
      </c>
      <c r="D47" s="147">
        <v>0</v>
      </c>
      <c r="E47" s="168" t="s">
        <v>444</v>
      </c>
      <c r="F47" s="169">
        <v>0</v>
      </c>
      <c r="G47" s="147">
        <v>0</v>
      </c>
      <c r="H47" s="147">
        <v>0</v>
      </c>
      <c r="I47" s="170" t="s">
        <v>444</v>
      </c>
      <c r="J47" s="193"/>
      <c r="K47" s="193"/>
      <c r="L47" s="184">
        <f t="shared" si="4"/>
        <v>0</v>
      </c>
      <c r="M47" s="185">
        <f t="shared" si="5"/>
        <v>0</v>
      </c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</row>
    <row r="48" spans="1:47" ht="14.4" customHeight="1" thickBot="1" x14ac:dyDescent="0.35">
      <c r="A48" s="214" t="s">
        <v>6</v>
      </c>
      <c r="B48" s="151">
        <f>SUM(B41:B47)</f>
        <v>0</v>
      </c>
      <c r="C48" s="215">
        <f>SUM(C41:C47)</f>
        <v>0</v>
      </c>
      <c r="D48" s="215">
        <f>SUM(D41:D47)</f>
        <v>0</v>
      </c>
      <c r="E48" s="216">
        <f>IF(OR(D48=0,B48=0),0,D48/B48)</f>
        <v>0</v>
      </c>
      <c r="F48" s="217">
        <f>SUM(F41:F47)</f>
        <v>0</v>
      </c>
      <c r="G48" s="215">
        <f>SUM(G41:G47)</f>
        <v>0</v>
      </c>
      <c r="H48" s="215">
        <f>SUM(H41:H47)</f>
        <v>0</v>
      </c>
      <c r="I48" s="218">
        <f>IF(OR(H48=0,F48=0),0,H48/F48)</f>
        <v>0</v>
      </c>
      <c r="J48" s="193"/>
      <c r="K48" s="193"/>
      <c r="L48" s="212">
        <f t="shared" si="4"/>
        <v>0</v>
      </c>
      <c r="M48" s="219">
        <f t="shared" si="5"/>
        <v>0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</row>
    <row r="49" spans="1:47" ht="14.4" customHeight="1" x14ac:dyDescent="0.25">
      <c r="A49" s="100"/>
      <c r="B49" s="100"/>
      <c r="C49" s="100"/>
      <c r="D49" s="100"/>
      <c r="E49" s="104"/>
      <c r="F49" s="100"/>
      <c r="G49" s="100"/>
      <c r="H49" s="100"/>
      <c r="I49" s="105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</row>
    <row r="50" spans="1:47" ht="14.4" customHeight="1" x14ac:dyDescent="0.25">
      <c r="A50" s="100"/>
      <c r="B50" s="100"/>
      <c r="C50" s="100"/>
      <c r="D50" s="100"/>
      <c r="E50" s="104"/>
      <c r="F50" s="100"/>
      <c r="G50" s="100"/>
      <c r="H50" s="100"/>
      <c r="I50" s="105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</row>
    <row r="51" spans="1:47" ht="14.4" customHeight="1" x14ac:dyDescent="0.25">
      <c r="A51" s="100"/>
      <c r="B51" s="100"/>
      <c r="C51" s="100"/>
      <c r="D51" s="100"/>
      <c r="E51" s="104"/>
      <c r="F51" s="100"/>
      <c r="G51" s="100"/>
      <c r="H51" s="100"/>
      <c r="I51" s="105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</row>
    <row r="52" spans="1:47" ht="14.4" customHeight="1" x14ac:dyDescent="0.25">
      <c r="A52" s="100"/>
      <c r="B52" s="100"/>
      <c r="C52" s="100"/>
      <c r="D52" s="100"/>
      <c r="E52" s="104"/>
      <c r="F52" s="100"/>
      <c r="G52" s="100"/>
      <c r="H52" s="100"/>
      <c r="I52" s="105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</row>
    <row r="53" spans="1:47" ht="14.4" customHeight="1" x14ac:dyDescent="0.25">
      <c r="A53" s="100"/>
      <c r="B53" s="100"/>
      <c r="C53" s="100"/>
      <c r="D53" s="100"/>
      <c r="E53" s="104"/>
      <c r="F53" s="100"/>
      <c r="G53" s="100"/>
      <c r="H53" s="100"/>
      <c r="I53" s="105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</row>
    <row r="54" spans="1:47" ht="14.4" customHeight="1" x14ac:dyDescent="0.25">
      <c r="A54" s="100"/>
      <c r="B54" s="100"/>
      <c r="C54" s="100"/>
      <c r="D54" s="100"/>
      <c r="E54" s="104"/>
      <c r="F54" s="100"/>
      <c r="G54" s="100"/>
      <c r="H54" s="100"/>
      <c r="I54" s="105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</row>
    <row r="55" spans="1:47" ht="14.4" customHeight="1" x14ac:dyDescent="0.25">
      <c r="A55" s="100"/>
      <c r="B55" s="100"/>
      <c r="C55" s="100"/>
      <c r="D55" s="100"/>
      <c r="E55" s="104"/>
      <c r="F55" s="100"/>
      <c r="G55" s="100"/>
      <c r="H55" s="100"/>
      <c r="I55" s="105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</row>
    <row r="56" spans="1:47" ht="14.4" customHeight="1" x14ac:dyDescent="0.25">
      <c r="A56" s="100"/>
      <c r="B56" s="100"/>
      <c r="C56" s="100"/>
      <c r="D56" s="100"/>
      <c r="E56" s="104"/>
      <c r="F56" s="100"/>
      <c r="G56" s="100"/>
      <c r="H56" s="100"/>
      <c r="I56" s="105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</row>
    <row r="57" spans="1:47" ht="14.4" customHeight="1" x14ac:dyDescent="0.25">
      <c r="A57" s="100"/>
      <c r="B57" s="100"/>
      <c r="C57" s="100"/>
      <c r="D57" s="100"/>
      <c r="E57" s="104"/>
      <c r="F57" s="100"/>
      <c r="G57" s="100"/>
      <c r="H57" s="100"/>
      <c r="I57" s="105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</row>
    <row r="58" spans="1:47" ht="14.4" customHeight="1" x14ac:dyDescent="0.25">
      <c r="A58" s="100"/>
      <c r="B58" s="100"/>
      <c r="C58" s="100"/>
      <c r="D58" s="100"/>
      <c r="E58" s="104"/>
      <c r="F58" s="100"/>
      <c r="G58" s="100"/>
      <c r="H58" s="100"/>
      <c r="I58" s="105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</row>
    <row r="59" spans="1:47" ht="14.4" customHeight="1" x14ac:dyDescent="0.25">
      <c r="A59" s="100"/>
      <c r="B59" s="100"/>
      <c r="C59" s="100"/>
      <c r="D59" s="100"/>
      <c r="E59" s="104"/>
      <c r="F59" s="100"/>
      <c r="G59" s="100"/>
      <c r="H59" s="100"/>
      <c r="I59" s="105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</row>
    <row r="60" spans="1:47" ht="14.4" customHeight="1" x14ac:dyDescent="0.25">
      <c r="A60" s="100"/>
      <c r="B60" s="100"/>
      <c r="C60" s="100"/>
      <c r="D60" s="100"/>
      <c r="E60" s="104"/>
      <c r="F60" s="100"/>
      <c r="G60" s="100"/>
      <c r="H60" s="100"/>
      <c r="I60" s="105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</row>
    <row r="61" spans="1:47" ht="14.4" customHeight="1" x14ac:dyDescent="0.25">
      <c r="A61" s="100"/>
      <c r="B61" s="100"/>
      <c r="C61" s="100"/>
      <c r="D61" s="100"/>
      <c r="E61" s="104"/>
      <c r="F61" s="100"/>
      <c r="G61" s="100"/>
      <c r="H61" s="100"/>
      <c r="I61" s="105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</row>
    <row r="62" spans="1:47" ht="14.4" customHeight="1" x14ac:dyDescent="0.25">
      <c r="A62" s="100"/>
      <c r="B62" s="100"/>
      <c r="C62" s="100"/>
      <c r="D62" s="100"/>
      <c r="E62" s="104"/>
      <c r="F62" s="100"/>
      <c r="G62" s="100"/>
      <c r="H62" s="100"/>
      <c r="I62" s="105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1:47" ht="14.4" customHeight="1" x14ac:dyDescent="0.25">
      <c r="A63" s="100"/>
      <c r="B63" s="100"/>
      <c r="C63" s="100"/>
      <c r="D63" s="100"/>
      <c r="E63" s="104"/>
      <c r="F63" s="100"/>
      <c r="G63" s="100"/>
      <c r="H63" s="100"/>
      <c r="I63" s="105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</row>
    <row r="64" spans="1:47" ht="14.4" customHeight="1" x14ac:dyDescent="0.25">
      <c r="A64" s="100"/>
      <c r="B64" s="100"/>
      <c r="C64" s="100"/>
      <c r="D64" s="100"/>
      <c r="E64" s="104"/>
      <c r="F64" s="100"/>
      <c r="G64" s="100"/>
      <c r="H64" s="100"/>
      <c r="I64" s="105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1:47" ht="14.4" customHeight="1" x14ac:dyDescent="0.25">
      <c r="A65" s="100"/>
      <c r="B65" s="100"/>
      <c r="C65" s="100"/>
      <c r="D65" s="100"/>
      <c r="E65" s="104"/>
      <c r="F65" s="100"/>
      <c r="G65" s="100"/>
      <c r="H65" s="100"/>
      <c r="I65" s="105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</row>
    <row r="66" spans="1:47" ht="14.4" customHeight="1" x14ac:dyDescent="0.25">
      <c r="A66" s="100"/>
      <c r="B66" s="100"/>
      <c r="C66" s="100"/>
      <c r="D66" s="100"/>
      <c r="E66" s="104"/>
      <c r="F66" s="100"/>
      <c r="G66" s="100"/>
      <c r="H66" s="100"/>
      <c r="I66" s="105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1:47" ht="14.4" customHeight="1" x14ac:dyDescent="0.25">
      <c r="A67" s="100"/>
      <c r="B67" s="100"/>
      <c r="C67" s="100"/>
      <c r="D67" s="100"/>
      <c r="E67" s="104"/>
      <c r="F67" s="100"/>
      <c r="G67" s="100"/>
      <c r="H67" s="100"/>
      <c r="I67" s="105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</row>
    <row r="68" spans="1:47" ht="14.4" customHeight="1" x14ac:dyDescent="0.25">
      <c r="A68" s="100"/>
      <c r="B68" s="100"/>
      <c r="C68" s="100"/>
      <c r="D68" s="100"/>
      <c r="E68" s="104"/>
      <c r="F68" s="100"/>
      <c r="G68" s="100"/>
      <c r="H68" s="100"/>
      <c r="I68" s="105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1:47" ht="14.4" customHeight="1" x14ac:dyDescent="0.25">
      <c r="A69" s="100"/>
      <c r="B69" s="100"/>
      <c r="C69" s="100"/>
      <c r="D69" s="100"/>
      <c r="E69" s="104"/>
      <c r="F69" s="100"/>
      <c r="G69" s="100"/>
      <c r="H69" s="100"/>
      <c r="I69" s="105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</row>
    <row r="70" spans="1:47" ht="14.4" customHeight="1" x14ac:dyDescent="0.25">
      <c r="A70" s="100"/>
      <c r="B70" s="100"/>
      <c r="C70" s="100"/>
      <c r="D70" s="100"/>
      <c r="E70" s="104"/>
      <c r="F70" s="100"/>
      <c r="G70" s="100"/>
      <c r="H70" s="100"/>
      <c r="I70" s="105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</row>
    <row r="71" spans="1:47" ht="14.4" customHeight="1" x14ac:dyDescent="0.25">
      <c r="A71" s="100"/>
      <c r="B71" s="100"/>
      <c r="C71" s="100"/>
      <c r="D71" s="100"/>
      <c r="E71" s="104"/>
      <c r="F71" s="100"/>
      <c r="G71" s="100"/>
      <c r="H71" s="100"/>
      <c r="I71" s="105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</row>
    <row r="72" spans="1:47" ht="14.4" customHeight="1" x14ac:dyDescent="0.25">
      <c r="A72" s="100"/>
      <c r="B72" s="100"/>
      <c r="C72" s="100"/>
      <c r="D72" s="100"/>
      <c r="E72" s="104"/>
      <c r="F72" s="100"/>
      <c r="G72" s="100"/>
      <c r="H72" s="100"/>
      <c r="I72" s="105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</row>
    <row r="73" spans="1:47" ht="14.4" customHeight="1" x14ac:dyDescent="0.25">
      <c r="A73" s="100"/>
      <c r="B73" s="100"/>
      <c r="C73" s="100"/>
      <c r="D73" s="100"/>
      <c r="E73" s="104"/>
      <c r="F73" s="100"/>
      <c r="G73" s="100"/>
      <c r="H73" s="100"/>
      <c r="I73" s="105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</row>
    <row r="74" spans="1:47" ht="14.4" customHeight="1" x14ac:dyDescent="0.25">
      <c r="A74" s="100"/>
      <c r="B74" s="100"/>
      <c r="C74" s="100"/>
      <c r="D74" s="100"/>
      <c r="E74" s="104"/>
      <c r="F74" s="100"/>
      <c r="G74" s="100"/>
      <c r="H74" s="100"/>
      <c r="I74" s="105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</row>
    <row r="75" spans="1:47" ht="14.4" customHeight="1" x14ac:dyDescent="0.25">
      <c r="A75" s="100"/>
      <c r="B75" s="100"/>
      <c r="C75" s="100"/>
      <c r="D75" s="100"/>
      <c r="E75" s="104"/>
      <c r="F75" s="100"/>
      <c r="G75" s="100"/>
      <c r="H75" s="100"/>
      <c r="I75" s="105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</row>
    <row r="76" spans="1:47" ht="14.4" customHeight="1" x14ac:dyDescent="0.25">
      <c r="A76" s="100"/>
      <c r="B76" s="100"/>
      <c r="C76" s="100"/>
      <c r="D76" s="100"/>
      <c r="E76" s="104"/>
      <c r="F76" s="100"/>
      <c r="G76" s="100"/>
      <c r="H76" s="100"/>
      <c r="I76" s="105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</row>
    <row r="77" spans="1:47" ht="14.4" customHeight="1" x14ac:dyDescent="0.25">
      <c r="A77" s="100"/>
      <c r="B77" s="100"/>
      <c r="C77" s="100"/>
      <c r="D77" s="100"/>
      <c r="E77" s="104"/>
      <c r="F77" s="100"/>
      <c r="G77" s="100"/>
      <c r="H77" s="100"/>
      <c r="I77" s="105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</row>
    <row r="78" spans="1:47" ht="14.4" customHeight="1" x14ac:dyDescent="0.25">
      <c r="A78" s="100"/>
      <c r="B78" s="100"/>
      <c r="C78" s="100"/>
      <c r="D78" s="100"/>
      <c r="E78" s="104"/>
      <c r="F78" s="100"/>
      <c r="G78" s="100"/>
      <c r="H78" s="100"/>
      <c r="I78" s="105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</row>
    <row r="79" spans="1:47" ht="14.4" customHeight="1" x14ac:dyDescent="0.25">
      <c r="A79" s="100"/>
      <c r="B79" s="100"/>
      <c r="C79" s="100"/>
      <c r="D79" s="100"/>
      <c r="E79" s="104"/>
      <c r="F79" s="100"/>
      <c r="G79" s="100"/>
      <c r="H79" s="100"/>
      <c r="I79" s="105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</row>
    <row r="80" spans="1:47" ht="14.4" customHeight="1" x14ac:dyDescent="0.25">
      <c r="A80" s="100"/>
      <c r="B80" s="100"/>
      <c r="C80" s="100"/>
      <c r="D80" s="100"/>
      <c r="E80" s="104"/>
      <c r="F80" s="100"/>
      <c r="G80" s="100"/>
      <c r="H80" s="100"/>
      <c r="I80" s="105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</row>
    <row r="81" spans="1:47" ht="14.4" customHeight="1" x14ac:dyDescent="0.25">
      <c r="A81" s="100"/>
      <c r="B81" s="100"/>
      <c r="C81" s="100"/>
      <c r="D81" s="100"/>
      <c r="E81" s="104"/>
      <c r="F81" s="100"/>
      <c r="G81" s="100"/>
      <c r="H81" s="100"/>
      <c r="I81" s="105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</row>
    <row r="82" spans="1:47" ht="14.4" customHeight="1" x14ac:dyDescent="0.25">
      <c r="A82" s="100"/>
      <c r="B82" s="100"/>
      <c r="C82" s="100"/>
      <c r="D82" s="100"/>
      <c r="E82" s="104"/>
      <c r="F82" s="100"/>
      <c r="G82" s="100"/>
      <c r="H82" s="100"/>
      <c r="I82" s="105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</row>
    <row r="83" spans="1:47" ht="14.4" customHeight="1" x14ac:dyDescent="0.25">
      <c r="A83" s="100"/>
      <c r="B83" s="100"/>
      <c r="C83" s="100"/>
      <c r="D83" s="100"/>
      <c r="E83" s="104"/>
      <c r="F83" s="100"/>
      <c r="G83" s="100"/>
      <c r="H83" s="100"/>
      <c r="I83" s="105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</row>
    <row r="84" spans="1:47" ht="14.4" customHeight="1" x14ac:dyDescent="0.25">
      <c r="A84" s="100"/>
      <c r="B84" s="100"/>
      <c r="C84" s="100"/>
      <c r="D84" s="100"/>
      <c r="E84" s="104"/>
      <c r="F84" s="100"/>
      <c r="G84" s="100"/>
      <c r="H84" s="100"/>
      <c r="I84" s="105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</row>
    <row r="85" spans="1:47" ht="14.4" customHeight="1" x14ac:dyDescent="0.25">
      <c r="A85" s="100"/>
      <c r="B85" s="100"/>
      <c r="C85" s="100"/>
      <c r="D85" s="100"/>
      <c r="E85" s="104"/>
      <c r="F85" s="100"/>
      <c r="G85" s="100"/>
      <c r="H85" s="100"/>
      <c r="I85" s="105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</row>
    <row r="86" spans="1:47" ht="14.4" customHeight="1" x14ac:dyDescent="0.25">
      <c r="A86" s="100"/>
      <c r="B86" s="100"/>
      <c r="C86" s="100"/>
      <c r="D86" s="100"/>
      <c r="E86" s="104"/>
      <c r="F86" s="100"/>
      <c r="G86" s="100"/>
      <c r="H86" s="100"/>
      <c r="I86" s="105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</row>
    <row r="87" spans="1:47" ht="14.4" customHeight="1" x14ac:dyDescent="0.25">
      <c r="A87" s="100"/>
      <c r="B87" s="100"/>
      <c r="C87" s="100"/>
      <c r="D87" s="100"/>
      <c r="E87" s="104"/>
      <c r="F87" s="100"/>
      <c r="G87" s="100"/>
      <c r="H87" s="100"/>
      <c r="I87" s="105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</row>
    <row r="88" spans="1:47" ht="14.4" customHeight="1" x14ac:dyDescent="0.25">
      <c r="A88" s="100"/>
      <c r="B88" s="100"/>
      <c r="C88" s="100"/>
      <c r="D88" s="100"/>
      <c r="E88" s="104"/>
      <c r="F88" s="100"/>
      <c r="G88" s="100"/>
      <c r="H88" s="100"/>
      <c r="I88" s="105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</row>
    <row r="89" spans="1:47" ht="14.4" customHeight="1" x14ac:dyDescent="0.25">
      <c r="A89" s="100"/>
      <c r="B89" s="100"/>
      <c r="C89" s="100"/>
      <c r="D89" s="100"/>
      <c r="E89" s="104"/>
      <c r="F89" s="100"/>
      <c r="G89" s="100"/>
      <c r="H89" s="100"/>
      <c r="I89" s="105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</row>
    <row r="90" spans="1:47" ht="14.4" customHeight="1" x14ac:dyDescent="0.25">
      <c r="A90" s="100"/>
      <c r="B90" s="100"/>
      <c r="C90" s="100"/>
      <c r="D90" s="100"/>
      <c r="E90" s="104"/>
      <c r="F90" s="100"/>
      <c r="G90" s="100"/>
      <c r="H90" s="100"/>
      <c r="I90" s="105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</row>
    <row r="91" spans="1:47" ht="14.4" customHeight="1" x14ac:dyDescent="0.25">
      <c r="A91" s="100"/>
      <c r="B91" s="100"/>
      <c r="C91" s="100"/>
      <c r="D91" s="100"/>
      <c r="E91" s="104"/>
      <c r="F91" s="100"/>
      <c r="G91" s="100"/>
      <c r="H91" s="100"/>
      <c r="I91" s="105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</row>
    <row r="92" spans="1:47" ht="14.4" customHeight="1" x14ac:dyDescent="0.25">
      <c r="A92" s="100"/>
      <c r="B92" s="100"/>
      <c r="C92" s="100"/>
      <c r="D92" s="100"/>
      <c r="E92" s="104"/>
      <c r="F92" s="100"/>
      <c r="G92" s="100"/>
      <c r="H92" s="100"/>
      <c r="I92" s="105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</row>
    <row r="93" spans="1:47" ht="14.4" customHeight="1" x14ac:dyDescent="0.25">
      <c r="A93" s="100"/>
      <c r="B93" s="100"/>
      <c r="C93" s="100"/>
      <c r="D93" s="100"/>
      <c r="E93" s="104"/>
      <c r="F93" s="100"/>
      <c r="G93" s="100"/>
      <c r="H93" s="100"/>
      <c r="I93" s="105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</row>
    <row r="94" spans="1:47" ht="14.4" customHeight="1" x14ac:dyDescent="0.25">
      <c r="A94" s="100"/>
      <c r="B94" s="100"/>
      <c r="C94" s="100"/>
      <c r="D94" s="100"/>
      <c r="E94" s="104"/>
      <c r="F94" s="100"/>
      <c r="G94" s="100"/>
      <c r="H94" s="100"/>
      <c r="I94" s="105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</row>
    <row r="95" spans="1:47" ht="14.4" customHeight="1" x14ac:dyDescent="0.25">
      <c r="A95" s="100"/>
      <c r="B95" s="100"/>
      <c r="C95" s="100"/>
      <c r="D95" s="100"/>
      <c r="E95" s="104"/>
      <c r="F95" s="100"/>
      <c r="G95" s="100"/>
      <c r="H95" s="100"/>
      <c r="I95" s="105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</row>
    <row r="96" spans="1:47" ht="14.4" customHeight="1" x14ac:dyDescent="0.25">
      <c r="A96" s="100"/>
      <c r="B96" s="100"/>
      <c r="C96" s="100"/>
      <c r="D96" s="100"/>
      <c r="E96" s="104"/>
      <c r="F96" s="100"/>
      <c r="G96" s="100"/>
      <c r="H96" s="100"/>
      <c r="I96" s="105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</row>
    <row r="97" spans="1:47" ht="14.4" customHeight="1" x14ac:dyDescent="0.25">
      <c r="A97" s="100"/>
      <c r="B97" s="100"/>
      <c r="C97" s="100"/>
      <c r="D97" s="100"/>
      <c r="E97" s="104"/>
      <c r="F97" s="100"/>
      <c r="G97" s="100"/>
      <c r="H97" s="100"/>
      <c r="I97" s="105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</row>
    <row r="98" spans="1:47" ht="14.4" customHeight="1" x14ac:dyDescent="0.25">
      <c r="A98" s="100"/>
      <c r="B98" s="100"/>
      <c r="C98" s="100"/>
      <c r="D98" s="100"/>
      <c r="E98" s="104"/>
      <c r="F98" s="100"/>
      <c r="G98" s="100"/>
      <c r="H98" s="100"/>
      <c r="I98" s="105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</row>
    <row r="99" spans="1:47" ht="14.4" customHeight="1" x14ac:dyDescent="0.25">
      <c r="A99" s="100"/>
      <c r="B99" s="100"/>
      <c r="C99" s="100"/>
      <c r="D99" s="100"/>
      <c r="E99" s="104"/>
      <c r="F99" s="100"/>
      <c r="G99" s="100"/>
      <c r="H99" s="100"/>
      <c r="I99" s="105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</row>
    <row r="100" spans="1:47" ht="14.4" customHeight="1" x14ac:dyDescent="0.25">
      <c r="A100" s="100"/>
      <c r="B100" s="100"/>
      <c r="C100" s="100"/>
      <c r="D100" s="100"/>
      <c r="E100" s="104"/>
      <c r="F100" s="100"/>
      <c r="G100" s="100"/>
      <c r="H100" s="100"/>
      <c r="I100" s="105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</row>
    <row r="101" spans="1:47" ht="14.4" customHeight="1" x14ac:dyDescent="0.25">
      <c r="A101" s="100"/>
      <c r="B101" s="100"/>
      <c r="C101" s="100"/>
      <c r="D101" s="100"/>
      <c r="E101" s="104"/>
      <c r="F101" s="100"/>
      <c r="G101" s="100"/>
      <c r="H101" s="100"/>
      <c r="I101" s="105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</row>
    <row r="102" spans="1:47" ht="14.4" customHeight="1" x14ac:dyDescent="0.25">
      <c r="A102" s="100"/>
      <c r="B102" s="100"/>
      <c r="C102" s="100"/>
      <c r="D102" s="100"/>
      <c r="E102" s="104"/>
      <c r="F102" s="100"/>
      <c r="G102" s="100"/>
      <c r="H102" s="100"/>
      <c r="I102" s="105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</row>
    <row r="103" spans="1:47" ht="14.4" customHeight="1" x14ac:dyDescent="0.25">
      <c r="A103" s="100"/>
      <c r="B103" s="100"/>
      <c r="C103" s="100"/>
      <c r="D103" s="100"/>
      <c r="E103" s="104"/>
      <c r="F103" s="100"/>
      <c r="G103" s="100"/>
      <c r="H103" s="100"/>
      <c r="I103" s="105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</row>
    <row r="104" spans="1:47" ht="14.4" customHeight="1" x14ac:dyDescent="0.25">
      <c r="A104" s="100"/>
      <c r="B104" s="100"/>
      <c r="C104" s="100"/>
      <c r="D104" s="100"/>
      <c r="E104" s="104"/>
      <c r="F104" s="100"/>
      <c r="G104" s="100"/>
      <c r="H104" s="100"/>
      <c r="I104" s="105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</row>
    <row r="105" spans="1:47" ht="14.4" customHeight="1" x14ac:dyDescent="0.25">
      <c r="A105" s="100"/>
      <c r="B105" s="100"/>
      <c r="C105" s="100"/>
      <c r="D105" s="100"/>
      <c r="E105" s="104"/>
      <c r="F105" s="100"/>
      <c r="G105" s="100"/>
      <c r="H105" s="100"/>
      <c r="I105" s="105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</row>
    <row r="106" spans="1:47" ht="14.4" customHeight="1" x14ac:dyDescent="0.25">
      <c r="A106" s="100"/>
      <c r="B106" s="100"/>
      <c r="C106" s="100"/>
      <c r="D106" s="100"/>
      <c r="E106" s="104"/>
      <c r="F106" s="100"/>
      <c r="G106" s="100"/>
      <c r="H106" s="100"/>
      <c r="I106" s="105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</row>
    <row r="107" spans="1:47" ht="14.4" customHeight="1" x14ac:dyDescent="0.25">
      <c r="A107" s="100"/>
      <c r="B107" s="100"/>
      <c r="C107" s="100"/>
      <c r="D107" s="100"/>
      <c r="E107" s="104"/>
      <c r="F107" s="100"/>
      <c r="G107" s="100"/>
      <c r="H107" s="100"/>
      <c r="I107" s="105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</row>
    <row r="108" spans="1:47" ht="14.4" customHeight="1" x14ac:dyDescent="0.25">
      <c r="A108" s="100"/>
      <c r="B108" s="100"/>
      <c r="C108" s="100"/>
      <c r="D108" s="100"/>
      <c r="E108" s="104"/>
      <c r="F108" s="100"/>
      <c r="G108" s="100"/>
      <c r="H108" s="100"/>
      <c r="I108" s="105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</row>
    <row r="109" spans="1:47" ht="14.4" customHeight="1" x14ac:dyDescent="0.25">
      <c r="A109" s="100"/>
      <c r="B109" s="100"/>
      <c r="C109" s="100"/>
      <c r="D109" s="100"/>
      <c r="E109" s="104"/>
      <c r="F109" s="100"/>
      <c r="G109" s="100"/>
      <c r="H109" s="100"/>
      <c r="I109" s="105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</row>
    <row r="110" spans="1:47" ht="14.4" customHeight="1" x14ac:dyDescent="0.25">
      <c r="A110" s="100"/>
      <c r="B110" s="100"/>
      <c r="C110" s="100"/>
      <c r="D110" s="100"/>
      <c r="E110" s="104"/>
      <c r="F110" s="100"/>
      <c r="G110" s="100"/>
      <c r="H110" s="100"/>
      <c r="I110" s="105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</row>
    <row r="111" spans="1:47" ht="14.4" customHeight="1" x14ac:dyDescent="0.25">
      <c r="A111" s="100"/>
      <c r="B111" s="100"/>
      <c r="C111" s="100"/>
      <c r="D111" s="100"/>
      <c r="E111" s="104"/>
      <c r="F111" s="100"/>
      <c r="G111" s="100"/>
      <c r="H111" s="100"/>
      <c r="I111" s="105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</row>
    <row r="112" spans="1:47" ht="14.4" customHeight="1" x14ac:dyDescent="0.25">
      <c r="A112" s="100"/>
      <c r="B112" s="100"/>
      <c r="C112" s="100"/>
      <c r="D112" s="100"/>
      <c r="E112" s="104"/>
      <c r="F112" s="100"/>
      <c r="G112" s="100"/>
      <c r="H112" s="100"/>
      <c r="I112" s="105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</row>
    <row r="113" spans="1:47" ht="14.4" customHeight="1" x14ac:dyDescent="0.25">
      <c r="A113" s="100"/>
      <c r="B113" s="100"/>
      <c r="C113" s="100"/>
      <c r="D113" s="100"/>
      <c r="E113" s="104"/>
      <c r="F113" s="100"/>
      <c r="G113" s="100"/>
      <c r="H113" s="100"/>
      <c r="I113" s="105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</row>
    <row r="114" spans="1:47" ht="14.4" customHeight="1" x14ac:dyDescent="0.25">
      <c r="A114" s="100"/>
      <c r="B114" s="100"/>
      <c r="C114" s="100"/>
      <c r="D114" s="100"/>
      <c r="E114" s="104"/>
      <c r="F114" s="100"/>
      <c r="G114" s="100"/>
      <c r="H114" s="100"/>
      <c r="I114" s="105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</row>
    <row r="115" spans="1:47" ht="14.4" customHeight="1" x14ac:dyDescent="0.25">
      <c r="A115" s="100"/>
      <c r="B115" s="100"/>
      <c r="C115" s="100"/>
      <c r="D115" s="100"/>
      <c r="E115" s="104"/>
      <c r="F115" s="100"/>
      <c r="G115" s="100"/>
      <c r="H115" s="100"/>
      <c r="I115" s="105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</row>
    <row r="116" spans="1:47" ht="14.4" customHeight="1" x14ac:dyDescent="0.25">
      <c r="A116" s="100"/>
      <c r="B116" s="100"/>
      <c r="C116" s="100"/>
      <c r="D116" s="100"/>
      <c r="E116" s="104"/>
      <c r="F116" s="100"/>
      <c r="G116" s="100"/>
      <c r="H116" s="100"/>
      <c r="I116" s="105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</row>
    <row r="117" spans="1:47" ht="14.4" customHeight="1" x14ac:dyDescent="0.25">
      <c r="A117" s="100"/>
      <c r="B117" s="100"/>
      <c r="C117" s="100"/>
      <c r="D117" s="100"/>
      <c r="E117" s="104"/>
      <c r="F117" s="100"/>
      <c r="G117" s="100"/>
      <c r="H117" s="100"/>
      <c r="I117" s="105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</row>
    <row r="118" spans="1:47" ht="14.4" customHeight="1" x14ac:dyDescent="0.25">
      <c r="A118" s="100"/>
      <c r="B118" s="100"/>
      <c r="C118" s="100"/>
      <c r="D118" s="100"/>
      <c r="E118" s="104"/>
      <c r="F118" s="100"/>
      <c r="G118" s="100"/>
      <c r="H118" s="100"/>
      <c r="I118" s="105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</row>
    <row r="119" spans="1:47" ht="14.4" customHeight="1" x14ac:dyDescent="0.25">
      <c r="A119" s="100"/>
      <c r="B119" s="100"/>
      <c r="C119" s="100"/>
      <c r="D119" s="100"/>
      <c r="E119" s="104"/>
      <c r="F119" s="100"/>
      <c r="G119" s="100"/>
      <c r="H119" s="100"/>
      <c r="I119" s="105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</row>
    <row r="120" spans="1:47" ht="14.4" customHeight="1" x14ac:dyDescent="0.25">
      <c r="A120" s="100"/>
      <c r="B120" s="100"/>
      <c r="C120" s="100"/>
      <c r="D120" s="100"/>
      <c r="E120" s="104"/>
      <c r="F120" s="100"/>
      <c r="G120" s="100"/>
      <c r="H120" s="100"/>
      <c r="I120" s="105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</row>
    <row r="121" spans="1:47" ht="14.4" customHeight="1" x14ac:dyDescent="0.25">
      <c r="A121" s="100"/>
      <c r="B121" s="100"/>
      <c r="C121" s="100"/>
      <c r="D121" s="100"/>
      <c r="E121" s="104"/>
      <c r="F121" s="100"/>
      <c r="G121" s="100"/>
      <c r="H121" s="100"/>
      <c r="I121" s="105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</row>
    <row r="122" spans="1:47" ht="14.4" customHeight="1" x14ac:dyDescent="0.25">
      <c r="A122" s="100"/>
      <c r="B122" s="100"/>
      <c r="C122" s="100"/>
      <c r="D122" s="100"/>
      <c r="E122" s="104"/>
      <c r="F122" s="100"/>
      <c r="G122" s="100"/>
      <c r="H122" s="100"/>
      <c r="I122" s="105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</row>
    <row r="123" spans="1:47" ht="14.4" customHeight="1" x14ac:dyDescent="0.25">
      <c r="A123" s="100"/>
      <c r="B123" s="100"/>
      <c r="C123" s="100"/>
      <c r="D123" s="100"/>
      <c r="E123" s="104"/>
      <c r="F123" s="100"/>
      <c r="G123" s="100"/>
      <c r="H123" s="100"/>
      <c r="I123" s="105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</row>
    <row r="124" spans="1:47" ht="14.4" customHeight="1" x14ac:dyDescent="0.25">
      <c r="A124" s="100"/>
      <c r="B124" s="100"/>
      <c r="C124" s="100"/>
      <c r="D124" s="100"/>
      <c r="E124" s="104"/>
      <c r="F124" s="100"/>
      <c r="G124" s="100"/>
      <c r="H124" s="100"/>
      <c r="I124" s="105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</row>
    <row r="125" spans="1:47" ht="14.4" customHeight="1" x14ac:dyDescent="0.25">
      <c r="A125" s="100"/>
      <c r="B125" s="100"/>
      <c r="C125" s="100"/>
      <c r="D125" s="100"/>
      <c r="E125" s="104"/>
      <c r="F125" s="100"/>
      <c r="G125" s="100"/>
      <c r="H125" s="100"/>
      <c r="I125" s="105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</row>
    <row r="126" spans="1:47" ht="14.4" customHeight="1" x14ac:dyDescent="0.25">
      <c r="A126" s="100"/>
      <c r="B126" s="100"/>
      <c r="C126" s="100"/>
      <c r="D126" s="100"/>
      <c r="E126" s="104"/>
      <c r="F126" s="100"/>
      <c r="G126" s="100"/>
      <c r="H126" s="100"/>
      <c r="I126" s="105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</row>
    <row r="127" spans="1:47" ht="14.4" customHeight="1" x14ac:dyDescent="0.25">
      <c r="A127" s="100"/>
      <c r="B127" s="100"/>
      <c r="C127" s="100"/>
      <c r="D127" s="100"/>
      <c r="E127" s="104"/>
      <c r="F127" s="100"/>
      <c r="G127" s="100"/>
      <c r="H127" s="100"/>
      <c r="I127" s="105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</row>
    <row r="128" spans="1:47" ht="14.4" customHeight="1" x14ac:dyDescent="0.25">
      <c r="A128" s="100"/>
      <c r="B128" s="100"/>
      <c r="C128" s="100"/>
      <c r="D128" s="100"/>
      <c r="E128" s="104"/>
      <c r="F128" s="100"/>
      <c r="G128" s="100"/>
      <c r="H128" s="100"/>
      <c r="I128" s="105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</row>
    <row r="129" spans="1:47" ht="14.4" customHeight="1" x14ac:dyDescent="0.25">
      <c r="A129" s="100"/>
      <c r="B129" s="100"/>
      <c r="C129" s="100"/>
      <c r="D129" s="100"/>
      <c r="E129" s="104"/>
      <c r="F129" s="100"/>
      <c r="G129" s="100"/>
      <c r="H129" s="100"/>
      <c r="I129" s="105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</row>
    <row r="130" spans="1:47" ht="14.4" customHeight="1" x14ac:dyDescent="0.25">
      <c r="A130" s="100"/>
      <c r="B130" s="100"/>
      <c r="C130" s="100"/>
      <c r="D130" s="100"/>
      <c r="E130" s="104"/>
      <c r="F130" s="100"/>
      <c r="G130" s="100"/>
      <c r="H130" s="100"/>
      <c r="I130" s="105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</row>
    <row r="131" spans="1:47" ht="14.4" customHeight="1" x14ac:dyDescent="0.25">
      <c r="A131" s="100"/>
      <c r="B131" s="100"/>
      <c r="C131" s="100"/>
      <c r="D131" s="100"/>
      <c r="E131" s="104"/>
      <c r="F131" s="100"/>
      <c r="G131" s="100"/>
      <c r="H131" s="100"/>
      <c r="I131" s="105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</row>
    <row r="132" spans="1:47" ht="14.4" customHeight="1" x14ac:dyDescent="0.25">
      <c r="A132" s="100"/>
      <c r="B132" s="100"/>
      <c r="C132" s="100"/>
      <c r="D132" s="100"/>
      <c r="E132" s="104"/>
      <c r="F132" s="100"/>
      <c r="G132" s="100"/>
      <c r="H132" s="100"/>
      <c r="I132" s="105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</row>
    <row r="133" spans="1:47" ht="14.4" customHeight="1" x14ac:dyDescent="0.25">
      <c r="A133" s="100"/>
      <c r="B133" s="100"/>
      <c r="C133" s="100"/>
      <c r="D133" s="100"/>
      <c r="E133" s="104"/>
      <c r="F133" s="100"/>
      <c r="G133" s="100"/>
      <c r="H133" s="100"/>
      <c r="I133" s="105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</row>
    <row r="134" spans="1:47" ht="14.4" customHeight="1" x14ac:dyDescent="0.25">
      <c r="A134" s="100"/>
      <c r="B134" s="100"/>
      <c r="C134" s="100"/>
      <c r="D134" s="100"/>
      <c r="E134" s="104"/>
      <c r="F134" s="100"/>
      <c r="G134" s="100"/>
      <c r="H134" s="100"/>
      <c r="I134" s="105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</row>
    <row r="135" spans="1:47" ht="14.4" customHeight="1" x14ac:dyDescent="0.25">
      <c r="A135" s="100"/>
      <c r="B135" s="100"/>
      <c r="C135" s="100"/>
      <c r="D135" s="100"/>
      <c r="E135" s="104"/>
      <c r="F135" s="100"/>
      <c r="G135" s="100"/>
      <c r="H135" s="100"/>
      <c r="I135" s="105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</row>
    <row r="136" spans="1:47" ht="14.4" customHeight="1" x14ac:dyDescent="0.25">
      <c r="B136" s="100"/>
      <c r="C136" s="100"/>
      <c r="D136" s="100"/>
      <c r="E136" s="104"/>
      <c r="F136" s="100"/>
      <c r="G136" s="100"/>
      <c r="H136" s="100"/>
      <c r="I136" s="105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</row>
    <row r="137" spans="1:47" ht="14.4" customHeight="1" x14ac:dyDescent="0.25">
      <c r="B137" s="100"/>
      <c r="C137" s="100"/>
      <c r="D137" s="100"/>
      <c r="E137" s="104"/>
      <c r="F137" s="100"/>
      <c r="G137" s="100"/>
      <c r="H137" s="100"/>
      <c r="I137" s="105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</row>
    <row r="138" spans="1:47" ht="14.4" customHeight="1" x14ac:dyDescent="0.25">
      <c r="B138" s="100"/>
      <c r="C138" s="100"/>
      <c r="D138" s="100"/>
      <c r="E138" s="104"/>
      <c r="F138" s="100"/>
      <c r="G138" s="100"/>
      <c r="H138" s="100"/>
      <c r="I138" s="105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</row>
    <row r="139" spans="1:47" ht="14.4" customHeight="1" x14ac:dyDescent="0.25">
      <c r="B139" s="100"/>
      <c r="C139" s="100"/>
      <c r="D139" s="100"/>
      <c r="E139" s="104"/>
      <c r="F139" s="100"/>
      <c r="G139" s="100"/>
      <c r="H139" s="100"/>
      <c r="I139" s="105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</row>
    <row r="140" spans="1:47" ht="14.4" customHeight="1" x14ac:dyDescent="0.25">
      <c r="B140" s="100"/>
      <c r="C140" s="100"/>
      <c r="D140" s="100"/>
      <c r="E140" s="104"/>
      <c r="F140" s="100"/>
      <c r="G140" s="100"/>
      <c r="H140" s="100"/>
      <c r="I140" s="105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</row>
    <row r="141" spans="1:47" ht="14.4" customHeight="1" x14ac:dyDescent="0.25">
      <c r="B141" s="100"/>
      <c r="C141" s="100"/>
      <c r="D141" s="100"/>
      <c r="E141" s="104"/>
      <c r="F141" s="100"/>
      <c r="G141" s="100"/>
      <c r="H141" s="100"/>
      <c r="I141" s="105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</row>
    <row r="142" spans="1:47" ht="14.4" customHeight="1" x14ac:dyDescent="0.25">
      <c r="B142" s="100"/>
      <c r="C142" s="100"/>
      <c r="D142" s="100"/>
      <c r="E142" s="104"/>
      <c r="F142" s="100"/>
      <c r="G142" s="100"/>
      <c r="H142" s="100"/>
      <c r="I142" s="105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</row>
    <row r="143" spans="1:47" ht="14.4" customHeight="1" x14ac:dyDescent="0.25">
      <c r="B143" s="100"/>
      <c r="C143" s="100"/>
      <c r="D143" s="100"/>
      <c r="E143" s="104"/>
      <c r="F143" s="100"/>
      <c r="G143" s="100"/>
      <c r="H143" s="100"/>
      <c r="I143" s="105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</row>
    <row r="144" spans="1:47" ht="14.4" customHeight="1" x14ac:dyDescent="0.25">
      <c r="B144" s="100"/>
      <c r="C144" s="100"/>
      <c r="D144" s="100"/>
      <c r="E144" s="104"/>
      <c r="F144" s="100"/>
      <c r="G144" s="100"/>
      <c r="H144" s="100"/>
      <c r="I144" s="105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</row>
    <row r="145" spans="2:47" ht="14.4" customHeight="1" x14ac:dyDescent="0.25">
      <c r="B145" s="100"/>
      <c r="C145" s="100"/>
      <c r="D145" s="100"/>
      <c r="E145" s="104"/>
      <c r="F145" s="100"/>
      <c r="G145" s="100"/>
      <c r="H145" s="100"/>
      <c r="I145" s="105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</row>
    <row r="146" spans="2:47" ht="14.4" customHeight="1" x14ac:dyDescent="0.25">
      <c r="B146" s="100"/>
      <c r="C146" s="100"/>
      <c r="D146" s="100"/>
      <c r="E146" s="104"/>
      <c r="F146" s="100"/>
      <c r="G146" s="100"/>
      <c r="H146" s="100"/>
      <c r="I146" s="105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</row>
    <row r="147" spans="2:47" ht="14.4" customHeight="1" x14ac:dyDescent="0.25">
      <c r="B147" s="100"/>
      <c r="C147" s="100"/>
      <c r="D147" s="100"/>
      <c r="E147" s="104"/>
      <c r="F147" s="100"/>
      <c r="G147" s="100"/>
      <c r="H147" s="100"/>
      <c r="I147" s="105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</row>
    <row r="148" spans="2:47" ht="14.4" customHeight="1" x14ac:dyDescent="0.25">
      <c r="B148" s="100"/>
      <c r="C148" s="100"/>
      <c r="D148" s="100"/>
      <c r="E148" s="104"/>
      <c r="F148" s="100"/>
      <c r="G148" s="100"/>
      <c r="H148" s="100"/>
      <c r="I148" s="105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</row>
    <row r="149" spans="2:47" ht="14.4" customHeight="1" x14ac:dyDescent="0.25">
      <c r="B149" s="100"/>
      <c r="C149" s="100"/>
      <c r="D149" s="100"/>
      <c r="E149" s="104"/>
      <c r="F149" s="100"/>
      <c r="G149" s="100"/>
      <c r="H149" s="100"/>
      <c r="I149" s="105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</row>
    <row r="150" spans="2:47" ht="14.4" customHeight="1" x14ac:dyDescent="0.25">
      <c r="B150" s="100"/>
      <c r="C150" s="100"/>
      <c r="D150" s="100"/>
      <c r="E150" s="104"/>
      <c r="F150" s="100"/>
      <c r="G150" s="100"/>
      <c r="H150" s="100"/>
      <c r="I150" s="105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</row>
    <row r="151" spans="2:47" ht="14.4" customHeight="1" x14ac:dyDescent="0.25">
      <c r="B151" s="100"/>
      <c r="C151" s="100"/>
      <c r="D151" s="100"/>
      <c r="E151" s="104"/>
      <c r="F151" s="100"/>
      <c r="G151" s="100"/>
      <c r="H151" s="100"/>
      <c r="I151" s="105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</row>
    <row r="152" spans="2:47" ht="14.4" customHeight="1" x14ac:dyDescent="0.25">
      <c r="B152" s="100"/>
      <c r="C152" s="100"/>
      <c r="D152" s="100"/>
      <c r="E152" s="104"/>
      <c r="F152" s="100"/>
      <c r="G152" s="100"/>
      <c r="H152" s="100"/>
      <c r="I152" s="105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</row>
    <row r="153" spans="2:47" ht="14.4" customHeight="1" x14ac:dyDescent="0.25">
      <c r="B153" s="100"/>
      <c r="C153" s="100"/>
      <c r="D153" s="100"/>
      <c r="E153" s="104"/>
      <c r="F153" s="100"/>
      <c r="G153" s="100"/>
      <c r="H153" s="100"/>
      <c r="I153" s="105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</row>
    <row r="154" spans="2:47" ht="14.4" customHeight="1" x14ac:dyDescent="0.25">
      <c r="B154" s="100"/>
      <c r="C154" s="100"/>
      <c r="D154" s="100"/>
      <c r="E154" s="104"/>
      <c r="F154" s="100"/>
      <c r="G154" s="100"/>
      <c r="H154" s="100"/>
      <c r="I154" s="105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</row>
    <row r="155" spans="2:47" ht="14.4" customHeight="1" x14ac:dyDescent="0.25">
      <c r="B155" s="100"/>
      <c r="C155" s="100"/>
      <c r="D155" s="100"/>
      <c r="E155" s="104"/>
      <c r="F155" s="100"/>
      <c r="G155" s="100"/>
      <c r="H155" s="100"/>
      <c r="I155" s="105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</row>
    <row r="156" spans="2:47" ht="14.4" customHeight="1" x14ac:dyDescent="0.25">
      <c r="B156" s="100"/>
      <c r="C156" s="100"/>
      <c r="D156" s="100"/>
      <c r="E156" s="104"/>
      <c r="F156" s="100"/>
      <c r="G156" s="100"/>
      <c r="H156" s="100"/>
      <c r="I156" s="105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</row>
    <row r="157" spans="2:47" ht="14.4" customHeight="1" x14ac:dyDescent="0.25">
      <c r="B157" s="100"/>
      <c r="C157" s="100"/>
      <c r="D157" s="100"/>
      <c r="E157" s="104"/>
      <c r="F157" s="100"/>
      <c r="G157" s="100"/>
      <c r="H157" s="100"/>
      <c r="I157" s="105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</row>
    <row r="158" spans="2:47" ht="14.4" customHeight="1" x14ac:dyDescent="0.25">
      <c r="B158" s="100"/>
      <c r="C158" s="100"/>
      <c r="D158" s="100"/>
      <c r="E158" s="104"/>
      <c r="F158" s="100"/>
      <c r="G158" s="100"/>
      <c r="H158" s="100"/>
      <c r="I158" s="105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</row>
    <row r="159" spans="2:47" ht="14.4" customHeight="1" x14ac:dyDescent="0.25">
      <c r="B159" s="100"/>
      <c r="C159" s="100"/>
      <c r="D159" s="100"/>
      <c r="E159" s="104"/>
      <c r="F159" s="100"/>
      <c r="G159" s="100"/>
      <c r="H159" s="100"/>
      <c r="I159" s="105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</row>
    <row r="160" spans="2:47" ht="14.4" customHeight="1" x14ac:dyDescent="0.25">
      <c r="B160" s="100"/>
      <c r="C160" s="100"/>
      <c r="D160" s="100"/>
      <c r="E160" s="104"/>
      <c r="F160" s="100"/>
      <c r="G160" s="100"/>
      <c r="H160" s="100"/>
      <c r="I160" s="105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</row>
    <row r="161" spans="2:47" ht="14.4" customHeight="1" x14ac:dyDescent="0.25">
      <c r="B161" s="100"/>
      <c r="C161" s="100"/>
      <c r="D161" s="100"/>
      <c r="E161" s="104"/>
      <c r="F161" s="100"/>
      <c r="G161" s="100"/>
      <c r="H161" s="100"/>
      <c r="I161" s="105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</row>
    <row r="162" spans="2:47" ht="14.4" customHeight="1" x14ac:dyDescent="0.25">
      <c r="B162" s="100"/>
      <c r="C162" s="100"/>
      <c r="D162" s="100"/>
      <c r="E162" s="104"/>
      <c r="F162" s="100"/>
      <c r="G162" s="100"/>
      <c r="H162" s="100"/>
      <c r="I162" s="105"/>
      <c r="J162" s="100"/>
      <c r="K162" s="100"/>
    </row>
    <row r="163" spans="2:47" ht="14.4" customHeight="1" x14ac:dyDescent="0.25">
      <c r="B163" s="100"/>
      <c r="C163" s="100"/>
      <c r="D163" s="100"/>
      <c r="E163" s="104"/>
      <c r="F163" s="100"/>
      <c r="G163" s="100"/>
      <c r="H163" s="100"/>
      <c r="I163" s="105"/>
      <c r="J163" s="100"/>
      <c r="K163" s="100"/>
    </row>
    <row r="164" spans="2:47" ht="14.4" customHeight="1" x14ac:dyDescent="0.25">
      <c r="B164" s="100"/>
      <c r="C164" s="100"/>
      <c r="D164" s="100"/>
      <c r="E164" s="104"/>
      <c r="F164" s="100"/>
      <c r="G164" s="100"/>
      <c r="H164" s="100"/>
      <c r="I164" s="105"/>
      <c r="J164" s="100"/>
      <c r="K164" s="100"/>
    </row>
    <row r="165" spans="2:47" ht="14.4" customHeight="1" x14ac:dyDescent="0.25">
      <c r="B165" s="100"/>
      <c r="C165" s="100"/>
      <c r="D165" s="100"/>
      <c r="E165" s="104"/>
      <c r="F165" s="100"/>
      <c r="G165" s="100"/>
      <c r="H165" s="100"/>
      <c r="I165" s="105"/>
      <c r="J165" s="100"/>
      <c r="K165" s="100"/>
    </row>
    <row r="166" spans="2:47" ht="14.4" customHeight="1" x14ac:dyDescent="0.25">
      <c r="B166" s="100"/>
      <c r="C166" s="100"/>
      <c r="D166" s="100"/>
      <c r="E166" s="104"/>
      <c r="F166" s="100"/>
      <c r="G166" s="100"/>
      <c r="H166" s="100"/>
      <c r="I166" s="105"/>
      <c r="J166" s="100"/>
      <c r="K166" s="100"/>
    </row>
    <row r="167" spans="2:47" ht="14.4" customHeight="1" x14ac:dyDescent="0.25">
      <c r="B167" s="100"/>
      <c r="C167" s="100"/>
      <c r="D167" s="100"/>
      <c r="E167" s="104"/>
      <c r="F167" s="100"/>
      <c r="G167" s="100"/>
      <c r="H167" s="100"/>
      <c r="I167" s="105"/>
      <c r="J167" s="100"/>
      <c r="K167" s="100"/>
    </row>
    <row r="168" spans="2:47" ht="14.4" customHeight="1" x14ac:dyDescent="0.25">
      <c r="B168" s="100"/>
      <c r="C168" s="100"/>
      <c r="D168" s="100"/>
      <c r="E168" s="104"/>
      <c r="F168" s="100"/>
      <c r="G168" s="100"/>
      <c r="H168" s="100"/>
      <c r="I168" s="105"/>
      <c r="J168" s="100"/>
      <c r="K168" s="100"/>
    </row>
    <row r="169" spans="2:47" ht="14.4" customHeight="1" x14ac:dyDescent="0.25">
      <c r="B169" s="100"/>
      <c r="C169" s="100"/>
      <c r="D169" s="100"/>
      <c r="E169" s="104"/>
      <c r="F169" s="100"/>
      <c r="G169" s="100"/>
      <c r="H169" s="100"/>
      <c r="I169" s="105"/>
      <c r="J169" s="100"/>
      <c r="K169" s="100"/>
    </row>
    <row r="170" spans="2:47" ht="14.4" customHeight="1" x14ac:dyDescent="0.25">
      <c r="B170" s="100"/>
      <c r="C170" s="100"/>
      <c r="D170" s="100"/>
      <c r="E170" s="104"/>
      <c r="F170" s="100"/>
      <c r="G170" s="100"/>
      <c r="H170" s="100"/>
      <c r="I170" s="105"/>
      <c r="J170" s="100"/>
      <c r="K170" s="100"/>
    </row>
    <row r="171" spans="2:47" ht="14.4" customHeight="1" x14ac:dyDescent="0.25">
      <c r="B171" s="100"/>
      <c r="C171" s="100"/>
      <c r="D171" s="100"/>
      <c r="E171" s="104"/>
      <c r="F171" s="100"/>
      <c r="G171" s="100"/>
      <c r="H171" s="100"/>
      <c r="I171" s="105"/>
      <c r="J171" s="100"/>
      <c r="K171" s="100"/>
    </row>
    <row r="172" spans="2:47" ht="14.4" customHeight="1" x14ac:dyDescent="0.25">
      <c r="B172" s="100"/>
      <c r="C172" s="100"/>
      <c r="D172" s="100"/>
      <c r="E172" s="104"/>
      <c r="F172" s="100"/>
      <c r="G172" s="100"/>
      <c r="H172" s="100"/>
      <c r="I172" s="105"/>
      <c r="J172" s="100"/>
      <c r="K172" s="100"/>
    </row>
    <row r="173" spans="2:47" ht="14.4" customHeight="1" x14ac:dyDescent="0.25">
      <c r="B173" s="100"/>
      <c r="C173" s="100"/>
      <c r="D173" s="100"/>
      <c r="E173" s="104"/>
      <c r="F173" s="100"/>
      <c r="G173" s="100"/>
      <c r="H173" s="100"/>
      <c r="I173" s="105"/>
      <c r="J173" s="100"/>
      <c r="K173" s="100"/>
    </row>
    <row r="174" spans="2:47" ht="14.4" customHeight="1" x14ac:dyDescent="0.25">
      <c r="B174" s="100"/>
      <c r="C174" s="100"/>
      <c r="D174" s="100"/>
      <c r="E174" s="104"/>
      <c r="F174" s="100"/>
      <c r="G174" s="100"/>
      <c r="H174" s="100"/>
      <c r="I174" s="105"/>
      <c r="J174" s="100"/>
      <c r="K174" s="100"/>
    </row>
    <row r="175" spans="2:47" ht="14.4" customHeight="1" x14ac:dyDescent="0.25">
      <c r="B175" s="100"/>
      <c r="C175" s="100"/>
      <c r="D175" s="100"/>
      <c r="E175" s="104"/>
      <c r="F175" s="100"/>
      <c r="G175" s="100"/>
      <c r="H175" s="100"/>
      <c r="I175" s="105"/>
      <c r="J175" s="100"/>
      <c r="K175" s="100"/>
    </row>
    <row r="176" spans="2:47" ht="14.4" customHeight="1" x14ac:dyDescent="0.25">
      <c r="B176" s="100"/>
      <c r="C176" s="100"/>
      <c r="D176" s="100"/>
      <c r="E176" s="104"/>
      <c r="F176" s="100"/>
      <c r="G176" s="100"/>
      <c r="H176" s="100"/>
      <c r="I176" s="105"/>
      <c r="J176" s="100"/>
      <c r="K176" s="100"/>
    </row>
    <row r="177" spans="2:11" ht="14.4" customHeight="1" x14ac:dyDescent="0.25">
      <c r="B177" s="100"/>
      <c r="C177" s="100"/>
      <c r="D177" s="100"/>
      <c r="E177" s="104"/>
      <c r="F177" s="100"/>
      <c r="G177" s="100"/>
      <c r="H177" s="100"/>
      <c r="I177" s="105"/>
      <c r="J177" s="100"/>
      <c r="K177" s="100"/>
    </row>
    <row r="178" spans="2:11" ht="14.4" customHeight="1" x14ac:dyDescent="0.25">
      <c r="B178" s="100"/>
      <c r="C178" s="100"/>
      <c r="D178" s="100"/>
      <c r="E178" s="104"/>
      <c r="F178" s="100"/>
      <c r="G178" s="100"/>
      <c r="H178" s="100"/>
      <c r="I178" s="105"/>
      <c r="J178" s="100"/>
      <c r="K178" s="100"/>
    </row>
    <row r="179" spans="2:11" ht="14.4" customHeight="1" x14ac:dyDescent="0.25">
      <c r="B179" s="100"/>
      <c r="C179" s="100"/>
      <c r="D179" s="100"/>
      <c r="E179" s="104"/>
      <c r="F179" s="100"/>
      <c r="G179" s="100"/>
      <c r="H179" s="100"/>
      <c r="I179" s="105"/>
      <c r="J179" s="100"/>
      <c r="K179" s="100"/>
    </row>
    <row r="180" spans="2:11" ht="14.4" customHeight="1" x14ac:dyDescent="0.25">
      <c r="B180" s="100"/>
      <c r="C180" s="100"/>
      <c r="D180" s="100"/>
      <c r="E180" s="104"/>
      <c r="F180" s="100"/>
      <c r="G180" s="100"/>
      <c r="H180" s="100"/>
      <c r="I180" s="105"/>
      <c r="J180" s="100"/>
      <c r="K180" s="100"/>
    </row>
    <row r="181" spans="2:11" ht="14.4" customHeight="1" x14ac:dyDescent="0.25">
      <c r="B181" s="100"/>
      <c r="C181" s="100"/>
      <c r="D181" s="100"/>
      <c r="E181" s="104"/>
      <c r="F181" s="100"/>
      <c r="G181" s="100"/>
      <c r="H181" s="100"/>
      <c r="I181" s="105"/>
      <c r="J181" s="100"/>
      <c r="K181" s="100"/>
    </row>
    <row r="182" spans="2:11" ht="14.4" customHeight="1" x14ac:dyDescent="0.25">
      <c r="B182" s="100"/>
      <c r="C182" s="100"/>
      <c r="D182" s="100"/>
      <c r="E182" s="104"/>
      <c r="F182" s="100"/>
      <c r="G182" s="100"/>
      <c r="H182" s="100"/>
      <c r="I182" s="105"/>
      <c r="J182" s="100"/>
      <c r="K182" s="100"/>
    </row>
    <row r="183" spans="2:11" ht="14.4" customHeight="1" x14ac:dyDescent="0.25">
      <c r="B183" s="100"/>
      <c r="C183" s="100"/>
      <c r="D183" s="100"/>
      <c r="E183" s="104"/>
      <c r="F183" s="100"/>
      <c r="G183" s="100"/>
      <c r="H183" s="100"/>
      <c r="I183" s="105"/>
      <c r="J183" s="100"/>
      <c r="K183" s="100"/>
    </row>
    <row r="184" spans="2:11" ht="14.4" customHeight="1" x14ac:dyDescent="0.25">
      <c r="B184" s="100"/>
      <c r="C184" s="100"/>
      <c r="D184" s="100"/>
      <c r="E184" s="104"/>
      <c r="F184" s="100"/>
      <c r="G184" s="100"/>
      <c r="H184" s="100"/>
      <c r="I184" s="105"/>
      <c r="J184" s="100"/>
      <c r="K184" s="100"/>
    </row>
    <row r="185" spans="2:11" ht="14.4" customHeight="1" x14ac:dyDescent="0.25">
      <c r="B185" s="100"/>
      <c r="C185" s="100"/>
      <c r="D185" s="100"/>
      <c r="E185" s="104"/>
      <c r="F185" s="100"/>
      <c r="G185" s="100"/>
      <c r="H185" s="100"/>
      <c r="I185" s="105"/>
      <c r="J185" s="100"/>
      <c r="K185" s="100"/>
    </row>
    <row r="186" spans="2:11" ht="14.4" customHeight="1" x14ac:dyDescent="0.25">
      <c r="B186" s="100"/>
      <c r="C186" s="100"/>
      <c r="D186" s="100"/>
      <c r="E186" s="104"/>
      <c r="F186" s="100"/>
      <c r="G186" s="100"/>
      <c r="H186" s="100"/>
      <c r="I186" s="105"/>
      <c r="J186" s="100"/>
      <c r="K186" s="100"/>
    </row>
    <row r="187" spans="2:11" ht="14.4" customHeight="1" x14ac:dyDescent="0.25">
      <c r="B187" s="100"/>
      <c r="C187" s="100"/>
      <c r="D187" s="100"/>
      <c r="E187" s="104"/>
      <c r="F187" s="100"/>
      <c r="G187" s="100"/>
      <c r="H187" s="100"/>
      <c r="I187" s="105"/>
      <c r="J187" s="100"/>
      <c r="K187" s="100"/>
    </row>
    <row r="188" spans="2:11" ht="14.4" customHeight="1" x14ac:dyDescent="0.25">
      <c r="B188" s="100"/>
      <c r="C188" s="100"/>
      <c r="D188" s="100"/>
      <c r="E188" s="104"/>
      <c r="F188" s="100"/>
      <c r="G188" s="100"/>
      <c r="H188" s="100"/>
      <c r="I188" s="105"/>
      <c r="J188" s="100"/>
      <c r="K188" s="100"/>
    </row>
    <row r="189" spans="2:11" ht="14.4" customHeight="1" x14ac:dyDescent="0.25">
      <c r="B189" s="100"/>
      <c r="C189" s="100"/>
      <c r="D189" s="100"/>
      <c r="E189" s="104"/>
      <c r="F189" s="100"/>
      <c r="G189" s="100"/>
      <c r="H189" s="100"/>
      <c r="I189" s="105"/>
      <c r="J189" s="100"/>
      <c r="K189" s="100"/>
    </row>
    <row r="190" spans="2:11" ht="14.4" customHeight="1" x14ac:dyDescent="0.25">
      <c r="B190" s="100"/>
      <c r="C190" s="100"/>
      <c r="D190" s="100"/>
      <c r="E190" s="104"/>
      <c r="F190" s="100"/>
      <c r="G190" s="100"/>
      <c r="H190" s="100"/>
      <c r="I190" s="105"/>
      <c r="J190" s="100"/>
      <c r="K190" s="100"/>
    </row>
    <row r="191" spans="2:11" ht="14.4" customHeight="1" x14ac:dyDescent="0.25">
      <c r="B191" s="100"/>
      <c r="C191" s="100"/>
      <c r="D191" s="100"/>
      <c r="E191" s="104"/>
      <c r="F191" s="100"/>
      <c r="G191" s="100"/>
      <c r="H191" s="100"/>
      <c r="I191" s="105"/>
      <c r="J191" s="100"/>
      <c r="K191" s="100"/>
    </row>
    <row r="192" spans="2:11" ht="14.4" customHeight="1" x14ac:dyDescent="0.25">
      <c r="B192" s="100"/>
      <c r="C192" s="100"/>
      <c r="D192" s="100"/>
      <c r="E192" s="104"/>
      <c r="F192" s="100"/>
      <c r="G192" s="100"/>
      <c r="H192" s="100"/>
      <c r="I192" s="105"/>
      <c r="J192" s="100"/>
      <c r="K192" s="100"/>
    </row>
    <row r="193" spans="2:11" ht="14.4" customHeight="1" x14ac:dyDescent="0.25">
      <c r="B193" s="100"/>
      <c r="C193" s="100"/>
      <c r="D193" s="100"/>
      <c r="E193" s="104"/>
      <c r="F193" s="100"/>
      <c r="G193" s="100"/>
      <c r="H193" s="100"/>
      <c r="I193" s="105"/>
      <c r="J193" s="100"/>
      <c r="K193" s="100"/>
    </row>
    <row r="194" spans="2:11" ht="14.4" customHeight="1" x14ac:dyDescent="0.25">
      <c r="B194" s="100"/>
      <c r="C194" s="100"/>
      <c r="D194" s="100"/>
      <c r="E194" s="104"/>
      <c r="F194" s="100"/>
      <c r="G194" s="100"/>
      <c r="H194" s="100"/>
      <c r="I194" s="105"/>
      <c r="J194" s="100"/>
      <c r="K194" s="100"/>
    </row>
    <row r="195" spans="2:11" ht="14.4" customHeight="1" x14ac:dyDescent="0.25">
      <c r="B195" s="100"/>
      <c r="C195" s="100"/>
      <c r="D195" s="100"/>
      <c r="E195" s="104"/>
      <c r="F195" s="100"/>
      <c r="G195" s="100"/>
      <c r="H195" s="100"/>
      <c r="I195" s="105"/>
      <c r="J195" s="100"/>
      <c r="K195" s="100"/>
    </row>
    <row r="196" spans="2:11" ht="14.4" customHeight="1" x14ac:dyDescent="0.25">
      <c r="B196" s="100"/>
      <c r="C196" s="100"/>
      <c r="D196" s="100"/>
      <c r="E196" s="104"/>
      <c r="F196" s="100"/>
      <c r="G196" s="100"/>
      <c r="H196" s="100"/>
      <c r="I196" s="105"/>
      <c r="J196" s="100"/>
      <c r="K196" s="100"/>
    </row>
    <row r="197" spans="2:11" ht="14.4" customHeight="1" x14ac:dyDescent="0.25">
      <c r="B197" s="100"/>
      <c r="C197" s="100"/>
      <c r="D197" s="100"/>
      <c r="E197" s="104"/>
      <c r="F197" s="100"/>
      <c r="G197" s="100"/>
      <c r="H197" s="100"/>
      <c r="I197" s="105"/>
      <c r="J197" s="100"/>
      <c r="K197" s="100"/>
    </row>
    <row r="198" spans="2:11" ht="14.4" customHeight="1" x14ac:dyDescent="0.25">
      <c r="B198" s="100"/>
      <c r="C198" s="100"/>
      <c r="D198" s="100"/>
      <c r="E198" s="104"/>
      <c r="F198" s="100"/>
      <c r="G198" s="100"/>
      <c r="H198" s="100"/>
      <c r="I198" s="105"/>
      <c r="J198" s="100"/>
      <c r="K198" s="100"/>
    </row>
    <row r="199" spans="2:11" ht="14.4" customHeight="1" x14ac:dyDescent="0.25">
      <c r="B199" s="100"/>
      <c r="C199" s="100"/>
      <c r="D199" s="100"/>
      <c r="E199" s="104"/>
      <c r="F199" s="100"/>
      <c r="G199" s="100"/>
      <c r="H199" s="100"/>
      <c r="I199" s="105"/>
      <c r="J199" s="100"/>
      <c r="K199" s="100"/>
    </row>
    <row r="200" spans="2:11" ht="14.4" customHeight="1" x14ac:dyDescent="0.25">
      <c r="B200" s="100"/>
      <c r="C200" s="100"/>
      <c r="D200" s="100"/>
      <c r="E200" s="104"/>
      <c r="F200" s="100"/>
      <c r="G200" s="100"/>
      <c r="H200" s="100"/>
      <c r="I200" s="105"/>
      <c r="J200" s="100"/>
      <c r="K200" s="100"/>
    </row>
    <row r="201" spans="2:11" ht="14.4" customHeight="1" x14ac:dyDescent="0.25">
      <c r="B201" s="100"/>
      <c r="C201" s="100"/>
      <c r="D201" s="100"/>
      <c r="E201" s="104"/>
      <c r="F201" s="100"/>
      <c r="G201" s="100"/>
      <c r="H201" s="100"/>
      <c r="I201" s="105"/>
      <c r="J201" s="100"/>
      <c r="K201" s="100"/>
    </row>
    <row r="202" spans="2:11" ht="14.4" customHeight="1" x14ac:dyDescent="0.25">
      <c r="B202" s="100"/>
      <c r="C202" s="100"/>
      <c r="D202" s="100"/>
      <c r="E202" s="104"/>
      <c r="F202" s="100"/>
      <c r="G202" s="100"/>
      <c r="H202" s="100"/>
      <c r="I202" s="105"/>
      <c r="J202" s="100"/>
      <c r="K202" s="100"/>
    </row>
    <row r="203" spans="2:11" ht="14.4" customHeight="1" x14ac:dyDescent="0.25">
      <c r="B203" s="100"/>
      <c r="C203" s="100"/>
      <c r="D203" s="100"/>
      <c r="E203" s="104"/>
      <c r="F203" s="100"/>
      <c r="G203" s="100"/>
      <c r="H203" s="100"/>
      <c r="I203" s="105"/>
      <c r="J203" s="100"/>
      <c r="K203" s="100"/>
    </row>
    <row r="204" spans="2:11" ht="14.4" customHeight="1" x14ac:dyDescent="0.25">
      <c r="B204" s="100"/>
      <c r="C204" s="100"/>
      <c r="D204" s="100"/>
      <c r="E204" s="104"/>
      <c r="F204" s="100"/>
      <c r="G204" s="100"/>
      <c r="H204" s="100"/>
      <c r="I204" s="105"/>
      <c r="J204" s="100"/>
      <c r="K204" s="100"/>
    </row>
    <row r="205" spans="2:11" ht="14.4" customHeight="1" x14ac:dyDescent="0.25">
      <c r="B205" s="100"/>
      <c r="C205" s="100"/>
      <c r="D205" s="100"/>
      <c r="E205" s="104"/>
      <c r="F205" s="100"/>
      <c r="G205" s="100"/>
      <c r="H205" s="100"/>
      <c r="I205" s="105"/>
      <c r="J205" s="100"/>
      <c r="K205" s="100"/>
    </row>
    <row r="206" spans="2:11" ht="14.4" customHeight="1" x14ac:dyDescent="0.25">
      <c r="B206" s="100"/>
      <c r="C206" s="100"/>
      <c r="D206" s="100"/>
      <c r="E206" s="104"/>
      <c r="F206" s="100"/>
      <c r="G206" s="100"/>
      <c r="H206" s="100"/>
      <c r="I206" s="105"/>
      <c r="J206" s="100"/>
      <c r="K206" s="100"/>
    </row>
    <row r="207" spans="2:11" ht="14.4" customHeight="1" x14ac:dyDescent="0.25">
      <c r="B207" s="100"/>
      <c r="C207" s="100"/>
      <c r="D207" s="100"/>
      <c r="E207" s="104"/>
      <c r="F207" s="100"/>
      <c r="G207" s="100"/>
      <c r="H207" s="100"/>
      <c r="I207" s="105"/>
      <c r="J207" s="100"/>
      <c r="K207" s="100"/>
    </row>
    <row r="208" spans="2:11" ht="14.4" customHeight="1" x14ac:dyDescent="0.25">
      <c r="B208" s="100"/>
      <c r="C208" s="100"/>
      <c r="D208" s="100"/>
      <c r="E208" s="104"/>
      <c r="F208" s="100"/>
      <c r="G208" s="100"/>
      <c r="H208" s="100"/>
      <c r="I208" s="105"/>
      <c r="J208" s="100"/>
      <c r="K208" s="100"/>
    </row>
    <row r="209" spans="2:11" ht="14.4" customHeight="1" x14ac:dyDescent="0.25">
      <c r="B209" s="100"/>
      <c r="C209" s="100"/>
      <c r="D209" s="100"/>
      <c r="E209" s="104"/>
      <c r="F209" s="100"/>
      <c r="G209" s="100"/>
      <c r="H209" s="100"/>
      <c r="I209" s="105"/>
      <c r="J209" s="100"/>
      <c r="K209" s="100"/>
    </row>
    <row r="210" spans="2:11" ht="14.4" customHeight="1" x14ac:dyDescent="0.25">
      <c r="B210" s="100"/>
      <c r="C210" s="100"/>
      <c r="D210" s="100"/>
      <c r="E210" s="104"/>
      <c r="F210" s="100"/>
      <c r="G210" s="100"/>
      <c r="H210" s="100"/>
      <c r="I210" s="105"/>
      <c r="J210" s="100"/>
      <c r="K210" s="100"/>
    </row>
    <row r="211" spans="2:11" ht="14.4" customHeight="1" x14ac:dyDescent="0.25">
      <c r="B211" s="100"/>
      <c r="C211" s="100"/>
      <c r="D211" s="100"/>
      <c r="E211" s="104"/>
      <c r="F211" s="100"/>
      <c r="G211" s="100"/>
      <c r="H211" s="100"/>
      <c r="I211" s="105"/>
      <c r="J211" s="100"/>
      <c r="K211" s="100"/>
    </row>
    <row r="212" spans="2:11" ht="14.4" customHeight="1" x14ac:dyDescent="0.25">
      <c r="B212" s="100"/>
      <c r="C212" s="100"/>
      <c r="D212" s="100"/>
      <c r="E212" s="104"/>
      <c r="F212" s="100"/>
      <c r="G212" s="100"/>
      <c r="H212" s="100"/>
      <c r="I212" s="105"/>
      <c r="J212" s="100"/>
      <c r="K212" s="100"/>
    </row>
    <row r="213" spans="2:11" ht="14.4" customHeight="1" x14ac:dyDescent="0.25">
      <c r="B213" s="100"/>
      <c r="C213" s="100"/>
      <c r="D213" s="100"/>
      <c r="E213" s="104"/>
      <c r="F213" s="100"/>
      <c r="G213" s="100"/>
      <c r="H213" s="100"/>
      <c r="I213" s="105"/>
      <c r="J213" s="100"/>
      <c r="K213" s="100"/>
    </row>
    <row r="214" spans="2:11" ht="14.4" customHeight="1" x14ac:dyDescent="0.25">
      <c r="B214" s="100"/>
      <c r="C214" s="100"/>
      <c r="D214" s="100"/>
      <c r="E214" s="104"/>
      <c r="F214" s="100"/>
      <c r="G214" s="100"/>
      <c r="H214" s="100"/>
      <c r="I214" s="105"/>
      <c r="J214" s="100"/>
      <c r="K214" s="100"/>
    </row>
    <row r="215" spans="2:11" ht="14.4" customHeight="1" x14ac:dyDescent="0.25">
      <c r="B215" s="100"/>
      <c r="C215" s="100"/>
      <c r="D215" s="100"/>
      <c r="E215" s="104"/>
      <c r="F215" s="100"/>
      <c r="G215" s="100"/>
      <c r="H215" s="100"/>
      <c r="I215" s="105"/>
      <c r="J215" s="100"/>
      <c r="K215" s="100"/>
    </row>
    <row r="216" spans="2:11" ht="14.4" customHeight="1" x14ac:dyDescent="0.25">
      <c r="B216" s="100"/>
      <c r="C216" s="100"/>
      <c r="D216" s="100"/>
      <c r="E216" s="104"/>
      <c r="F216" s="100"/>
      <c r="G216" s="100"/>
      <c r="H216" s="100"/>
      <c r="I216" s="105"/>
      <c r="J216" s="100"/>
      <c r="K216" s="100"/>
    </row>
    <row r="217" spans="2:11" ht="14.4" customHeight="1" x14ac:dyDescent="0.25">
      <c r="B217" s="100"/>
      <c r="C217" s="100"/>
      <c r="D217" s="100"/>
      <c r="E217" s="104"/>
      <c r="F217" s="100"/>
      <c r="G217" s="100"/>
      <c r="H217" s="100"/>
      <c r="I217" s="105"/>
      <c r="J217" s="100"/>
      <c r="K217" s="100"/>
    </row>
    <row r="218" spans="2:11" ht="14.4" customHeight="1" x14ac:dyDescent="0.25">
      <c r="B218" s="100"/>
      <c r="C218" s="100"/>
      <c r="D218" s="100"/>
      <c r="E218" s="104"/>
      <c r="F218" s="100"/>
      <c r="G218" s="100"/>
      <c r="H218" s="100"/>
      <c r="I218" s="105"/>
      <c r="J218" s="100"/>
      <c r="K218" s="100"/>
    </row>
    <row r="219" spans="2:11" ht="14.4" customHeight="1" x14ac:dyDescent="0.25">
      <c r="B219" s="100"/>
      <c r="C219" s="100"/>
      <c r="D219" s="100"/>
      <c r="E219" s="104"/>
      <c r="F219" s="100"/>
      <c r="G219" s="100"/>
      <c r="H219" s="100"/>
      <c r="I219" s="105"/>
      <c r="J219" s="100"/>
      <c r="K219" s="100"/>
    </row>
    <row r="220" spans="2:11" ht="14.4" customHeight="1" x14ac:dyDescent="0.25">
      <c r="B220" s="100"/>
      <c r="C220" s="100"/>
      <c r="D220" s="100"/>
      <c r="E220" s="104"/>
      <c r="F220" s="100"/>
      <c r="G220" s="100"/>
      <c r="H220" s="100"/>
      <c r="I220" s="105"/>
      <c r="J220" s="100"/>
      <c r="K220" s="100"/>
    </row>
    <row r="221" spans="2:11" ht="14.4" customHeight="1" x14ac:dyDescent="0.25">
      <c r="B221" s="100"/>
      <c r="C221" s="100"/>
      <c r="D221" s="100"/>
      <c r="E221" s="104"/>
      <c r="F221" s="100"/>
      <c r="G221" s="100"/>
      <c r="H221" s="100"/>
      <c r="I221" s="105"/>
      <c r="J221" s="100"/>
      <c r="K221" s="100"/>
    </row>
    <row r="222" spans="2:11" ht="14.4" customHeight="1" x14ac:dyDescent="0.25">
      <c r="B222" s="100"/>
      <c r="C222" s="100"/>
      <c r="D222" s="100"/>
      <c r="E222" s="104"/>
      <c r="F222" s="100"/>
      <c r="G222" s="100"/>
      <c r="H222" s="100"/>
      <c r="I222" s="105"/>
      <c r="J222" s="100"/>
      <c r="K222" s="100"/>
    </row>
    <row r="223" spans="2:11" ht="14.4" customHeight="1" x14ac:dyDescent="0.25">
      <c r="B223" s="100"/>
      <c r="C223" s="100"/>
      <c r="D223" s="100"/>
      <c r="E223" s="104"/>
      <c r="F223" s="100"/>
      <c r="G223" s="100"/>
      <c r="H223" s="100"/>
      <c r="I223" s="105"/>
      <c r="J223" s="100"/>
      <c r="K223" s="100"/>
    </row>
    <row r="224" spans="2:11" ht="14.4" customHeight="1" x14ac:dyDescent="0.25">
      <c r="B224" s="100"/>
      <c r="C224" s="100"/>
      <c r="D224" s="100"/>
      <c r="E224" s="104"/>
      <c r="F224" s="100"/>
      <c r="G224" s="100"/>
      <c r="H224" s="100"/>
      <c r="I224" s="105"/>
      <c r="J224" s="100"/>
      <c r="K224" s="100"/>
    </row>
    <row r="225" spans="2:11" ht="14.4" customHeight="1" x14ac:dyDescent="0.25">
      <c r="B225" s="100"/>
      <c r="C225" s="100"/>
      <c r="D225" s="100"/>
      <c r="E225" s="104"/>
      <c r="F225" s="100"/>
      <c r="G225" s="100"/>
      <c r="H225" s="100"/>
      <c r="I225" s="105"/>
      <c r="J225" s="100"/>
      <c r="K225" s="100"/>
    </row>
    <row r="226" spans="2:11" ht="14.4" customHeight="1" x14ac:dyDescent="0.25">
      <c r="B226" s="100"/>
      <c r="C226" s="100"/>
      <c r="D226" s="100"/>
      <c r="E226" s="104"/>
      <c r="F226" s="100"/>
      <c r="G226" s="100"/>
      <c r="H226" s="100"/>
      <c r="I226" s="105"/>
      <c r="J226" s="100"/>
      <c r="K226" s="100"/>
    </row>
    <row r="227" spans="2:11" ht="14.4" customHeight="1" x14ac:dyDescent="0.25">
      <c r="B227" s="100"/>
      <c r="C227" s="100"/>
      <c r="D227" s="100"/>
      <c r="E227" s="104"/>
      <c r="F227" s="100"/>
      <c r="G227" s="100"/>
      <c r="H227" s="100"/>
      <c r="I227" s="105"/>
      <c r="J227" s="100"/>
      <c r="K227" s="100"/>
    </row>
    <row r="228" spans="2:11" ht="14.4" customHeight="1" x14ac:dyDescent="0.25">
      <c r="B228" s="100"/>
      <c r="C228" s="100"/>
      <c r="D228" s="100"/>
      <c r="E228" s="104"/>
      <c r="F228" s="100"/>
      <c r="G228" s="100"/>
      <c r="H228" s="100"/>
      <c r="I228" s="105"/>
      <c r="J228" s="100"/>
      <c r="K228" s="100"/>
    </row>
    <row r="229" spans="2:11" ht="14.4" customHeight="1" x14ac:dyDescent="0.25">
      <c r="B229" s="100"/>
      <c r="C229" s="100"/>
      <c r="D229" s="100"/>
      <c r="E229" s="104"/>
      <c r="F229" s="100"/>
      <c r="G229" s="100"/>
      <c r="H229" s="100"/>
      <c r="I229" s="105"/>
      <c r="J229" s="100"/>
      <c r="K229" s="100"/>
    </row>
    <row r="230" spans="2:11" ht="14.4" customHeight="1" x14ac:dyDescent="0.25">
      <c r="B230" s="100"/>
      <c r="C230" s="100"/>
      <c r="D230" s="100"/>
      <c r="E230" s="104"/>
      <c r="F230" s="100"/>
      <c r="G230" s="100"/>
      <c r="H230" s="100"/>
      <c r="I230" s="105"/>
      <c r="J230" s="100"/>
      <c r="K230" s="100"/>
    </row>
    <row r="231" spans="2:11" ht="14.4" customHeight="1" x14ac:dyDescent="0.25">
      <c r="B231" s="100"/>
      <c r="C231" s="100"/>
      <c r="D231" s="100"/>
      <c r="E231" s="104"/>
      <c r="F231" s="100"/>
      <c r="G231" s="100"/>
      <c r="H231" s="100"/>
      <c r="I231" s="105"/>
      <c r="J231" s="100"/>
      <c r="K231" s="100"/>
    </row>
    <row r="232" spans="2:11" ht="14.4" customHeight="1" x14ac:dyDescent="0.25">
      <c r="B232" s="100"/>
      <c r="C232" s="100"/>
      <c r="D232" s="100"/>
      <c r="E232" s="104"/>
      <c r="F232" s="100"/>
      <c r="G232" s="100"/>
      <c r="H232" s="100"/>
      <c r="I232" s="105"/>
      <c r="J232" s="100"/>
      <c r="K232" s="100"/>
    </row>
    <row r="233" spans="2:11" ht="14.4" customHeight="1" x14ac:dyDescent="0.25">
      <c r="B233" s="100"/>
      <c r="C233" s="100"/>
      <c r="D233" s="100"/>
      <c r="E233" s="104"/>
      <c r="F233" s="100"/>
      <c r="G233" s="100"/>
      <c r="H233" s="100"/>
      <c r="I233" s="105"/>
      <c r="J233" s="100"/>
      <c r="K233" s="100"/>
    </row>
    <row r="234" spans="2:11" ht="14.4" customHeight="1" x14ac:dyDescent="0.25">
      <c r="B234" s="100"/>
      <c r="C234" s="100"/>
      <c r="D234" s="100"/>
      <c r="E234" s="104"/>
      <c r="F234" s="100"/>
      <c r="G234" s="100"/>
      <c r="H234" s="100"/>
      <c r="I234" s="105"/>
      <c r="J234" s="100"/>
      <c r="K234" s="100"/>
    </row>
    <row r="235" spans="2:11" ht="14.4" customHeight="1" x14ac:dyDescent="0.25">
      <c r="B235" s="100"/>
      <c r="C235" s="100"/>
      <c r="D235" s="100"/>
      <c r="E235" s="104"/>
      <c r="F235" s="100"/>
      <c r="G235" s="100"/>
      <c r="H235" s="100"/>
      <c r="I235" s="105"/>
      <c r="J235" s="100"/>
      <c r="K235" s="100"/>
    </row>
    <row r="236" spans="2:11" ht="14.4" customHeight="1" x14ac:dyDescent="0.25">
      <c r="B236" s="100"/>
      <c r="C236" s="100"/>
      <c r="D236" s="100"/>
      <c r="E236" s="104"/>
      <c r="F236" s="100"/>
      <c r="G236" s="100"/>
      <c r="H236" s="100"/>
      <c r="I236" s="105"/>
      <c r="J236" s="100"/>
      <c r="K236" s="100"/>
    </row>
    <row r="237" spans="2:11" ht="14.4" customHeight="1" x14ac:dyDescent="0.25">
      <c r="B237" s="100"/>
      <c r="C237" s="100"/>
      <c r="D237" s="100"/>
      <c r="E237" s="104"/>
      <c r="F237" s="100"/>
      <c r="G237" s="100"/>
      <c r="H237" s="100"/>
      <c r="I237" s="105"/>
      <c r="J237" s="100"/>
      <c r="K237" s="100"/>
    </row>
    <row r="238" spans="2:11" ht="14.4" customHeight="1" x14ac:dyDescent="0.25">
      <c r="B238" s="100"/>
      <c r="C238" s="100"/>
      <c r="D238" s="100"/>
      <c r="E238" s="104"/>
      <c r="F238" s="100"/>
      <c r="G238" s="100"/>
      <c r="H238" s="100"/>
      <c r="I238" s="105"/>
      <c r="J238" s="100"/>
      <c r="K238" s="100"/>
    </row>
    <row r="239" spans="2:11" ht="14.4" customHeight="1" x14ac:dyDescent="0.25">
      <c r="B239" s="100"/>
      <c r="C239" s="100"/>
      <c r="D239" s="100"/>
      <c r="E239" s="104"/>
      <c r="F239" s="100"/>
      <c r="G239" s="100"/>
      <c r="H239" s="100"/>
      <c r="I239" s="105"/>
      <c r="J239" s="100"/>
      <c r="K239" s="100"/>
    </row>
    <row r="240" spans="2:11" ht="14.4" customHeight="1" x14ac:dyDescent="0.25">
      <c r="B240" s="100"/>
      <c r="C240" s="100"/>
      <c r="D240" s="100"/>
      <c r="E240" s="104"/>
      <c r="F240" s="100"/>
      <c r="G240" s="100"/>
      <c r="H240" s="100"/>
      <c r="I240" s="105"/>
      <c r="J240" s="100"/>
      <c r="K240" s="100"/>
    </row>
    <row r="241" spans="2:11" ht="14.4" customHeight="1" x14ac:dyDescent="0.25">
      <c r="B241" s="100"/>
      <c r="C241" s="100"/>
      <c r="D241" s="100"/>
      <c r="E241" s="104"/>
      <c r="F241" s="100"/>
      <c r="G241" s="100"/>
      <c r="H241" s="100"/>
      <c r="I241" s="105"/>
      <c r="J241" s="100"/>
      <c r="K241" s="100"/>
    </row>
    <row r="242" spans="2:11" ht="14.4" customHeight="1" x14ac:dyDescent="0.25">
      <c r="B242" s="100"/>
      <c r="C242" s="100"/>
      <c r="D242" s="100"/>
      <c r="E242" s="104"/>
      <c r="F242" s="100"/>
      <c r="G242" s="100"/>
      <c r="H242" s="100"/>
      <c r="I242" s="105"/>
      <c r="J242" s="100"/>
      <c r="K242" s="100"/>
    </row>
    <row r="243" spans="2:11" ht="14.4" customHeight="1" x14ac:dyDescent="0.25">
      <c r="B243" s="100"/>
      <c r="C243" s="100"/>
      <c r="D243" s="100"/>
      <c r="E243" s="104"/>
      <c r="F243" s="100"/>
      <c r="G243" s="100"/>
      <c r="H243" s="100"/>
      <c r="I243" s="105"/>
      <c r="J243" s="100"/>
      <c r="K243" s="100"/>
    </row>
    <row r="244" spans="2:11" ht="14.4" customHeight="1" x14ac:dyDescent="0.25">
      <c r="B244" s="100"/>
      <c r="C244" s="100"/>
      <c r="D244" s="100"/>
      <c r="E244" s="104"/>
      <c r="F244" s="100"/>
      <c r="G244" s="100"/>
      <c r="H244" s="100"/>
      <c r="I244" s="105"/>
      <c r="J244" s="100"/>
      <c r="K244" s="100"/>
    </row>
    <row r="245" spans="2:11" ht="14.4" customHeight="1" x14ac:dyDescent="0.25">
      <c r="B245" s="100"/>
      <c r="C245" s="100"/>
      <c r="D245" s="100"/>
      <c r="E245" s="104"/>
      <c r="F245" s="100"/>
      <c r="G245" s="100"/>
      <c r="H245" s="100"/>
      <c r="I245" s="105"/>
      <c r="J245" s="100"/>
      <c r="K245" s="100"/>
    </row>
    <row r="246" spans="2:11" ht="14.4" customHeight="1" x14ac:dyDescent="0.25">
      <c r="B246" s="100"/>
      <c r="C246" s="100"/>
      <c r="D246" s="100"/>
      <c r="E246" s="104"/>
      <c r="F246" s="100"/>
      <c r="G246" s="100"/>
      <c r="H246" s="100"/>
      <c r="I246" s="105"/>
      <c r="J246" s="100"/>
      <c r="K246" s="100"/>
    </row>
    <row r="247" spans="2:11" ht="14.4" customHeight="1" x14ac:dyDescent="0.25">
      <c r="B247" s="100"/>
      <c r="C247" s="100"/>
      <c r="D247" s="100"/>
      <c r="E247" s="104"/>
      <c r="F247" s="100"/>
      <c r="G247" s="100"/>
      <c r="H247" s="100"/>
      <c r="I247" s="105"/>
      <c r="J247" s="100"/>
      <c r="K247" s="100"/>
    </row>
    <row r="248" spans="2:11" ht="14.4" customHeight="1" x14ac:dyDescent="0.25">
      <c r="B248" s="100"/>
      <c r="C248" s="100"/>
      <c r="D248" s="100"/>
      <c r="E248" s="104"/>
      <c r="F248" s="100"/>
      <c r="G248" s="100"/>
      <c r="H248" s="100"/>
      <c r="I248" s="105"/>
      <c r="J248" s="100"/>
      <c r="K248" s="100"/>
    </row>
    <row r="249" spans="2:11" ht="14.4" customHeight="1" x14ac:dyDescent="0.25">
      <c r="B249" s="100"/>
      <c r="C249" s="100"/>
      <c r="D249" s="100"/>
      <c r="E249" s="104"/>
      <c r="F249" s="100"/>
      <c r="G249" s="100"/>
      <c r="H249" s="100"/>
      <c r="I249" s="105"/>
      <c r="J249" s="100"/>
      <c r="K249" s="100"/>
    </row>
    <row r="250" spans="2:11" ht="14.4" customHeight="1" x14ac:dyDescent="0.25">
      <c r="B250" s="100"/>
      <c r="C250" s="100"/>
      <c r="D250" s="100"/>
      <c r="E250" s="104"/>
      <c r="F250" s="100"/>
      <c r="G250" s="100"/>
      <c r="H250" s="100"/>
      <c r="I250" s="105"/>
      <c r="J250" s="100"/>
      <c r="K250" s="100"/>
    </row>
    <row r="251" spans="2:11" ht="14.4" customHeight="1" x14ac:dyDescent="0.25">
      <c r="B251" s="100"/>
      <c r="C251" s="100"/>
      <c r="D251" s="100"/>
      <c r="E251" s="104"/>
      <c r="F251" s="100"/>
      <c r="G251" s="100"/>
      <c r="H251" s="100"/>
      <c r="I251" s="105"/>
      <c r="J251" s="100"/>
      <c r="K251" s="100"/>
    </row>
    <row r="252" spans="2:11" ht="14.4" customHeight="1" x14ac:dyDescent="0.25">
      <c r="B252" s="100"/>
      <c r="C252" s="100"/>
      <c r="D252" s="100"/>
      <c r="E252" s="104"/>
      <c r="F252" s="100"/>
      <c r="G252" s="100"/>
      <c r="H252" s="100"/>
      <c r="I252" s="105"/>
      <c r="J252" s="100"/>
      <c r="K252" s="100"/>
    </row>
    <row r="253" spans="2:11" ht="14.4" customHeight="1" x14ac:dyDescent="0.25">
      <c r="B253" s="100"/>
      <c r="C253" s="100"/>
      <c r="D253" s="100"/>
      <c r="E253" s="104"/>
      <c r="F253" s="100"/>
      <c r="G253" s="100"/>
      <c r="H253" s="100"/>
      <c r="I253" s="105"/>
      <c r="J253" s="100"/>
      <c r="K253" s="100"/>
    </row>
    <row r="254" spans="2:11" ht="14.4" customHeight="1" x14ac:dyDescent="0.25">
      <c r="B254" s="100"/>
      <c r="C254" s="100"/>
      <c r="D254" s="100"/>
      <c r="E254" s="104"/>
      <c r="F254" s="100"/>
      <c r="G254" s="100"/>
      <c r="H254" s="100"/>
      <c r="I254" s="105"/>
      <c r="J254" s="100"/>
      <c r="K254" s="100"/>
    </row>
    <row r="255" spans="2:11" ht="14.4" customHeight="1" x14ac:dyDescent="0.25">
      <c r="B255" s="100"/>
      <c r="C255" s="100"/>
      <c r="D255" s="100"/>
      <c r="E255" s="104"/>
      <c r="F255" s="100"/>
      <c r="G255" s="100"/>
      <c r="H255" s="100"/>
      <c r="I255" s="105"/>
      <c r="J255" s="100"/>
      <c r="K255" s="100"/>
    </row>
    <row r="256" spans="2:11" ht="14.4" customHeight="1" x14ac:dyDescent="0.25">
      <c r="B256" s="100"/>
      <c r="C256" s="100"/>
      <c r="D256" s="100"/>
      <c r="E256" s="104"/>
      <c r="F256" s="100"/>
      <c r="G256" s="100"/>
      <c r="H256" s="100"/>
      <c r="I256" s="105"/>
      <c r="J256" s="100"/>
      <c r="K256" s="100"/>
    </row>
    <row r="257" spans="2:11" ht="14.4" customHeight="1" x14ac:dyDescent="0.25">
      <c r="B257" s="100"/>
      <c r="C257" s="100"/>
      <c r="D257" s="100"/>
      <c r="E257" s="104"/>
      <c r="F257" s="100"/>
      <c r="G257" s="100"/>
      <c r="H257" s="100"/>
      <c r="I257" s="105"/>
      <c r="J257" s="100"/>
      <c r="K257" s="100"/>
    </row>
    <row r="258" spans="2:11" ht="14.4" customHeight="1" x14ac:dyDescent="0.25">
      <c r="B258" s="100"/>
      <c r="C258" s="100"/>
      <c r="D258" s="100"/>
      <c r="E258" s="104"/>
      <c r="F258" s="100"/>
      <c r="G258" s="100"/>
      <c r="H258" s="100"/>
      <c r="I258" s="105"/>
      <c r="J258" s="100"/>
      <c r="K258" s="100"/>
    </row>
    <row r="259" spans="2:11" ht="14.4" customHeight="1" x14ac:dyDescent="0.25">
      <c r="B259" s="100"/>
      <c r="C259" s="100"/>
      <c r="D259" s="100"/>
      <c r="E259" s="104"/>
      <c r="F259" s="100"/>
      <c r="G259" s="100"/>
      <c r="H259" s="100"/>
      <c r="I259" s="105"/>
      <c r="J259" s="100"/>
      <c r="K259" s="100"/>
    </row>
    <row r="260" spans="2:11" ht="14.4" customHeight="1" x14ac:dyDescent="0.25">
      <c r="B260" s="100"/>
      <c r="C260" s="100"/>
      <c r="D260" s="100"/>
      <c r="E260" s="104"/>
      <c r="F260" s="100"/>
      <c r="G260" s="100"/>
      <c r="H260" s="100"/>
      <c r="I260" s="105"/>
      <c r="J260" s="100"/>
      <c r="K260" s="100"/>
    </row>
    <row r="261" spans="2:11" ht="14.4" customHeight="1" x14ac:dyDescent="0.25">
      <c r="B261" s="100"/>
      <c r="C261" s="100"/>
      <c r="D261" s="100"/>
      <c r="E261" s="104"/>
      <c r="F261" s="100"/>
      <c r="G261" s="100"/>
      <c r="H261" s="100"/>
      <c r="I261" s="105"/>
      <c r="J261" s="100"/>
      <c r="K261" s="100"/>
    </row>
    <row r="262" spans="2:11" ht="14.4" customHeight="1" x14ac:dyDescent="0.25">
      <c r="B262" s="100"/>
      <c r="C262" s="100"/>
      <c r="D262" s="100"/>
      <c r="E262" s="104"/>
      <c r="F262" s="100"/>
      <c r="G262" s="100"/>
      <c r="H262" s="100"/>
      <c r="I262" s="105"/>
      <c r="J262" s="100"/>
      <c r="K262" s="100"/>
    </row>
    <row r="263" spans="2:11" ht="14.4" customHeight="1" x14ac:dyDescent="0.25">
      <c r="B263" s="100"/>
      <c r="C263" s="100"/>
      <c r="D263" s="100"/>
      <c r="E263" s="104"/>
      <c r="F263" s="100"/>
      <c r="G263" s="100"/>
      <c r="H263" s="100"/>
      <c r="I263" s="105"/>
      <c r="J263" s="100"/>
      <c r="K263" s="100"/>
    </row>
    <row r="264" spans="2:11" ht="14.4" customHeight="1" x14ac:dyDescent="0.25">
      <c r="B264" s="100"/>
      <c r="C264" s="100"/>
      <c r="D264" s="100"/>
      <c r="E264" s="104"/>
      <c r="F264" s="100"/>
      <c r="G264" s="100"/>
      <c r="H264" s="100"/>
      <c r="I264" s="105"/>
      <c r="J264" s="100"/>
      <c r="K264" s="100"/>
    </row>
    <row r="265" spans="2:11" ht="14.4" customHeight="1" x14ac:dyDescent="0.25">
      <c r="B265" s="100"/>
      <c r="C265" s="100"/>
      <c r="D265" s="100"/>
      <c r="E265" s="104"/>
      <c r="F265" s="100"/>
      <c r="G265" s="100"/>
      <c r="H265" s="100"/>
      <c r="I265" s="105"/>
      <c r="J265" s="100"/>
      <c r="K265" s="100"/>
    </row>
    <row r="266" spans="2:11" ht="14.4" customHeight="1" x14ac:dyDescent="0.25">
      <c r="B266" s="100"/>
      <c r="C266" s="100"/>
      <c r="D266" s="100"/>
      <c r="E266" s="104"/>
      <c r="F266" s="100"/>
      <c r="G266" s="100"/>
      <c r="H266" s="100"/>
      <c r="I266" s="105"/>
      <c r="J266" s="100"/>
      <c r="K266" s="100"/>
    </row>
    <row r="267" spans="2:11" ht="14.4" customHeight="1" x14ac:dyDescent="0.25">
      <c r="B267" s="100"/>
      <c r="C267" s="100"/>
      <c r="D267" s="100"/>
      <c r="E267" s="104"/>
      <c r="F267" s="100"/>
      <c r="G267" s="100"/>
      <c r="H267" s="100"/>
      <c r="I267" s="105"/>
      <c r="J267" s="100"/>
      <c r="K267" s="100"/>
    </row>
    <row r="268" spans="2:11" ht="14.4" customHeight="1" x14ac:dyDescent="0.25">
      <c r="B268" s="100"/>
      <c r="C268" s="100"/>
      <c r="D268" s="100"/>
      <c r="E268" s="104"/>
      <c r="F268" s="100"/>
      <c r="G268" s="100"/>
      <c r="H268" s="100"/>
      <c r="I268" s="105"/>
      <c r="J268" s="100"/>
      <c r="K268" s="100"/>
    </row>
    <row r="269" spans="2:11" ht="14.4" customHeight="1" x14ac:dyDescent="0.25">
      <c r="B269" s="100"/>
      <c r="C269" s="100"/>
      <c r="D269" s="100"/>
      <c r="E269" s="104"/>
      <c r="F269" s="100"/>
      <c r="G269" s="100"/>
      <c r="H269" s="100"/>
      <c r="I269" s="105"/>
      <c r="J269" s="100"/>
      <c r="K269" s="100"/>
    </row>
    <row r="270" spans="2:11" ht="14.4" customHeight="1" x14ac:dyDescent="0.25">
      <c r="B270" s="100"/>
      <c r="C270" s="100"/>
      <c r="D270" s="100"/>
      <c r="E270" s="104"/>
      <c r="F270" s="100"/>
      <c r="G270" s="100"/>
      <c r="H270" s="100"/>
      <c r="I270" s="105"/>
      <c r="J270" s="100"/>
      <c r="K270" s="100"/>
    </row>
    <row r="271" spans="2:11" ht="14.4" customHeight="1" x14ac:dyDescent="0.25">
      <c r="B271" s="100"/>
      <c r="C271" s="100"/>
      <c r="D271" s="100"/>
      <c r="E271" s="104"/>
      <c r="F271" s="100"/>
      <c r="G271" s="100"/>
      <c r="H271" s="100"/>
      <c r="I271" s="105"/>
      <c r="J271" s="100"/>
      <c r="K271" s="100"/>
    </row>
    <row r="272" spans="2:11" ht="14.4" customHeight="1" x14ac:dyDescent="0.25">
      <c r="B272" s="100"/>
      <c r="C272" s="100"/>
      <c r="D272" s="100"/>
      <c r="E272" s="104"/>
      <c r="F272" s="100"/>
      <c r="G272" s="100"/>
      <c r="H272" s="100"/>
      <c r="I272" s="105"/>
      <c r="J272" s="100"/>
      <c r="K272" s="100"/>
    </row>
    <row r="273" spans="2:11" ht="14.4" customHeight="1" x14ac:dyDescent="0.25">
      <c r="B273" s="100"/>
      <c r="C273" s="100"/>
      <c r="D273" s="100"/>
      <c r="E273" s="104"/>
      <c r="F273" s="100"/>
      <c r="G273" s="100"/>
      <c r="H273" s="100"/>
      <c r="I273" s="105"/>
      <c r="J273" s="100"/>
      <c r="K273" s="100"/>
    </row>
    <row r="274" spans="2:11" ht="14.4" customHeight="1" x14ac:dyDescent="0.25">
      <c r="B274" s="100"/>
      <c r="C274" s="100"/>
      <c r="D274" s="100"/>
      <c r="E274" s="104"/>
      <c r="F274" s="100"/>
      <c r="G274" s="100"/>
      <c r="H274" s="100"/>
      <c r="I274" s="105"/>
      <c r="J274" s="100"/>
      <c r="K274" s="100"/>
    </row>
    <row r="275" spans="2:11" ht="14.4" customHeight="1" x14ac:dyDescent="0.25">
      <c r="B275" s="100"/>
      <c r="C275" s="100"/>
      <c r="D275" s="100"/>
      <c r="E275" s="104"/>
      <c r="F275" s="100"/>
      <c r="G275" s="100"/>
      <c r="H275" s="100"/>
      <c r="I275" s="105"/>
      <c r="J275" s="100"/>
      <c r="K275" s="100"/>
    </row>
    <row r="276" spans="2:11" ht="14.4" customHeight="1" x14ac:dyDescent="0.25">
      <c r="B276" s="100"/>
      <c r="C276" s="100"/>
      <c r="D276" s="100"/>
      <c r="E276" s="104"/>
      <c r="F276" s="100"/>
      <c r="G276" s="100"/>
      <c r="H276" s="100"/>
      <c r="I276" s="105"/>
      <c r="J276" s="100"/>
      <c r="K276" s="100"/>
    </row>
    <row r="277" spans="2:11" ht="14.4" customHeight="1" x14ac:dyDescent="0.25">
      <c r="B277" s="100"/>
      <c r="C277" s="100"/>
      <c r="D277" s="100"/>
      <c r="E277" s="104"/>
      <c r="F277" s="100"/>
      <c r="G277" s="100"/>
      <c r="H277" s="100"/>
      <c r="I277" s="105"/>
      <c r="J277" s="100"/>
      <c r="K277" s="100"/>
    </row>
    <row r="278" spans="2:11" ht="14.4" customHeight="1" x14ac:dyDescent="0.25">
      <c r="B278" s="100"/>
      <c r="C278" s="100"/>
      <c r="D278" s="100"/>
      <c r="E278" s="104"/>
      <c r="F278" s="100"/>
      <c r="G278" s="100"/>
      <c r="H278" s="100"/>
      <c r="I278" s="105"/>
      <c r="J278" s="100"/>
      <c r="K278" s="100"/>
    </row>
    <row r="279" spans="2:11" ht="14.4" customHeight="1" x14ac:dyDescent="0.25">
      <c r="B279" s="100"/>
      <c r="C279" s="100"/>
      <c r="D279" s="100"/>
      <c r="E279" s="104"/>
      <c r="F279" s="100"/>
      <c r="G279" s="100"/>
      <c r="H279" s="100"/>
      <c r="I279" s="105"/>
      <c r="J279" s="100"/>
      <c r="K279" s="100"/>
    </row>
    <row r="280" spans="2:11" ht="14.4" customHeight="1" x14ac:dyDescent="0.25">
      <c r="B280" s="100"/>
      <c r="C280" s="100"/>
      <c r="D280" s="100"/>
      <c r="E280" s="104"/>
      <c r="F280" s="100"/>
      <c r="G280" s="100"/>
      <c r="H280" s="100"/>
      <c r="I280" s="105"/>
      <c r="J280" s="100"/>
      <c r="K280" s="100"/>
    </row>
    <row r="281" spans="2:11" ht="14.4" customHeight="1" x14ac:dyDescent="0.25">
      <c r="B281" s="100"/>
      <c r="C281" s="100"/>
      <c r="D281" s="100"/>
      <c r="E281" s="104"/>
      <c r="F281" s="100"/>
      <c r="G281" s="100"/>
      <c r="H281" s="100"/>
      <c r="I281" s="105"/>
      <c r="J281" s="100"/>
      <c r="K281" s="100"/>
    </row>
    <row r="282" spans="2:11" ht="14.4" customHeight="1" x14ac:dyDescent="0.25">
      <c r="B282" s="100"/>
      <c r="C282" s="100"/>
      <c r="D282" s="100"/>
      <c r="E282" s="104"/>
      <c r="F282" s="100"/>
      <c r="G282" s="100"/>
      <c r="H282" s="100"/>
      <c r="I282" s="105"/>
      <c r="J282" s="100"/>
      <c r="K282" s="100"/>
    </row>
    <row r="283" spans="2:11" ht="14.4" customHeight="1" x14ac:dyDescent="0.25">
      <c r="B283" s="100"/>
      <c r="C283" s="100"/>
      <c r="D283" s="100"/>
      <c r="E283" s="104"/>
      <c r="F283" s="100"/>
      <c r="G283" s="100"/>
      <c r="H283" s="100"/>
      <c r="I283" s="105"/>
      <c r="J283" s="100"/>
      <c r="K283" s="100"/>
    </row>
    <row r="284" spans="2:11" ht="14.4" customHeight="1" x14ac:dyDescent="0.25">
      <c r="B284" s="100"/>
      <c r="C284" s="100"/>
      <c r="D284" s="100"/>
      <c r="E284" s="104"/>
      <c r="F284" s="100"/>
      <c r="G284" s="100"/>
      <c r="H284" s="100"/>
      <c r="I284" s="105"/>
      <c r="J284" s="100"/>
      <c r="K284" s="100"/>
    </row>
    <row r="285" spans="2:11" ht="14.4" customHeight="1" x14ac:dyDescent="0.25">
      <c r="B285" s="100"/>
      <c r="C285" s="100"/>
      <c r="D285" s="100"/>
      <c r="E285" s="104"/>
      <c r="F285" s="100"/>
      <c r="G285" s="100"/>
      <c r="H285" s="100"/>
      <c r="I285" s="105"/>
      <c r="J285" s="100"/>
      <c r="K285" s="100"/>
    </row>
    <row r="286" spans="2:11" ht="14.4" customHeight="1" x14ac:dyDescent="0.25">
      <c r="B286" s="100"/>
      <c r="C286" s="100"/>
      <c r="D286" s="100"/>
      <c r="E286" s="104"/>
      <c r="F286" s="100"/>
      <c r="G286" s="100"/>
      <c r="H286" s="100"/>
      <c r="I286" s="105"/>
      <c r="J286" s="100"/>
      <c r="K286" s="100"/>
    </row>
    <row r="287" spans="2:11" ht="14.4" customHeight="1" x14ac:dyDescent="0.25">
      <c r="B287" s="100"/>
      <c r="C287" s="100"/>
      <c r="D287" s="100"/>
      <c r="E287" s="104"/>
      <c r="F287" s="100"/>
      <c r="G287" s="100"/>
      <c r="H287" s="100"/>
      <c r="I287" s="105"/>
      <c r="J287" s="100"/>
      <c r="K287" s="100"/>
    </row>
    <row r="288" spans="2:11" ht="14.4" customHeight="1" x14ac:dyDescent="0.25">
      <c r="B288" s="100"/>
      <c r="C288" s="100"/>
      <c r="D288" s="100"/>
      <c r="E288" s="104"/>
      <c r="F288" s="100"/>
      <c r="G288" s="100"/>
      <c r="H288" s="100"/>
      <c r="I288" s="105"/>
      <c r="J288" s="100"/>
      <c r="K288" s="100"/>
    </row>
    <row r="289" spans="2:11" ht="14.4" customHeight="1" x14ac:dyDescent="0.25">
      <c r="B289" s="100"/>
      <c r="C289" s="100"/>
      <c r="D289" s="100"/>
      <c r="E289" s="104"/>
      <c r="F289" s="100"/>
      <c r="G289" s="100"/>
      <c r="H289" s="100"/>
      <c r="I289" s="105"/>
      <c r="J289" s="100"/>
      <c r="K289" s="100"/>
    </row>
    <row r="290" spans="2:11" ht="14.4" customHeight="1" x14ac:dyDescent="0.25">
      <c r="B290" s="100"/>
      <c r="C290" s="100"/>
      <c r="D290" s="100"/>
      <c r="E290" s="104"/>
      <c r="F290" s="100"/>
      <c r="G290" s="100"/>
      <c r="H290" s="100"/>
      <c r="I290" s="105"/>
      <c r="J290" s="100"/>
      <c r="K290" s="100"/>
    </row>
    <row r="291" spans="2:11" ht="14.4" customHeight="1" x14ac:dyDescent="0.25">
      <c r="B291" s="100"/>
      <c r="C291" s="100"/>
      <c r="D291" s="100"/>
      <c r="E291" s="104"/>
      <c r="F291" s="100"/>
      <c r="G291" s="100"/>
      <c r="H291" s="100"/>
      <c r="I291" s="105"/>
      <c r="J291" s="100"/>
      <c r="K291" s="100"/>
    </row>
    <row r="292" spans="2:11" ht="14.4" customHeight="1" x14ac:dyDescent="0.25">
      <c r="B292" s="100"/>
      <c r="C292" s="100"/>
      <c r="D292" s="100"/>
      <c r="E292" s="104"/>
      <c r="F292" s="100"/>
      <c r="G292" s="100"/>
      <c r="H292" s="100"/>
      <c r="I292" s="105"/>
      <c r="J292" s="100"/>
      <c r="K292" s="100"/>
    </row>
    <row r="293" spans="2:11" ht="14.4" customHeight="1" x14ac:dyDescent="0.25">
      <c r="B293" s="100"/>
      <c r="C293" s="100"/>
      <c r="D293" s="100"/>
      <c r="E293" s="104"/>
      <c r="F293" s="100"/>
      <c r="G293" s="100"/>
      <c r="H293" s="100"/>
      <c r="I293" s="105"/>
      <c r="J293" s="100"/>
      <c r="K293" s="100"/>
    </row>
    <row r="294" spans="2:11" ht="14.4" customHeight="1" x14ac:dyDescent="0.25">
      <c r="B294" s="100"/>
      <c r="C294" s="100"/>
      <c r="D294" s="100"/>
      <c r="E294" s="104"/>
      <c r="F294" s="100"/>
      <c r="G294" s="100"/>
      <c r="H294" s="100"/>
      <c r="I294" s="105"/>
      <c r="J294" s="100"/>
      <c r="K294" s="100"/>
    </row>
    <row r="295" spans="2:11" ht="14.4" customHeight="1" x14ac:dyDescent="0.25">
      <c r="B295" s="100"/>
      <c r="C295" s="100"/>
      <c r="D295" s="100"/>
      <c r="E295" s="104"/>
      <c r="F295" s="100"/>
      <c r="G295" s="100"/>
      <c r="H295" s="100"/>
      <c r="I295" s="105"/>
      <c r="J295" s="100"/>
      <c r="K295" s="100"/>
    </row>
    <row r="296" spans="2:11" ht="14.4" customHeight="1" x14ac:dyDescent="0.25">
      <c r="B296" s="100"/>
      <c r="C296" s="100"/>
      <c r="D296" s="100"/>
      <c r="E296" s="104"/>
      <c r="F296" s="100"/>
      <c r="G296" s="100"/>
      <c r="H296" s="100"/>
      <c r="I296" s="105"/>
      <c r="J296" s="100"/>
      <c r="K296" s="100"/>
    </row>
    <row r="297" spans="2:11" ht="14.4" customHeight="1" x14ac:dyDescent="0.25">
      <c r="B297" s="100"/>
      <c r="C297" s="100"/>
      <c r="D297" s="100"/>
      <c r="E297" s="104"/>
      <c r="F297" s="100"/>
      <c r="G297" s="100"/>
      <c r="H297" s="100"/>
      <c r="I297" s="105"/>
      <c r="J297" s="100"/>
      <c r="K297" s="100"/>
    </row>
    <row r="298" spans="2:11" ht="14.4" customHeight="1" x14ac:dyDescent="0.25">
      <c r="B298" s="100"/>
      <c r="C298" s="100"/>
      <c r="D298" s="100"/>
      <c r="E298" s="104"/>
      <c r="F298" s="100"/>
      <c r="G298" s="100"/>
      <c r="H298" s="100"/>
      <c r="I298" s="105"/>
      <c r="J298" s="100"/>
      <c r="K298" s="100"/>
    </row>
    <row r="299" spans="2:11" ht="14.4" customHeight="1" x14ac:dyDescent="0.25">
      <c r="B299" s="100"/>
      <c r="C299" s="100"/>
      <c r="D299" s="100"/>
      <c r="E299" s="104"/>
      <c r="F299" s="100"/>
      <c r="G299" s="100"/>
      <c r="H299" s="100"/>
      <c r="I299" s="105"/>
      <c r="J299" s="100"/>
      <c r="K299" s="100"/>
    </row>
    <row r="300" spans="2:11" ht="14.4" customHeight="1" x14ac:dyDescent="0.25">
      <c r="B300" s="100"/>
      <c r="C300" s="100"/>
      <c r="D300" s="100"/>
      <c r="E300" s="104"/>
      <c r="F300" s="100"/>
      <c r="G300" s="100"/>
      <c r="H300" s="100"/>
      <c r="I300" s="105"/>
      <c r="J300" s="100"/>
      <c r="K300" s="100"/>
    </row>
    <row r="301" spans="2:11" ht="14.4" customHeight="1" x14ac:dyDescent="0.25">
      <c r="B301" s="100"/>
      <c r="C301" s="100"/>
      <c r="D301" s="100"/>
      <c r="E301" s="104"/>
      <c r="F301" s="100"/>
      <c r="G301" s="100"/>
      <c r="H301" s="100"/>
      <c r="I301" s="105"/>
      <c r="J301" s="100"/>
      <c r="K301" s="100"/>
    </row>
    <row r="302" spans="2:11" ht="14.4" customHeight="1" x14ac:dyDescent="0.25">
      <c r="B302" s="100"/>
      <c r="C302" s="100"/>
      <c r="D302" s="100"/>
      <c r="E302" s="104"/>
      <c r="F302" s="100"/>
      <c r="G302" s="100"/>
      <c r="H302" s="100"/>
      <c r="I302" s="105"/>
      <c r="J302" s="100"/>
      <c r="K302" s="100"/>
    </row>
    <row r="303" spans="2:11" ht="14.4" customHeight="1" x14ac:dyDescent="0.25">
      <c r="B303" s="100"/>
      <c r="C303" s="100"/>
      <c r="D303" s="100"/>
      <c r="E303" s="104"/>
      <c r="F303" s="100"/>
      <c r="G303" s="100"/>
      <c r="H303" s="100"/>
      <c r="I303" s="105"/>
      <c r="J303" s="100"/>
      <c r="K303" s="100"/>
    </row>
    <row r="304" spans="2:11" ht="14.4" customHeight="1" x14ac:dyDescent="0.25">
      <c r="B304" s="100"/>
      <c r="C304" s="100"/>
      <c r="D304" s="100"/>
      <c r="E304" s="104"/>
      <c r="F304" s="100"/>
      <c r="G304" s="100"/>
      <c r="H304" s="100"/>
      <c r="I304" s="105"/>
      <c r="J304" s="100"/>
      <c r="K304" s="100"/>
    </row>
    <row r="305" spans="2:11" ht="14.4" customHeight="1" x14ac:dyDescent="0.25">
      <c r="B305" s="100"/>
      <c r="C305" s="100"/>
      <c r="D305" s="100"/>
      <c r="E305" s="104"/>
      <c r="F305" s="100"/>
      <c r="G305" s="100"/>
      <c r="H305" s="100"/>
      <c r="I305" s="105"/>
      <c r="J305" s="100"/>
      <c r="K305" s="100"/>
    </row>
    <row r="306" spans="2:11" ht="14.4" customHeight="1" x14ac:dyDescent="0.25">
      <c r="B306" s="100"/>
      <c r="C306" s="100"/>
      <c r="D306" s="100"/>
      <c r="E306" s="104"/>
      <c r="F306" s="100"/>
      <c r="G306" s="100"/>
      <c r="H306" s="100"/>
      <c r="I306" s="105"/>
      <c r="J306" s="100"/>
      <c r="K306" s="100"/>
    </row>
    <row r="307" spans="2:11" ht="14.4" customHeight="1" x14ac:dyDescent="0.25">
      <c r="B307" s="100"/>
      <c r="C307" s="100"/>
      <c r="D307" s="100"/>
      <c r="E307" s="104"/>
      <c r="F307" s="100"/>
      <c r="G307" s="100"/>
      <c r="H307" s="100"/>
      <c r="I307" s="105"/>
      <c r="J307" s="100"/>
      <c r="K307" s="100"/>
    </row>
    <row r="308" spans="2:11" ht="14.4" customHeight="1" x14ac:dyDescent="0.25">
      <c r="B308" s="100"/>
      <c r="C308" s="100"/>
      <c r="D308" s="100"/>
      <c r="E308" s="104"/>
      <c r="F308" s="100"/>
      <c r="G308" s="100"/>
      <c r="H308" s="100"/>
      <c r="I308" s="105"/>
      <c r="J308" s="100"/>
      <c r="K308" s="100"/>
    </row>
    <row r="309" spans="2:11" ht="14.4" customHeight="1" x14ac:dyDescent="0.25">
      <c r="B309" s="100"/>
      <c r="C309" s="100"/>
      <c r="D309" s="100"/>
      <c r="E309" s="104"/>
      <c r="F309" s="100"/>
      <c r="G309" s="100"/>
      <c r="H309" s="100"/>
      <c r="I309" s="105"/>
      <c r="J309" s="100"/>
      <c r="K309" s="100"/>
    </row>
  </sheetData>
  <mergeCells count="28">
    <mergeCell ref="J23:K23"/>
    <mergeCell ref="J18:K18"/>
    <mergeCell ref="J19:K19"/>
    <mergeCell ref="J20:K20"/>
    <mergeCell ref="J21:K21"/>
    <mergeCell ref="J22:K22"/>
    <mergeCell ref="A1:M1"/>
    <mergeCell ref="A3:A4"/>
    <mergeCell ref="B3:E3"/>
    <mergeCell ref="F3:I3"/>
    <mergeCell ref="B13:E13"/>
    <mergeCell ref="F13:I13"/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08" bestFit="1" customWidth="1"/>
    <col min="2" max="3" width="7.77734375" style="271" customWidth="1"/>
    <col min="4" max="5" width="7.77734375" style="108" customWidth="1"/>
    <col min="6" max="6" width="14.88671875" style="108" bestFit="1" customWidth="1"/>
    <col min="7" max="7" width="1.5546875" style="108" bestFit="1" customWidth="1"/>
    <col min="8" max="8" width="4.33203125" style="108" bestFit="1" customWidth="1"/>
    <col min="9" max="9" width="7.6640625" style="108" bestFit="1" customWidth="1"/>
    <col min="10" max="10" width="6.88671875" style="108" bestFit="1" customWidth="1"/>
    <col min="11" max="11" width="17.33203125" style="108" bestFit="1" customWidth="1"/>
    <col min="12" max="13" width="19.6640625" style="108" bestFit="1" customWidth="1"/>
    <col min="14" max="16384" width="8.88671875" style="108"/>
  </cols>
  <sheetData>
    <row r="1" spans="1:74" ht="18.600000000000001" customHeight="1" thickBot="1" x14ac:dyDescent="0.4">
      <c r="A1" s="454" t="s">
        <v>139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74" ht="14.4" customHeight="1" x14ac:dyDescent="0.3">
      <c r="A2" s="478" t="s">
        <v>215</v>
      </c>
      <c r="B2" s="266"/>
      <c r="C2" s="266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74" ht="14.4" customHeight="1" x14ac:dyDescent="0.3">
      <c r="A3" s="103"/>
      <c r="B3" s="267"/>
      <c r="C3" s="267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</row>
    <row r="4" spans="1:74" ht="14.4" customHeight="1" x14ac:dyDescent="0.3">
      <c r="A4" s="103"/>
      <c r="B4" s="267"/>
      <c r="C4" s="267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</row>
    <row r="5" spans="1:74" ht="14.4" customHeight="1" x14ac:dyDescent="0.3">
      <c r="A5" s="103"/>
      <c r="B5" s="267"/>
      <c r="C5" s="267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</row>
    <row r="6" spans="1:74" ht="14.4" customHeight="1" x14ac:dyDescent="0.3">
      <c r="A6" s="103"/>
      <c r="B6" s="267"/>
      <c r="C6" s="267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</row>
    <row r="7" spans="1:74" ht="14.4" customHeight="1" x14ac:dyDescent="0.3">
      <c r="A7" s="103"/>
      <c r="B7" s="267"/>
      <c r="C7" s="267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</row>
    <row r="8" spans="1:74" ht="14.4" customHeight="1" x14ac:dyDescent="0.3">
      <c r="A8" s="103"/>
      <c r="B8" s="267"/>
      <c r="C8" s="267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</row>
    <row r="9" spans="1:74" ht="14.4" customHeight="1" x14ac:dyDescent="0.3">
      <c r="A9" s="103"/>
      <c r="B9" s="267"/>
      <c r="C9" s="267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</row>
    <row r="10" spans="1:74" ht="14.4" customHeight="1" x14ac:dyDescent="0.3">
      <c r="A10" s="103"/>
      <c r="B10" s="267"/>
      <c r="C10" s="267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</row>
    <row r="11" spans="1:74" ht="14.4" customHeight="1" x14ac:dyDescent="0.3">
      <c r="A11" s="103"/>
      <c r="B11" s="267"/>
      <c r="C11" s="267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</row>
    <row r="12" spans="1:74" ht="14.4" customHeight="1" x14ac:dyDescent="0.3">
      <c r="A12" s="103"/>
      <c r="B12" s="267"/>
      <c r="C12" s="267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</row>
    <row r="13" spans="1:74" ht="14.4" customHeight="1" x14ac:dyDescent="0.3">
      <c r="A13" s="103"/>
      <c r="B13" s="267"/>
      <c r="C13" s="267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</row>
    <row r="14" spans="1:74" ht="14.4" customHeight="1" x14ac:dyDescent="0.3">
      <c r="A14" s="103"/>
      <c r="B14" s="267"/>
      <c r="C14" s="267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</row>
    <row r="15" spans="1:74" ht="14.4" customHeight="1" x14ac:dyDescent="0.3">
      <c r="A15" s="103"/>
      <c r="B15" s="267"/>
      <c r="C15" s="267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</row>
    <row r="16" spans="1:74" ht="14.4" customHeight="1" x14ac:dyDescent="0.3">
      <c r="A16" s="103"/>
      <c r="B16" s="267"/>
      <c r="C16" s="267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</row>
    <row r="17" spans="1:74" ht="14.4" customHeight="1" x14ac:dyDescent="0.3">
      <c r="A17" s="103"/>
      <c r="B17" s="267"/>
      <c r="C17" s="267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</row>
    <row r="18" spans="1:74" ht="14.4" customHeight="1" x14ac:dyDescent="0.3">
      <c r="A18" s="103"/>
      <c r="B18" s="267"/>
      <c r="C18" s="267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</row>
    <row r="19" spans="1:74" ht="14.4" customHeight="1" x14ac:dyDescent="0.3">
      <c r="A19" s="103"/>
      <c r="B19" s="267"/>
      <c r="C19" s="267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</row>
    <row r="20" spans="1:74" ht="14.4" customHeight="1" x14ac:dyDescent="0.3">
      <c r="A20" s="103"/>
      <c r="B20" s="267"/>
      <c r="C20" s="267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</row>
    <row r="21" spans="1:74" ht="14.4" customHeight="1" x14ac:dyDescent="0.3">
      <c r="A21" s="103"/>
      <c r="B21" s="267"/>
      <c r="C21" s="267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</row>
    <row r="22" spans="1:74" ht="14.4" customHeight="1" x14ac:dyDescent="0.3">
      <c r="A22" s="103"/>
      <c r="B22" s="267"/>
      <c r="C22" s="267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</row>
    <row r="23" spans="1:74" ht="14.4" customHeight="1" x14ac:dyDescent="0.3">
      <c r="A23" s="103"/>
      <c r="B23" s="267"/>
      <c r="C23" s="267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</row>
    <row r="24" spans="1:74" ht="14.4" customHeight="1" x14ac:dyDescent="0.3">
      <c r="A24" s="103"/>
      <c r="B24" s="267"/>
      <c r="C24" s="267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</row>
    <row r="25" spans="1:74" ht="14.4" customHeight="1" x14ac:dyDescent="0.3">
      <c r="A25" s="103"/>
      <c r="B25" s="267"/>
      <c r="C25" s="267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</row>
    <row r="26" spans="1:74" ht="14.4" customHeight="1" x14ac:dyDescent="0.3">
      <c r="A26" s="103"/>
      <c r="B26" s="267"/>
      <c r="C26" s="267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</row>
    <row r="27" spans="1:74" ht="14.4" customHeight="1" x14ac:dyDescent="0.3">
      <c r="A27" s="103"/>
      <c r="B27" s="267"/>
      <c r="C27" s="267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</row>
    <row r="28" spans="1:74" ht="14.4" customHeight="1" x14ac:dyDescent="0.3">
      <c r="A28" s="103"/>
      <c r="B28" s="267"/>
      <c r="C28" s="267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</row>
    <row r="29" spans="1:74" ht="14.4" customHeight="1" x14ac:dyDescent="0.3">
      <c r="A29" s="103"/>
      <c r="B29" s="267"/>
      <c r="C29" s="267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</row>
    <row r="30" spans="1:74" ht="14.4" customHeight="1" thickBot="1" x14ac:dyDescent="0.35">
      <c r="A30" s="103"/>
      <c r="B30" s="267"/>
      <c r="C30" s="267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</row>
    <row r="31" spans="1:74" ht="14.4" customHeight="1" x14ac:dyDescent="0.3">
      <c r="A31" s="232"/>
      <c r="B31" s="455" t="s">
        <v>107</v>
      </c>
      <c r="C31" s="456"/>
      <c r="D31" s="456"/>
      <c r="E31" s="457"/>
      <c r="F31" s="224" t="s">
        <v>107</v>
      </c>
      <c r="G31" s="110"/>
      <c r="H31" s="110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</row>
    <row r="32" spans="1:74" ht="14.4" customHeight="1" thickBot="1" x14ac:dyDescent="0.35">
      <c r="A32" s="233" t="s">
        <v>77</v>
      </c>
      <c r="B32" s="225" t="s">
        <v>110</v>
      </c>
      <c r="C32" s="226" t="s">
        <v>111</v>
      </c>
      <c r="D32" s="226" t="s">
        <v>112</v>
      </c>
      <c r="E32" s="227" t="s">
        <v>5</v>
      </c>
      <c r="F32" s="228" t="s">
        <v>113</v>
      </c>
      <c r="G32" s="111"/>
      <c r="H32" s="111" t="s">
        <v>140</v>
      </c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</row>
    <row r="33" spans="1:53" ht="14.4" customHeight="1" x14ac:dyDescent="0.3">
      <c r="A33" s="229" t="s">
        <v>127</v>
      </c>
      <c r="B33" s="268">
        <v>1545.48</v>
      </c>
      <c r="C33" s="268">
        <v>1452</v>
      </c>
      <c r="D33" s="112">
        <f>IF(C33="","",C33-B33)</f>
        <v>-93.480000000000018</v>
      </c>
      <c r="E33" s="113">
        <f>IF(C33="","",C33/B33)</f>
        <v>0.93951393741750133</v>
      </c>
      <c r="F33" s="114">
        <v>183.93</v>
      </c>
      <c r="G33" s="111">
        <v>0</v>
      </c>
      <c r="H33" s="115">
        <v>1</v>
      </c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</row>
    <row r="34" spans="1:53" ht="14.4" customHeight="1" x14ac:dyDescent="0.3">
      <c r="A34" s="230" t="s">
        <v>128</v>
      </c>
      <c r="B34" s="269">
        <v>2877.07</v>
      </c>
      <c r="C34" s="269">
        <v>2559</v>
      </c>
      <c r="D34" s="116">
        <f t="shared" ref="D34:D45" si="0">IF(C34="","",C34-B34)</f>
        <v>-318.07000000000016</v>
      </c>
      <c r="E34" s="117">
        <f t="shared" ref="E34:E45" si="1">IF(C34="","",C34/B34)</f>
        <v>0.88944655500213754</v>
      </c>
      <c r="F34" s="118">
        <v>270.81</v>
      </c>
      <c r="G34" s="111">
        <v>1</v>
      </c>
      <c r="H34" s="115">
        <v>1</v>
      </c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</row>
    <row r="35" spans="1:53" ht="14.4" customHeight="1" x14ac:dyDescent="0.3">
      <c r="A35" s="230" t="s">
        <v>129</v>
      </c>
      <c r="B35" s="269">
        <v>3992.57</v>
      </c>
      <c r="C35" s="269">
        <v>3553</v>
      </c>
      <c r="D35" s="116">
        <f t="shared" si="0"/>
        <v>-439.57000000000016</v>
      </c>
      <c r="E35" s="117">
        <f t="shared" si="1"/>
        <v>0.88990299481286483</v>
      </c>
      <c r="F35" s="118">
        <v>365.4</v>
      </c>
      <c r="G35" s="119"/>
      <c r="H35" s="119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</row>
    <row r="36" spans="1:53" ht="14.4" customHeight="1" x14ac:dyDescent="0.3">
      <c r="A36" s="230" t="s">
        <v>130</v>
      </c>
      <c r="B36" s="269">
        <v>5497.48</v>
      </c>
      <c r="C36" s="269">
        <v>5274</v>
      </c>
      <c r="D36" s="116">
        <f t="shared" si="0"/>
        <v>-223.47999999999956</v>
      </c>
      <c r="E36" s="117">
        <f t="shared" si="1"/>
        <v>0.95934864701645128</v>
      </c>
      <c r="F36" s="118">
        <v>791.8</v>
      </c>
      <c r="G36" s="119"/>
      <c r="H36" s="119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</row>
    <row r="37" spans="1:53" ht="14.4" customHeight="1" x14ac:dyDescent="0.3">
      <c r="A37" s="230" t="s">
        <v>131</v>
      </c>
      <c r="B37" s="269">
        <v>6724.37</v>
      </c>
      <c r="C37" s="269">
        <v>6535</v>
      </c>
      <c r="D37" s="116">
        <f t="shared" si="0"/>
        <v>-189.36999999999989</v>
      </c>
      <c r="E37" s="117">
        <f t="shared" si="1"/>
        <v>0.9718382539925674</v>
      </c>
      <c r="F37" s="118">
        <v>1026.1300000000001</v>
      </c>
      <c r="G37" s="119"/>
      <c r="H37" s="119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</row>
    <row r="38" spans="1:53" ht="14.4" customHeight="1" x14ac:dyDescent="0.3">
      <c r="A38" s="230" t="s">
        <v>132</v>
      </c>
      <c r="B38" s="269">
        <v>8479.67</v>
      </c>
      <c r="C38" s="269">
        <v>8112</v>
      </c>
      <c r="D38" s="116">
        <f t="shared" si="0"/>
        <v>-367.67000000000007</v>
      </c>
      <c r="E38" s="117">
        <f t="shared" si="1"/>
        <v>0.95664100135972274</v>
      </c>
      <c r="F38" s="118">
        <v>1120.68</v>
      </c>
      <c r="G38" s="119"/>
      <c r="H38" s="119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</row>
    <row r="39" spans="1:53" ht="14.4" customHeight="1" x14ac:dyDescent="0.3">
      <c r="A39" s="230" t="s">
        <v>133</v>
      </c>
      <c r="B39" s="269">
        <v>10385.84</v>
      </c>
      <c r="C39" s="269">
        <v>9838</v>
      </c>
      <c r="D39" s="116">
        <f t="shared" si="0"/>
        <v>-547.84000000000015</v>
      </c>
      <c r="E39" s="117">
        <f t="shared" si="1"/>
        <v>0.94725125748133998</v>
      </c>
      <c r="F39" s="118">
        <v>1265.25</v>
      </c>
      <c r="G39" s="119"/>
      <c r="H39" s="119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</row>
    <row r="40" spans="1:53" ht="14.4" customHeight="1" x14ac:dyDescent="0.3">
      <c r="A40" s="230" t="s">
        <v>134</v>
      </c>
      <c r="B40" s="269">
        <v>12088.88</v>
      </c>
      <c r="C40" s="269">
        <v>11440</v>
      </c>
      <c r="D40" s="116">
        <f t="shared" si="0"/>
        <v>-648.8799999999992</v>
      </c>
      <c r="E40" s="117">
        <f t="shared" si="1"/>
        <v>0.94632422523840098</v>
      </c>
      <c r="F40" s="118">
        <v>1495.3</v>
      </c>
      <c r="G40" s="119"/>
      <c r="H40" s="119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</row>
    <row r="41" spans="1:53" ht="14.4" customHeight="1" x14ac:dyDescent="0.3">
      <c r="A41" s="230" t="s">
        <v>135</v>
      </c>
      <c r="B41" s="269">
        <v>13776.48</v>
      </c>
      <c r="C41" s="269">
        <v>13098</v>
      </c>
      <c r="D41" s="116">
        <f t="shared" si="0"/>
        <v>-678.47999999999956</v>
      </c>
      <c r="E41" s="117">
        <f t="shared" si="1"/>
        <v>0.95075084491829553</v>
      </c>
      <c r="F41" s="118">
        <v>1683.11</v>
      </c>
      <c r="G41" s="119"/>
      <c r="H41" s="119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</row>
    <row r="42" spans="1:53" ht="14.4" customHeight="1" x14ac:dyDescent="0.3">
      <c r="A42" s="230" t="s">
        <v>136</v>
      </c>
      <c r="B42" s="269"/>
      <c r="C42" s="269"/>
      <c r="D42" s="116" t="str">
        <f t="shared" si="0"/>
        <v/>
      </c>
      <c r="E42" s="117" t="str">
        <f t="shared" si="1"/>
        <v/>
      </c>
      <c r="F42" s="118"/>
      <c r="G42" s="119"/>
      <c r="H42" s="119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</row>
    <row r="43" spans="1:53" ht="14.4" customHeight="1" x14ac:dyDescent="0.3">
      <c r="A43" s="230" t="s">
        <v>137</v>
      </c>
      <c r="B43" s="269"/>
      <c r="C43" s="269"/>
      <c r="D43" s="116" t="str">
        <f t="shared" si="0"/>
        <v/>
      </c>
      <c r="E43" s="117" t="str">
        <f t="shared" si="1"/>
        <v/>
      </c>
      <c r="F43" s="118"/>
      <c r="G43" s="119"/>
      <c r="H43" s="119"/>
      <c r="I43" s="103"/>
      <c r="J43" s="103"/>
      <c r="K43" s="103"/>
      <c r="L43" s="103"/>
      <c r="M43" s="103"/>
    </row>
    <row r="44" spans="1:53" ht="14.4" customHeight="1" x14ac:dyDescent="0.3">
      <c r="A44" s="230" t="s">
        <v>138</v>
      </c>
      <c r="B44" s="269"/>
      <c r="C44" s="269"/>
      <c r="D44" s="116" t="str">
        <f t="shared" si="0"/>
        <v/>
      </c>
      <c r="E44" s="117" t="str">
        <f t="shared" si="1"/>
        <v/>
      </c>
      <c r="F44" s="118"/>
      <c r="G44" s="119"/>
      <c r="H44" s="119"/>
      <c r="I44" s="103"/>
      <c r="J44" s="103"/>
      <c r="K44" s="103"/>
      <c r="L44" s="103"/>
      <c r="M44" s="103"/>
    </row>
    <row r="45" spans="1:53" ht="14.4" customHeight="1" thickBot="1" x14ac:dyDescent="0.35">
      <c r="A45" s="231" t="s">
        <v>141</v>
      </c>
      <c r="B45" s="270"/>
      <c r="C45" s="270"/>
      <c r="D45" s="120" t="str">
        <f t="shared" si="0"/>
        <v/>
      </c>
      <c r="E45" s="121" t="str">
        <f t="shared" si="1"/>
        <v/>
      </c>
      <c r="F45" s="122"/>
      <c r="G45" s="119"/>
      <c r="H45" s="119"/>
      <c r="I45" s="103"/>
      <c r="J45" s="103"/>
      <c r="K45" s="103"/>
      <c r="L45" s="103"/>
      <c r="M45" s="103"/>
    </row>
    <row r="46" spans="1:53" ht="14.4" customHeight="1" x14ac:dyDescent="0.3">
      <c r="A46" s="103"/>
      <c r="B46" s="267"/>
      <c r="C46" s="267"/>
      <c r="D46" s="103"/>
      <c r="E46" s="103"/>
      <c r="F46" s="103"/>
      <c r="G46" s="119"/>
      <c r="H46" s="119"/>
      <c r="I46" s="119"/>
      <c r="J46" s="119"/>
      <c r="K46" s="119"/>
      <c r="L46" s="119"/>
      <c r="M46" s="119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</row>
    <row r="47" spans="1:53" ht="14.4" customHeight="1" x14ac:dyDescent="0.3">
      <c r="A47" s="103"/>
      <c r="B47" s="267"/>
      <c r="C47" s="267"/>
      <c r="D47" s="103"/>
      <c r="E47" s="103"/>
      <c r="F47" s="103"/>
      <c r="G47" s="103"/>
      <c r="H47" s="103"/>
      <c r="I47" s="103"/>
      <c r="J47" s="103"/>
      <c r="K47" s="103"/>
      <c r="L47" s="119"/>
      <c r="M47" s="119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</row>
    <row r="48" spans="1:53" ht="14.4" customHeight="1" x14ac:dyDescent="0.3">
      <c r="A48" s="103"/>
      <c r="B48" s="267"/>
      <c r="C48" s="267"/>
      <c r="D48" s="103"/>
      <c r="E48" s="103"/>
      <c r="F48" s="103"/>
      <c r="G48" s="103"/>
      <c r="H48" s="103"/>
      <c r="I48" s="103"/>
      <c r="J48" s="103"/>
      <c r="K48" s="103"/>
      <c r="L48" s="119"/>
      <c r="M48" s="119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</row>
    <row r="49" spans="1:36" ht="14.4" customHeight="1" x14ac:dyDescent="0.3">
      <c r="A49" s="103"/>
      <c r="B49" s="267"/>
      <c r="C49" s="267"/>
      <c r="D49" s="103"/>
      <c r="E49" s="103"/>
      <c r="F49" s="103"/>
      <c r="G49" s="103"/>
      <c r="H49" s="103"/>
      <c r="I49" s="103"/>
      <c r="J49" s="103"/>
      <c r="K49" s="103"/>
      <c r="L49" s="119"/>
      <c r="M49" s="119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</row>
    <row r="50" spans="1:36" ht="14.4" customHeight="1" x14ac:dyDescent="0.3">
      <c r="A50" s="103"/>
      <c r="B50" s="267"/>
      <c r="C50" s="267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</row>
    <row r="51" spans="1:36" ht="14.4" customHeight="1" x14ac:dyDescent="0.3">
      <c r="A51" s="103"/>
      <c r="B51" s="267"/>
      <c r="C51" s="267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</row>
    <row r="52" spans="1:36" ht="14.4" customHeight="1" x14ac:dyDescent="0.3">
      <c r="A52" s="103"/>
      <c r="B52" s="267"/>
      <c r="C52" s="267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</row>
    <row r="53" spans="1:36" ht="14.4" customHeight="1" x14ac:dyDescent="0.3">
      <c r="A53" s="103"/>
      <c r="B53" s="267"/>
      <c r="C53" s="267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</row>
    <row r="54" spans="1:36" ht="14.4" customHeight="1" x14ac:dyDescent="0.3">
      <c r="A54" s="103"/>
      <c r="B54" s="267"/>
      <c r="C54" s="267"/>
      <c r="D54" s="103"/>
      <c r="E54" s="103"/>
      <c r="F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</row>
    <row r="55" spans="1:36" ht="14.4" customHeight="1" x14ac:dyDescent="0.3">
      <c r="A55" s="103"/>
      <c r="B55" s="267"/>
      <c r="C55" s="267"/>
      <c r="D55" s="103"/>
      <c r="E55" s="103"/>
      <c r="F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</row>
    <row r="56" spans="1:36" ht="14.4" customHeight="1" x14ac:dyDescent="0.3">
      <c r="A56" s="103"/>
      <c r="B56" s="267"/>
      <c r="C56" s="267"/>
      <c r="D56" s="103"/>
      <c r="E56" s="103"/>
      <c r="F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</row>
    <row r="57" spans="1:36" ht="14.4" customHeight="1" x14ac:dyDescent="0.3">
      <c r="A57" s="103"/>
      <c r="B57" s="267"/>
      <c r="C57" s="267"/>
      <c r="D57" s="103"/>
      <c r="E57" s="103"/>
      <c r="F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</row>
    <row r="58" spans="1:36" ht="14.4" customHeight="1" x14ac:dyDescent="0.3">
      <c r="A58" s="103"/>
      <c r="B58" s="267"/>
      <c r="C58" s="267"/>
      <c r="D58" s="103"/>
      <c r="E58" s="103"/>
      <c r="F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</row>
    <row r="59" spans="1:36" ht="14.4" customHeight="1" x14ac:dyDescent="0.3">
      <c r="A59" s="103"/>
      <c r="B59" s="267"/>
      <c r="C59" s="267"/>
      <c r="D59" s="103"/>
      <c r="E59" s="103"/>
      <c r="F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</row>
    <row r="60" spans="1:36" ht="14.4" customHeight="1" x14ac:dyDescent="0.3">
      <c r="A60" s="103"/>
      <c r="B60" s="267"/>
      <c r="C60" s="267"/>
      <c r="D60" s="103"/>
      <c r="E60" s="103"/>
      <c r="F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</row>
    <row r="61" spans="1:36" ht="14.4" customHeight="1" x14ac:dyDescent="0.3">
      <c r="A61" s="103"/>
      <c r="B61" s="267"/>
      <c r="C61" s="267"/>
      <c r="D61" s="103"/>
      <c r="E61" s="103"/>
      <c r="F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</row>
    <row r="62" spans="1:36" ht="14.4" customHeight="1" x14ac:dyDescent="0.3">
      <c r="A62" s="103"/>
      <c r="B62" s="267"/>
      <c r="C62" s="267"/>
      <c r="D62" s="103"/>
      <c r="E62" s="103"/>
      <c r="F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</row>
    <row r="63" spans="1:36" ht="14.4" customHeight="1" x14ac:dyDescent="0.3">
      <c r="A63" s="103"/>
      <c r="B63" s="267"/>
      <c r="C63" s="267"/>
      <c r="D63" s="103"/>
      <c r="E63" s="103"/>
      <c r="F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</row>
    <row r="64" spans="1:36" ht="14.4" customHeight="1" x14ac:dyDescent="0.3">
      <c r="A64" s="103"/>
      <c r="B64" s="267"/>
      <c r="C64" s="267"/>
      <c r="D64" s="103"/>
      <c r="E64" s="103"/>
      <c r="F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</row>
    <row r="65" spans="1:36" ht="14.4" customHeight="1" x14ac:dyDescent="0.3">
      <c r="A65" s="103"/>
      <c r="B65" s="267"/>
      <c r="C65" s="267"/>
      <c r="D65" s="103"/>
      <c r="E65" s="103"/>
      <c r="F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</row>
    <row r="66" spans="1:36" ht="14.4" customHeight="1" x14ac:dyDescent="0.3">
      <c r="A66" s="103"/>
      <c r="B66" s="267"/>
      <c r="C66" s="267"/>
      <c r="D66" s="103"/>
      <c r="E66" s="103"/>
      <c r="F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</row>
    <row r="67" spans="1:36" ht="14.4" customHeight="1" x14ac:dyDescent="0.3">
      <c r="A67" s="103"/>
      <c r="B67" s="267"/>
      <c r="C67" s="267"/>
      <c r="D67" s="103"/>
      <c r="E67" s="103"/>
      <c r="F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</row>
    <row r="68" spans="1:36" ht="14.4" customHeight="1" x14ac:dyDescent="0.3">
      <c r="A68" s="103"/>
      <c r="B68" s="267"/>
      <c r="C68" s="267"/>
      <c r="D68" s="103"/>
      <c r="E68" s="103"/>
      <c r="F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</row>
    <row r="69" spans="1:36" ht="14.4" customHeight="1" x14ac:dyDescent="0.3">
      <c r="L69" s="103"/>
      <c r="M69" s="103"/>
    </row>
    <row r="70" spans="1:36" ht="14.4" customHeight="1" x14ac:dyDescent="0.3">
      <c r="L70" s="103"/>
      <c r="M70" s="103"/>
    </row>
    <row r="71" spans="1:36" ht="14.4" customHeight="1" x14ac:dyDescent="0.3">
      <c r="L71" s="103"/>
      <c r="M71" s="103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28" customWidth="1"/>
    <col min="2" max="2" width="6.5546875" style="303" customWidth="1"/>
    <col min="3" max="3" width="5.88671875" style="303" customWidth="1"/>
    <col min="4" max="4" width="7.6640625" style="303" customWidth="1"/>
    <col min="5" max="5" width="6.5546875" style="131" customWidth="1"/>
    <col min="6" max="6" width="5.88671875" style="131" customWidth="1"/>
    <col min="7" max="7" width="7.6640625" style="131" customWidth="1"/>
    <col min="8" max="8" width="6.6640625" style="131" bestFit="1" customWidth="1"/>
    <col min="9" max="9" width="6" style="131" bestFit="1" customWidth="1"/>
    <col min="10" max="10" width="7.77734375" style="131" bestFit="1" customWidth="1"/>
    <col min="11" max="11" width="9.109375" style="131" bestFit="1" customWidth="1"/>
    <col min="12" max="12" width="3.88671875" style="131" bestFit="1" customWidth="1"/>
    <col min="13" max="13" width="4.33203125" style="131" bestFit="1" customWidth="1"/>
    <col min="14" max="14" width="6.44140625" style="131" bestFit="1" customWidth="1"/>
    <col min="15" max="15" width="4" style="131" bestFit="1" customWidth="1"/>
    <col min="16" max="16" width="55.44140625" style="133" customWidth="1"/>
    <col min="17" max="17" width="7.88671875" style="134" bestFit="1" customWidth="1"/>
    <col min="18" max="18" width="6" style="129" bestFit="1" customWidth="1"/>
    <col min="19" max="19" width="9.5546875" style="303" customWidth="1"/>
    <col min="20" max="20" width="9.6640625" style="303" customWidth="1"/>
    <col min="21" max="21" width="7.6640625" style="303" bestFit="1" customWidth="1"/>
    <col min="22" max="22" width="6.109375" style="132" bestFit="1" customWidth="1"/>
    <col min="23" max="23" width="17.21875" style="130" bestFit="1" customWidth="1"/>
    <col min="24" max="16384" width="8.88671875" style="123"/>
  </cols>
  <sheetData>
    <row r="1" spans="1:23" s="265" customFormat="1" ht="18.600000000000001" customHeight="1" thickBot="1" x14ac:dyDescent="0.4">
      <c r="A1" s="414" t="s">
        <v>162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ht="14.4" customHeight="1" thickBot="1" x14ac:dyDescent="0.35">
      <c r="A2" s="478" t="s">
        <v>215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4"/>
      <c r="Q2" s="124"/>
      <c r="R2" s="124"/>
      <c r="S2" s="125"/>
      <c r="T2" s="125"/>
      <c r="U2" s="125"/>
      <c r="V2" s="124"/>
      <c r="W2" s="305"/>
    </row>
    <row r="3" spans="1:23" s="126" customFormat="1" ht="14.4" customHeight="1" x14ac:dyDescent="0.3">
      <c r="A3" s="464" t="s">
        <v>97</v>
      </c>
      <c r="B3" s="465" t="s">
        <v>98</v>
      </c>
      <c r="C3" s="466"/>
      <c r="D3" s="467"/>
      <c r="E3" s="465" t="s">
        <v>99</v>
      </c>
      <c r="F3" s="466"/>
      <c r="G3" s="467"/>
      <c r="H3" s="465" t="s">
        <v>20</v>
      </c>
      <c r="I3" s="466"/>
      <c r="J3" s="467"/>
      <c r="K3" s="468" t="s">
        <v>100</v>
      </c>
      <c r="L3" s="460" t="s">
        <v>101</v>
      </c>
      <c r="M3" s="460" t="s">
        <v>102</v>
      </c>
      <c r="N3" s="460" t="s">
        <v>103</v>
      </c>
      <c r="O3" s="304" t="s">
        <v>104</v>
      </c>
      <c r="P3" s="461" t="s">
        <v>105</v>
      </c>
      <c r="Q3" s="462" t="s">
        <v>106</v>
      </c>
      <c r="R3" s="463"/>
      <c r="S3" s="458" t="s">
        <v>107</v>
      </c>
      <c r="T3" s="459"/>
      <c r="U3" s="459"/>
      <c r="V3" s="459"/>
      <c r="W3" s="306" t="s">
        <v>107</v>
      </c>
    </row>
    <row r="4" spans="1:23" s="127" customFormat="1" ht="14.4" customHeight="1" thickBot="1" x14ac:dyDescent="0.35">
      <c r="A4" s="599"/>
      <c r="B4" s="600" t="s">
        <v>108</v>
      </c>
      <c r="C4" s="601" t="s">
        <v>81</v>
      </c>
      <c r="D4" s="602" t="s">
        <v>109</v>
      </c>
      <c r="E4" s="600" t="s">
        <v>108</v>
      </c>
      <c r="F4" s="601" t="s">
        <v>81</v>
      </c>
      <c r="G4" s="602" t="s">
        <v>109</v>
      </c>
      <c r="H4" s="600" t="s">
        <v>108</v>
      </c>
      <c r="I4" s="601" t="s">
        <v>81</v>
      </c>
      <c r="J4" s="602" t="s">
        <v>109</v>
      </c>
      <c r="K4" s="603"/>
      <c r="L4" s="604"/>
      <c r="M4" s="604"/>
      <c r="N4" s="604"/>
      <c r="O4" s="605"/>
      <c r="P4" s="606"/>
      <c r="Q4" s="607" t="s">
        <v>82</v>
      </c>
      <c r="R4" s="608" t="s">
        <v>81</v>
      </c>
      <c r="S4" s="609" t="s">
        <v>110</v>
      </c>
      <c r="T4" s="610" t="s">
        <v>111</v>
      </c>
      <c r="U4" s="610" t="s">
        <v>112</v>
      </c>
      <c r="V4" s="611" t="s">
        <v>5</v>
      </c>
      <c r="W4" s="612" t="s">
        <v>113</v>
      </c>
    </row>
    <row r="5" spans="1:23" ht="14.4" customHeight="1" x14ac:dyDescent="0.3">
      <c r="A5" s="643" t="s">
        <v>1914</v>
      </c>
      <c r="B5" s="613"/>
      <c r="C5" s="614"/>
      <c r="D5" s="615"/>
      <c r="E5" s="616"/>
      <c r="F5" s="617"/>
      <c r="G5" s="618"/>
      <c r="H5" s="619">
        <v>1</v>
      </c>
      <c r="I5" s="620">
        <v>13.28</v>
      </c>
      <c r="J5" s="621">
        <v>67</v>
      </c>
      <c r="K5" s="622">
        <v>13.28</v>
      </c>
      <c r="L5" s="623">
        <v>11</v>
      </c>
      <c r="M5" s="623">
        <v>75</v>
      </c>
      <c r="N5" s="624">
        <v>25.1</v>
      </c>
      <c r="O5" s="623" t="s">
        <v>1915</v>
      </c>
      <c r="P5" s="625" t="s">
        <v>1916</v>
      </c>
      <c r="Q5" s="626">
        <f>H5-B5</f>
        <v>1</v>
      </c>
      <c r="R5" s="626">
        <f>I5-C5</f>
        <v>13.28</v>
      </c>
      <c r="S5" s="613">
        <f>IF(H5=0,"",H5*N5)</f>
        <v>25.1</v>
      </c>
      <c r="T5" s="613">
        <f>IF(H5=0,"",H5*J5)</f>
        <v>67</v>
      </c>
      <c r="U5" s="613">
        <f>IF(H5=0,"",T5-S5)</f>
        <v>41.9</v>
      </c>
      <c r="V5" s="627">
        <f>IF(H5=0,"",T5/S5)</f>
        <v>2.6693227091633465</v>
      </c>
      <c r="W5" s="628">
        <v>41.9</v>
      </c>
    </row>
    <row r="6" spans="1:23" ht="14.4" customHeight="1" x14ac:dyDescent="0.3">
      <c r="A6" s="644" t="s">
        <v>1917</v>
      </c>
      <c r="B6" s="629"/>
      <c r="C6" s="630"/>
      <c r="D6" s="598"/>
      <c r="E6" s="631"/>
      <c r="F6" s="632"/>
      <c r="G6" s="583"/>
      <c r="H6" s="633">
        <v>4</v>
      </c>
      <c r="I6" s="634">
        <v>62.61</v>
      </c>
      <c r="J6" s="584">
        <v>73.3</v>
      </c>
      <c r="K6" s="635">
        <v>15.65</v>
      </c>
      <c r="L6" s="636">
        <v>11</v>
      </c>
      <c r="M6" s="636">
        <v>84</v>
      </c>
      <c r="N6" s="637">
        <v>27.86</v>
      </c>
      <c r="O6" s="636" t="s">
        <v>1915</v>
      </c>
      <c r="P6" s="638" t="s">
        <v>1918</v>
      </c>
      <c r="Q6" s="639">
        <f t="shared" ref="Q6:R51" si="0">H6-B6</f>
        <v>4</v>
      </c>
      <c r="R6" s="639">
        <f t="shared" si="0"/>
        <v>62.61</v>
      </c>
      <c r="S6" s="629">
        <f t="shared" ref="S6:S51" si="1">IF(H6=0,"",H6*N6)</f>
        <v>111.44</v>
      </c>
      <c r="T6" s="629">
        <f t="shared" ref="T6:T51" si="2">IF(H6=0,"",H6*J6)</f>
        <v>293.2</v>
      </c>
      <c r="U6" s="629">
        <f t="shared" ref="U6:U51" si="3">IF(H6=0,"",T6-S6)</f>
        <v>181.76</v>
      </c>
      <c r="V6" s="640">
        <f t="shared" ref="V6:V51" si="4">IF(H6=0,"",T6/S6)</f>
        <v>2.6310122038765256</v>
      </c>
      <c r="W6" s="585">
        <v>181.58</v>
      </c>
    </row>
    <row r="7" spans="1:23" ht="14.4" customHeight="1" x14ac:dyDescent="0.3">
      <c r="A7" s="645" t="s">
        <v>1919</v>
      </c>
      <c r="B7" s="592"/>
      <c r="C7" s="593"/>
      <c r="D7" s="594"/>
      <c r="E7" s="595"/>
      <c r="F7" s="573"/>
      <c r="G7" s="574"/>
      <c r="H7" s="575">
        <v>1</v>
      </c>
      <c r="I7" s="576">
        <v>7.23</v>
      </c>
      <c r="J7" s="577">
        <v>26</v>
      </c>
      <c r="K7" s="578">
        <v>7.23</v>
      </c>
      <c r="L7" s="579">
        <v>5</v>
      </c>
      <c r="M7" s="579">
        <v>43</v>
      </c>
      <c r="N7" s="580">
        <v>14.23</v>
      </c>
      <c r="O7" s="579" t="s">
        <v>1915</v>
      </c>
      <c r="P7" s="596" t="s">
        <v>1920</v>
      </c>
      <c r="Q7" s="581">
        <f t="shared" si="0"/>
        <v>1</v>
      </c>
      <c r="R7" s="581">
        <f t="shared" si="0"/>
        <v>7.23</v>
      </c>
      <c r="S7" s="592">
        <f t="shared" si="1"/>
        <v>14.23</v>
      </c>
      <c r="T7" s="592">
        <f t="shared" si="2"/>
        <v>26</v>
      </c>
      <c r="U7" s="592">
        <f t="shared" si="3"/>
        <v>11.77</v>
      </c>
      <c r="V7" s="597">
        <f t="shared" si="4"/>
        <v>1.8271257905832747</v>
      </c>
      <c r="W7" s="582">
        <v>11.77</v>
      </c>
    </row>
    <row r="8" spans="1:23" ht="14.4" customHeight="1" x14ac:dyDescent="0.3">
      <c r="A8" s="644" t="s">
        <v>1921</v>
      </c>
      <c r="B8" s="629"/>
      <c r="C8" s="630"/>
      <c r="D8" s="598"/>
      <c r="E8" s="631"/>
      <c r="F8" s="632"/>
      <c r="G8" s="583"/>
      <c r="H8" s="633">
        <v>2</v>
      </c>
      <c r="I8" s="634">
        <v>15.13</v>
      </c>
      <c r="J8" s="584">
        <v>35.5</v>
      </c>
      <c r="K8" s="635">
        <v>7.3</v>
      </c>
      <c r="L8" s="636">
        <v>5</v>
      </c>
      <c r="M8" s="636">
        <v>47</v>
      </c>
      <c r="N8" s="637">
        <v>15.74</v>
      </c>
      <c r="O8" s="636" t="s">
        <v>1915</v>
      </c>
      <c r="P8" s="638" t="s">
        <v>1922</v>
      </c>
      <c r="Q8" s="639">
        <f t="shared" si="0"/>
        <v>2</v>
      </c>
      <c r="R8" s="639">
        <f t="shared" si="0"/>
        <v>15.13</v>
      </c>
      <c r="S8" s="629">
        <f t="shared" si="1"/>
        <v>31.48</v>
      </c>
      <c r="T8" s="629">
        <f t="shared" si="2"/>
        <v>71</v>
      </c>
      <c r="U8" s="629">
        <f t="shared" si="3"/>
        <v>39.519999999999996</v>
      </c>
      <c r="V8" s="640">
        <f t="shared" si="4"/>
        <v>2.2554002541296061</v>
      </c>
      <c r="W8" s="585">
        <v>39.520000000000003</v>
      </c>
    </row>
    <row r="9" spans="1:23" ht="14.4" customHeight="1" x14ac:dyDescent="0.3">
      <c r="A9" s="644" t="s">
        <v>1923</v>
      </c>
      <c r="B9" s="629"/>
      <c r="C9" s="630"/>
      <c r="D9" s="598"/>
      <c r="E9" s="631"/>
      <c r="F9" s="632"/>
      <c r="G9" s="583"/>
      <c r="H9" s="633">
        <v>13</v>
      </c>
      <c r="I9" s="634">
        <v>122.61</v>
      </c>
      <c r="J9" s="584">
        <v>37.200000000000003</v>
      </c>
      <c r="K9" s="635">
        <v>8.33</v>
      </c>
      <c r="L9" s="636">
        <v>6</v>
      </c>
      <c r="M9" s="636">
        <v>53</v>
      </c>
      <c r="N9" s="637">
        <v>17.510000000000002</v>
      </c>
      <c r="O9" s="636" t="s">
        <v>1915</v>
      </c>
      <c r="P9" s="638" t="s">
        <v>1924</v>
      </c>
      <c r="Q9" s="639">
        <f t="shared" si="0"/>
        <v>13</v>
      </c>
      <c r="R9" s="639">
        <f t="shared" si="0"/>
        <v>122.61</v>
      </c>
      <c r="S9" s="629">
        <f t="shared" si="1"/>
        <v>227.63000000000002</v>
      </c>
      <c r="T9" s="629">
        <f t="shared" si="2"/>
        <v>483.6</v>
      </c>
      <c r="U9" s="629">
        <f t="shared" si="3"/>
        <v>255.97</v>
      </c>
      <c r="V9" s="640">
        <f t="shared" si="4"/>
        <v>2.1245002855511137</v>
      </c>
      <c r="W9" s="585">
        <v>276.42</v>
      </c>
    </row>
    <row r="10" spans="1:23" ht="14.4" customHeight="1" x14ac:dyDescent="0.3">
      <c r="A10" s="645" t="s">
        <v>1925</v>
      </c>
      <c r="B10" s="592"/>
      <c r="C10" s="593"/>
      <c r="D10" s="594"/>
      <c r="E10" s="595"/>
      <c r="F10" s="573"/>
      <c r="G10" s="574"/>
      <c r="H10" s="575">
        <v>1</v>
      </c>
      <c r="I10" s="576">
        <v>79.150000000000006</v>
      </c>
      <c r="J10" s="577">
        <v>131</v>
      </c>
      <c r="K10" s="578">
        <v>80.540000000000006</v>
      </c>
      <c r="L10" s="579">
        <v>75</v>
      </c>
      <c r="M10" s="579">
        <v>376</v>
      </c>
      <c r="N10" s="580">
        <v>125.28</v>
      </c>
      <c r="O10" s="579" t="s">
        <v>1915</v>
      </c>
      <c r="P10" s="596" t="s">
        <v>1926</v>
      </c>
      <c r="Q10" s="581">
        <f t="shared" si="0"/>
        <v>1</v>
      </c>
      <c r="R10" s="581">
        <f t="shared" si="0"/>
        <v>79.150000000000006</v>
      </c>
      <c r="S10" s="592">
        <f t="shared" si="1"/>
        <v>125.28</v>
      </c>
      <c r="T10" s="592">
        <f t="shared" si="2"/>
        <v>131</v>
      </c>
      <c r="U10" s="592">
        <f t="shared" si="3"/>
        <v>5.7199999999999989</v>
      </c>
      <c r="V10" s="597">
        <f t="shared" si="4"/>
        <v>1.0456577266922094</v>
      </c>
      <c r="W10" s="582">
        <v>5.72</v>
      </c>
    </row>
    <row r="11" spans="1:23" ht="14.4" customHeight="1" x14ac:dyDescent="0.3">
      <c r="A11" s="645" t="s">
        <v>1927</v>
      </c>
      <c r="B11" s="592"/>
      <c r="C11" s="593"/>
      <c r="D11" s="594"/>
      <c r="E11" s="595"/>
      <c r="F11" s="573"/>
      <c r="G11" s="574"/>
      <c r="H11" s="575">
        <v>1</v>
      </c>
      <c r="I11" s="576">
        <v>43.69</v>
      </c>
      <c r="J11" s="577">
        <v>117</v>
      </c>
      <c r="K11" s="578">
        <v>43.69</v>
      </c>
      <c r="L11" s="579">
        <v>43</v>
      </c>
      <c r="M11" s="579">
        <v>207</v>
      </c>
      <c r="N11" s="580">
        <v>69.069999999999993</v>
      </c>
      <c r="O11" s="579" t="s">
        <v>1915</v>
      </c>
      <c r="P11" s="596" t="s">
        <v>1928</v>
      </c>
      <c r="Q11" s="581">
        <f t="shared" si="0"/>
        <v>1</v>
      </c>
      <c r="R11" s="581">
        <f t="shared" si="0"/>
        <v>43.69</v>
      </c>
      <c r="S11" s="592">
        <f t="shared" si="1"/>
        <v>69.069999999999993</v>
      </c>
      <c r="T11" s="592">
        <f t="shared" si="2"/>
        <v>117</v>
      </c>
      <c r="U11" s="592">
        <f t="shared" si="3"/>
        <v>47.930000000000007</v>
      </c>
      <c r="V11" s="597">
        <f t="shared" si="4"/>
        <v>1.6939336904589548</v>
      </c>
      <c r="W11" s="582">
        <v>47.93</v>
      </c>
    </row>
    <row r="12" spans="1:23" ht="14.4" customHeight="1" x14ac:dyDescent="0.3">
      <c r="A12" s="645" t="s">
        <v>1929</v>
      </c>
      <c r="B12" s="592"/>
      <c r="C12" s="593"/>
      <c r="D12" s="594"/>
      <c r="E12" s="595"/>
      <c r="F12" s="573"/>
      <c r="G12" s="574"/>
      <c r="H12" s="575">
        <v>6</v>
      </c>
      <c r="I12" s="576">
        <v>166.95</v>
      </c>
      <c r="J12" s="577">
        <v>70</v>
      </c>
      <c r="K12" s="578">
        <v>27.82</v>
      </c>
      <c r="L12" s="579">
        <v>22</v>
      </c>
      <c r="M12" s="579">
        <v>138</v>
      </c>
      <c r="N12" s="580">
        <v>46.15</v>
      </c>
      <c r="O12" s="579" t="s">
        <v>1915</v>
      </c>
      <c r="P12" s="596" t="s">
        <v>1930</v>
      </c>
      <c r="Q12" s="581">
        <f t="shared" si="0"/>
        <v>6</v>
      </c>
      <c r="R12" s="581">
        <f t="shared" si="0"/>
        <v>166.95</v>
      </c>
      <c r="S12" s="592">
        <f t="shared" si="1"/>
        <v>276.89999999999998</v>
      </c>
      <c r="T12" s="592">
        <f t="shared" si="2"/>
        <v>420</v>
      </c>
      <c r="U12" s="592">
        <f t="shared" si="3"/>
        <v>143.10000000000002</v>
      </c>
      <c r="V12" s="597">
        <f t="shared" si="4"/>
        <v>1.5167930660888409</v>
      </c>
      <c r="W12" s="582">
        <v>164.4</v>
      </c>
    </row>
    <row r="13" spans="1:23" ht="14.4" customHeight="1" x14ac:dyDescent="0.3">
      <c r="A13" s="645" t="s">
        <v>1931</v>
      </c>
      <c r="B13" s="592"/>
      <c r="C13" s="593"/>
      <c r="D13" s="594"/>
      <c r="E13" s="595"/>
      <c r="F13" s="573"/>
      <c r="G13" s="574"/>
      <c r="H13" s="575">
        <v>1</v>
      </c>
      <c r="I13" s="576">
        <v>21.83</v>
      </c>
      <c r="J13" s="577">
        <v>45</v>
      </c>
      <c r="K13" s="578">
        <v>22.16</v>
      </c>
      <c r="L13" s="579">
        <v>11</v>
      </c>
      <c r="M13" s="579">
        <v>98</v>
      </c>
      <c r="N13" s="580">
        <v>32.64</v>
      </c>
      <c r="O13" s="579" t="s">
        <v>1915</v>
      </c>
      <c r="P13" s="596" t="s">
        <v>1932</v>
      </c>
      <c r="Q13" s="581">
        <f t="shared" si="0"/>
        <v>1</v>
      </c>
      <c r="R13" s="581">
        <f t="shared" si="0"/>
        <v>21.83</v>
      </c>
      <c r="S13" s="592">
        <f t="shared" si="1"/>
        <v>32.64</v>
      </c>
      <c r="T13" s="592">
        <f t="shared" si="2"/>
        <v>45</v>
      </c>
      <c r="U13" s="592">
        <f t="shared" si="3"/>
        <v>12.36</v>
      </c>
      <c r="V13" s="597">
        <f t="shared" si="4"/>
        <v>1.3786764705882353</v>
      </c>
      <c r="W13" s="582">
        <v>12.36</v>
      </c>
    </row>
    <row r="14" spans="1:23" ht="14.4" customHeight="1" x14ac:dyDescent="0.3">
      <c r="A14" s="645" t="s">
        <v>1933</v>
      </c>
      <c r="B14" s="592"/>
      <c r="C14" s="593"/>
      <c r="D14" s="594"/>
      <c r="E14" s="595"/>
      <c r="F14" s="573"/>
      <c r="G14" s="574"/>
      <c r="H14" s="575">
        <v>3</v>
      </c>
      <c r="I14" s="576">
        <v>39.21</v>
      </c>
      <c r="J14" s="586">
        <v>23</v>
      </c>
      <c r="K14" s="578">
        <v>13.07</v>
      </c>
      <c r="L14" s="579">
        <v>8</v>
      </c>
      <c r="M14" s="579">
        <v>69</v>
      </c>
      <c r="N14" s="580">
        <v>23.12</v>
      </c>
      <c r="O14" s="579" t="s">
        <v>1915</v>
      </c>
      <c r="P14" s="596" t="s">
        <v>1934</v>
      </c>
      <c r="Q14" s="581">
        <f t="shared" si="0"/>
        <v>3</v>
      </c>
      <c r="R14" s="581">
        <f t="shared" si="0"/>
        <v>39.21</v>
      </c>
      <c r="S14" s="592">
        <f t="shared" si="1"/>
        <v>69.36</v>
      </c>
      <c r="T14" s="592">
        <f t="shared" si="2"/>
        <v>69</v>
      </c>
      <c r="U14" s="592">
        <f t="shared" si="3"/>
        <v>-0.35999999999999943</v>
      </c>
      <c r="V14" s="597">
        <f t="shared" si="4"/>
        <v>0.99480968858131491</v>
      </c>
      <c r="W14" s="582">
        <v>12.88</v>
      </c>
    </row>
    <row r="15" spans="1:23" ht="14.4" customHeight="1" x14ac:dyDescent="0.3">
      <c r="A15" s="645" t="s">
        <v>1935</v>
      </c>
      <c r="B15" s="587">
        <v>1</v>
      </c>
      <c r="C15" s="588">
        <v>0.54</v>
      </c>
      <c r="D15" s="589">
        <v>13</v>
      </c>
      <c r="E15" s="595"/>
      <c r="F15" s="573"/>
      <c r="G15" s="574"/>
      <c r="H15" s="579"/>
      <c r="I15" s="573"/>
      <c r="J15" s="574"/>
      <c r="K15" s="578">
        <v>0.54</v>
      </c>
      <c r="L15" s="579">
        <v>2</v>
      </c>
      <c r="M15" s="579">
        <v>17</v>
      </c>
      <c r="N15" s="580">
        <v>5.53</v>
      </c>
      <c r="O15" s="579" t="s">
        <v>1915</v>
      </c>
      <c r="P15" s="596" t="s">
        <v>1936</v>
      </c>
      <c r="Q15" s="581">
        <f t="shared" si="0"/>
        <v>-1</v>
      </c>
      <c r="R15" s="581">
        <f t="shared" si="0"/>
        <v>-0.54</v>
      </c>
      <c r="S15" s="592" t="str">
        <f t="shared" si="1"/>
        <v/>
      </c>
      <c r="T15" s="592" t="str">
        <f t="shared" si="2"/>
        <v/>
      </c>
      <c r="U15" s="592" t="str">
        <f t="shared" si="3"/>
        <v/>
      </c>
      <c r="V15" s="597" t="str">
        <f t="shared" si="4"/>
        <v/>
      </c>
      <c r="W15" s="582"/>
    </row>
    <row r="16" spans="1:23" ht="14.4" customHeight="1" x14ac:dyDescent="0.3">
      <c r="A16" s="645" t="s">
        <v>1937</v>
      </c>
      <c r="B16" s="587">
        <v>1</v>
      </c>
      <c r="C16" s="588">
        <v>0.74</v>
      </c>
      <c r="D16" s="589">
        <v>3</v>
      </c>
      <c r="E16" s="595"/>
      <c r="F16" s="573"/>
      <c r="G16" s="574"/>
      <c r="H16" s="579"/>
      <c r="I16" s="573"/>
      <c r="J16" s="574"/>
      <c r="K16" s="578">
        <v>0.97</v>
      </c>
      <c r="L16" s="579">
        <v>4</v>
      </c>
      <c r="M16" s="579">
        <v>36</v>
      </c>
      <c r="N16" s="580">
        <v>12.07</v>
      </c>
      <c r="O16" s="579" t="s">
        <v>1915</v>
      </c>
      <c r="P16" s="596" t="s">
        <v>1938</v>
      </c>
      <c r="Q16" s="581">
        <f t="shared" si="0"/>
        <v>-1</v>
      </c>
      <c r="R16" s="581">
        <f t="shared" si="0"/>
        <v>-0.74</v>
      </c>
      <c r="S16" s="592" t="str">
        <f t="shared" si="1"/>
        <v/>
      </c>
      <c r="T16" s="592" t="str">
        <f t="shared" si="2"/>
        <v/>
      </c>
      <c r="U16" s="592" t="str">
        <f t="shared" si="3"/>
        <v/>
      </c>
      <c r="V16" s="597" t="str">
        <f t="shared" si="4"/>
        <v/>
      </c>
      <c r="W16" s="582"/>
    </row>
    <row r="17" spans="1:23" ht="14.4" customHeight="1" x14ac:dyDescent="0.3">
      <c r="A17" s="645" t="s">
        <v>1939</v>
      </c>
      <c r="B17" s="587">
        <v>1</v>
      </c>
      <c r="C17" s="588">
        <v>1.92</v>
      </c>
      <c r="D17" s="589">
        <v>39</v>
      </c>
      <c r="E17" s="595"/>
      <c r="F17" s="573"/>
      <c r="G17" s="574"/>
      <c r="H17" s="579"/>
      <c r="I17" s="573"/>
      <c r="J17" s="574"/>
      <c r="K17" s="578">
        <v>0.39</v>
      </c>
      <c r="L17" s="579">
        <v>1</v>
      </c>
      <c r="M17" s="579">
        <v>13</v>
      </c>
      <c r="N17" s="580">
        <v>4.3499999999999996</v>
      </c>
      <c r="O17" s="579" t="s">
        <v>1915</v>
      </c>
      <c r="P17" s="596" t="s">
        <v>1940</v>
      </c>
      <c r="Q17" s="581">
        <f t="shared" si="0"/>
        <v>-1</v>
      </c>
      <c r="R17" s="581">
        <f t="shared" si="0"/>
        <v>-1.92</v>
      </c>
      <c r="S17" s="592" t="str">
        <f t="shared" si="1"/>
        <v/>
      </c>
      <c r="T17" s="592" t="str">
        <f t="shared" si="2"/>
        <v/>
      </c>
      <c r="U17" s="592" t="str">
        <f t="shared" si="3"/>
        <v/>
      </c>
      <c r="V17" s="597" t="str">
        <f t="shared" si="4"/>
        <v/>
      </c>
      <c r="W17" s="582"/>
    </row>
    <row r="18" spans="1:23" ht="14.4" customHeight="1" x14ac:dyDescent="0.3">
      <c r="A18" s="645" t="s">
        <v>1941</v>
      </c>
      <c r="B18" s="592">
        <v>4</v>
      </c>
      <c r="C18" s="593">
        <v>0.78</v>
      </c>
      <c r="D18" s="594">
        <v>3</v>
      </c>
      <c r="E18" s="575">
        <v>8</v>
      </c>
      <c r="F18" s="576">
        <v>1.56</v>
      </c>
      <c r="G18" s="586">
        <v>2.6</v>
      </c>
      <c r="H18" s="579">
        <v>3</v>
      </c>
      <c r="I18" s="573">
        <v>0.59</v>
      </c>
      <c r="J18" s="577">
        <v>3.3</v>
      </c>
      <c r="K18" s="578">
        <v>0.2</v>
      </c>
      <c r="L18" s="579">
        <v>1</v>
      </c>
      <c r="M18" s="579">
        <v>5</v>
      </c>
      <c r="N18" s="580">
        <v>1.68</v>
      </c>
      <c r="O18" s="579" t="s">
        <v>1915</v>
      </c>
      <c r="P18" s="596" t="s">
        <v>1942</v>
      </c>
      <c r="Q18" s="581">
        <f t="shared" si="0"/>
        <v>-1</v>
      </c>
      <c r="R18" s="581">
        <f t="shared" si="0"/>
        <v>-0.19000000000000006</v>
      </c>
      <c r="S18" s="592">
        <f t="shared" si="1"/>
        <v>5.04</v>
      </c>
      <c r="T18" s="592">
        <f t="shared" si="2"/>
        <v>9.8999999999999986</v>
      </c>
      <c r="U18" s="592">
        <f t="shared" si="3"/>
        <v>4.8599999999999985</v>
      </c>
      <c r="V18" s="597">
        <f t="shared" si="4"/>
        <v>1.964285714285714</v>
      </c>
      <c r="W18" s="582">
        <v>4.97</v>
      </c>
    </row>
    <row r="19" spans="1:23" ht="14.4" customHeight="1" x14ac:dyDescent="0.3">
      <c r="A19" s="644" t="s">
        <v>1943</v>
      </c>
      <c r="B19" s="629">
        <v>2</v>
      </c>
      <c r="C19" s="630">
        <v>0.64</v>
      </c>
      <c r="D19" s="598">
        <v>3</v>
      </c>
      <c r="E19" s="633">
        <v>3</v>
      </c>
      <c r="F19" s="634">
        <v>1.18</v>
      </c>
      <c r="G19" s="590">
        <v>1.7</v>
      </c>
      <c r="H19" s="636">
        <v>2</v>
      </c>
      <c r="I19" s="632">
        <v>0.64</v>
      </c>
      <c r="J19" s="584">
        <v>3</v>
      </c>
      <c r="K19" s="635">
        <v>0.32</v>
      </c>
      <c r="L19" s="636">
        <v>1</v>
      </c>
      <c r="M19" s="636">
        <v>5</v>
      </c>
      <c r="N19" s="637">
        <v>2.14</v>
      </c>
      <c r="O19" s="636" t="s">
        <v>1915</v>
      </c>
      <c r="P19" s="638" t="s">
        <v>1944</v>
      </c>
      <c r="Q19" s="639">
        <f t="shared" si="0"/>
        <v>0</v>
      </c>
      <c r="R19" s="639">
        <f t="shared" si="0"/>
        <v>0</v>
      </c>
      <c r="S19" s="629">
        <f t="shared" si="1"/>
        <v>4.28</v>
      </c>
      <c r="T19" s="629">
        <f t="shared" si="2"/>
        <v>6</v>
      </c>
      <c r="U19" s="629">
        <f t="shared" si="3"/>
        <v>1.7199999999999998</v>
      </c>
      <c r="V19" s="640">
        <f t="shared" si="4"/>
        <v>1.4018691588785046</v>
      </c>
      <c r="W19" s="585">
        <v>1.72</v>
      </c>
    </row>
    <row r="20" spans="1:23" ht="14.4" customHeight="1" x14ac:dyDescent="0.3">
      <c r="A20" s="644" t="s">
        <v>1945</v>
      </c>
      <c r="B20" s="629">
        <v>6</v>
      </c>
      <c r="C20" s="630">
        <v>17.579999999999998</v>
      </c>
      <c r="D20" s="598">
        <v>2.8</v>
      </c>
      <c r="E20" s="633">
        <v>1</v>
      </c>
      <c r="F20" s="634">
        <v>0.55000000000000004</v>
      </c>
      <c r="G20" s="590">
        <v>3</v>
      </c>
      <c r="H20" s="636">
        <v>6</v>
      </c>
      <c r="I20" s="632">
        <v>4.1900000000000004</v>
      </c>
      <c r="J20" s="584">
        <v>2.5</v>
      </c>
      <c r="K20" s="635">
        <v>0.55000000000000004</v>
      </c>
      <c r="L20" s="636">
        <v>1</v>
      </c>
      <c r="M20" s="636">
        <v>5</v>
      </c>
      <c r="N20" s="637">
        <v>1.72</v>
      </c>
      <c r="O20" s="636" t="s">
        <v>1915</v>
      </c>
      <c r="P20" s="638" t="s">
        <v>1946</v>
      </c>
      <c r="Q20" s="639">
        <f t="shared" si="0"/>
        <v>0</v>
      </c>
      <c r="R20" s="639">
        <f t="shared" si="0"/>
        <v>-13.389999999999997</v>
      </c>
      <c r="S20" s="629">
        <f t="shared" si="1"/>
        <v>10.32</v>
      </c>
      <c r="T20" s="629">
        <f t="shared" si="2"/>
        <v>15</v>
      </c>
      <c r="U20" s="629">
        <f t="shared" si="3"/>
        <v>4.68</v>
      </c>
      <c r="V20" s="640">
        <f t="shared" si="4"/>
        <v>1.4534883720930232</v>
      </c>
      <c r="W20" s="585">
        <v>5.4</v>
      </c>
    </row>
    <row r="21" spans="1:23" ht="14.4" customHeight="1" x14ac:dyDescent="0.3">
      <c r="A21" s="645" t="s">
        <v>1947</v>
      </c>
      <c r="B21" s="592">
        <v>2</v>
      </c>
      <c r="C21" s="593">
        <v>77.790000000000006</v>
      </c>
      <c r="D21" s="594">
        <v>26</v>
      </c>
      <c r="E21" s="575">
        <v>2</v>
      </c>
      <c r="F21" s="576">
        <v>108.14</v>
      </c>
      <c r="G21" s="586">
        <v>74.5</v>
      </c>
      <c r="H21" s="579"/>
      <c r="I21" s="573"/>
      <c r="J21" s="574"/>
      <c r="K21" s="578">
        <v>54.07</v>
      </c>
      <c r="L21" s="579">
        <v>26</v>
      </c>
      <c r="M21" s="579">
        <v>234</v>
      </c>
      <c r="N21" s="580">
        <v>78.09</v>
      </c>
      <c r="O21" s="579" t="s">
        <v>1915</v>
      </c>
      <c r="P21" s="596" t="s">
        <v>1948</v>
      </c>
      <c r="Q21" s="581">
        <f t="shared" si="0"/>
        <v>-2</v>
      </c>
      <c r="R21" s="581">
        <f t="shared" si="0"/>
        <v>-77.790000000000006</v>
      </c>
      <c r="S21" s="592" t="str">
        <f t="shared" si="1"/>
        <v/>
      </c>
      <c r="T21" s="592" t="str">
        <f t="shared" si="2"/>
        <v/>
      </c>
      <c r="U21" s="592" t="str">
        <f t="shared" si="3"/>
        <v/>
      </c>
      <c r="V21" s="597" t="str">
        <f t="shared" si="4"/>
        <v/>
      </c>
      <c r="W21" s="582"/>
    </row>
    <row r="22" spans="1:23" ht="14.4" customHeight="1" x14ac:dyDescent="0.3">
      <c r="A22" s="645" t="s">
        <v>1949</v>
      </c>
      <c r="B22" s="592"/>
      <c r="C22" s="593"/>
      <c r="D22" s="594"/>
      <c r="E22" s="575"/>
      <c r="F22" s="576"/>
      <c r="G22" s="586"/>
      <c r="H22" s="579">
        <v>1</v>
      </c>
      <c r="I22" s="573">
        <v>7.24</v>
      </c>
      <c r="J22" s="574">
        <v>5</v>
      </c>
      <c r="K22" s="578">
        <v>12.88</v>
      </c>
      <c r="L22" s="579">
        <v>9</v>
      </c>
      <c r="M22" s="579">
        <v>79</v>
      </c>
      <c r="N22" s="580">
        <v>26.22</v>
      </c>
      <c r="O22" s="579" t="s">
        <v>1915</v>
      </c>
      <c r="P22" s="596" t="s">
        <v>1950</v>
      </c>
      <c r="Q22" s="581">
        <f t="shared" si="0"/>
        <v>1</v>
      </c>
      <c r="R22" s="581">
        <f t="shared" si="0"/>
        <v>7.24</v>
      </c>
      <c r="S22" s="592">
        <f t="shared" si="1"/>
        <v>26.22</v>
      </c>
      <c r="T22" s="592">
        <f t="shared" si="2"/>
        <v>5</v>
      </c>
      <c r="U22" s="592">
        <f t="shared" si="3"/>
        <v>-21.22</v>
      </c>
      <c r="V22" s="597">
        <f t="shared" si="4"/>
        <v>0.19069412662090007</v>
      </c>
      <c r="W22" s="582"/>
    </row>
    <row r="23" spans="1:23" ht="14.4" customHeight="1" x14ac:dyDescent="0.3">
      <c r="A23" s="644" t="s">
        <v>1951</v>
      </c>
      <c r="B23" s="629">
        <v>12</v>
      </c>
      <c r="C23" s="630">
        <v>341.57</v>
      </c>
      <c r="D23" s="598">
        <v>40</v>
      </c>
      <c r="E23" s="633">
        <v>13</v>
      </c>
      <c r="F23" s="634">
        <v>413.36</v>
      </c>
      <c r="G23" s="590">
        <v>58.9</v>
      </c>
      <c r="H23" s="636">
        <v>8</v>
      </c>
      <c r="I23" s="632">
        <v>258.81</v>
      </c>
      <c r="J23" s="584">
        <v>73.8</v>
      </c>
      <c r="K23" s="635">
        <v>32.340000000000003</v>
      </c>
      <c r="L23" s="636">
        <v>20</v>
      </c>
      <c r="M23" s="636">
        <v>180</v>
      </c>
      <c r="N23" s="637">
        <v>59.88</v>
      </c>
      <c r="O23" s="636" t="s">
        <v>1915</v>
      </c>
      <c r="P23" s="638" t="s">
        <v>1952</v>
      </c>
      <c r="Q23" s="639">
        <f t="shared" si="0"/>
        <v>-4</v>
      </c>
      <c r="R23" s="639">
        <f t="shared" si="0"/>
        <v>-82.759999999999991</v>
      </c>
      <c r="S23" s="629">
        <f t="shared" si="1"/>
        <v>479.04</v>
      </c>
      <c r="T23" s="629">
        <f t="shared" si="2"/>
        <v>590.4</v>
      </c>
      <c r="U23" s="629">
        <f t="shared" si="3"/>
        <v>111.35999999999996</v>
      </c>
      <c r="V23" s="640">
        <f t="shared" si="4"/>
        <v>1.2324649298597194</v>
      </c>
      <c r="W23" s="585">
        <v>149.62</v>
      </c>
    </row>
    <row r="24" spans="1:23" ht="14.4" customHeight="1" x14ac:dyDescent="0.3">
      <c r="A24" s="645" t="s">
        <v>1953</v>
      </c>
      <c r="B24" s="587">
        <v>1</v>
      </c>
      <c r="C24" s="588">
        <v>37.08</v>
      </c>
      <c r="D24" s="589">
        <v>45</v>
      </c>
      <c r="E24" s="595"/>
      <c r="F24" s="573"/>
      <c r="G24" s="574"/>
      <c r="H24" s="579"/>
      <c r="I24" s="573"/>
      <c r="J24" s="574"/>
      <c r="K24" s="578">
        <v>37.08</v>
      </c>
      <c r="L24" s="579">
        <v>18</v>
      </c>
      <c r="M24" s="579">
        <v>166</v>
      </c>
      <c r="N24" s="580">
        <v>55.25</v>
      </c>
      <c r="O24" s="579" t="s">
        <v>1915</v>
      </c>
      <c r="P24" s="596" t="s">
        <v>1954</v>
      </c>
      <c r="Q24" s="581">
        <f t="shared" si="0"/>
        <v>-1</v>
      </c>
      <c r="R24" s="581">
        <f t="shared" si="0"/>
        <v>-37.08</v>
      </c>
      <c r="S24" s="592" t="str">
        <f t="shared" si="1"/>
        <v/>
      </c>
      <c r="T24" s="592" t="str">
        <f t="shared" si="2"/>
        <v/>
      </c>
      <c r="U24" s="592" t="str">
        <f t="shared" si="3"/>
        <v/>
      </c>
      <c r="V24" s="597" t="str">
        <f t="shared" si="4"/>
        <v/>
      </c>
      <c r="W24" s="582"/>
    </row>
    <row r="25" spans="1:23" ht="14.4" customHeight="1" x14ac:dyDescent="0.3">
      <c r="A25" s="645" t="s">
        <v>1955</v>
      </c>
      <c r="B25" s="587">
        <v>5</v>
      </c>
      <c r="C25" s="588">
        <v>49.16</v>
      </c>
      <c r="D25" s="589">
        <v>25.6</v>
      </c>
      <c r="E25" s="595">
        <v>7</v>
      </c>
      <c r="F25" s="573">
        <v>67.2</v>
      </c>
      <c r="G25" s="574">
        <v>23.6</v>
      </c>
      <c r="H25" s="579">
        <v>5</v>
      </c>
      <c r="I25" s="573">
        <v>49.16</v>
      </c>
      <c r="J25" s="574">
        <v>29</v>
      </c>
      <c r="K25" s="578">
        <v>9.83</v>
      </c>
      <c r="L25" s="579">
        <v>12</v>
      </c>
      <c r="M25" s="579">
        <v>104</v>
      </c>
      <c r="N25" s="580">
        <v>34.590000000000003</v>
      </c>
      <c r="O25" s="579" t="s">
        <v>1915</v>
      </c>
      <c r="P25" s="596" t="s">
        <v>1956</v>
      </c>
      <c r="Q25" s="581">
        <f t="shared" si="0"/>
        <v>0</v>
      </c>
      <c r="R25" s="581">
        <f t="shared" si="0"/>
        <v>0</v>
      </c>
      <c r="S25" s="592">
        <f t="shared" si="1"/>
        <v>172.95000000000002</v>
      </c>
      <c r="T25" s="592">
        <f t="shared" si="2"/>
        <v>145</v>
      </c>
      <c r="U25" s="592">
        <f t="shared" si="3"/>
        <v>-27.950000000000017</v>
      </c>
      <c r="V25" s="597">
        <f t="shared" si="4"/>
        <v>0.83839259901705687</v>
      </c>
      <c r="W25" s="582">
        <v>11.41</v>
      </c>
    </row>
    <row r="26" spans="1:23" ht="14.4" customHeight="1" x14ac:dyDescent="0.3">
      <c r="A26" s="644" t="s">
        <v>1957</v>
      </c>
      <c r="B26" s="641">
        <v>37</v>
      </c>
      <c r="C26" s="642">
        <v>588.94000000000005</v>
      </c>
      <c r="D26" s="591">
        <v>43.2</v>
      </c>
      <c r="E26" s="631">
        <v>20</v>
      </c>
      <c r="F26" s="632">
        <v>335.57</v>
      </c>
      <c r="G26" s="583">
        <v>45</v>
      </c>
      <c r="H26" s="636">
        <v>20</v>
      </c>
      <c r="I26" s="632">
        <v>333.25</v>
      </c>
      <c r="J26" s="583">
        <v>36.9</v>
      </c>
      <c r="K26" s="635">
        <v>16.77</v>
      </c>
      <c r="L26" s="636">
        <v>15</v>
      </c>
      <c r="M26" s="636">
        <v>131</v>
      </c>
      <c r="N26" s="637">
        <v>43.75</v>
      </c>
      <c r="O26" s="636" t="s">
        <v>1915</v>
      </c>
      <c r="P26" s="638" t="s">
        <v>1958</v>
      </c>
      <c r="Q26" s="639">
        <f t="shared" si="0"/>
        <v>-17</v>
      </c>
      <c r="R26" s="639">
        <f t="shared" si="0"/>
        <v>-255.69000000000005</v>
      </c>
      <c r="S26" s="629">
        <f t="shared" si="1"/>
        <v>875</v>
      </c>
      <c r="T26" s="629">
        <f t="shared" si="2"/>
        <v>738</v>
      </c>
      <c r="U26" s="629">
        <f t="shared" si="3"/>
        <v>-137</v>
      </c>
      <c r="V26" s="640">
        <f t="shared" si="4"/>
        <v>0.84342857142857142</v>
      </c>
      <c r="W26" s="585">
        <v>36.020000000000003</v>
      </c>
    </row>
    <row r="27" spans="1:23" ht="14.4" customHeight="1" x14ac:dyDescent="0.3">
      <c r="A27" s="645" t="s">
        <v>1959</v>
      </c>
      <c r="B27" s="587">
        <v>1</v>
      </c>
      <c r="C27" s="588">
        <v>16.04</v>
      </c>
      <c r="D27" s="589">
        <v>67</v>
      </c>
      <c r="E27" s="595"/>
      <c r="F27" s="573"/>
      <c r="G27" s="574"/>
      <c r="H27" s="579"/>
      <c r="I27" s="573"/>
      <c r="J27" s="574"/>
      <c r="K27" s="578">
        <v>16.04</v>
      </c>
      <c r="L27" s="579">
        <v>14</v>
      </c>
      <c r="M27" s="579">
        <v>127</v>
      </c>
      <c r="N27" s="580">
        <v>42.4</v>
      </c>
      <c r="O27" s="579" t="s">
        <v>1915</v>
      </c>
      <c r="P27" s="596" t="s">
        <v>1960</v>
      </c>
      <c r="Q27" s="581">
        <f t="shared" si="0"/>
        <v>-1</v>
      </c>
      <c r="R27" s="581">
        <f t="shared" si="0"/>
        <v>-16.04</v>
      </c>
      <c r="S27" s="592" t="str">
        <f t="shared" si="1"/>
        <v/>
      </c>
      <c r="T27" s="592" t="str">
        <f t="shared" si="2"/>
        <v/>
      </c>
      <c r="U27" s="592" t="str">
        <f t="shared" si="3"/>
        <v/>
      </c>
      <c r="V27" s="597" t="str">
        <f t="shared" si="4"/>
        <v/>
      </c>
      <c r="W27" s="582"/>
    </row>
    <row r="28" spans="1:23" ht="14.4" customHeight="1" x14ac:dyDescent="0.3">
      <c r="A28" s="645" t="s">
        <v>1961</v>
      </c>
      <c r="B28" s="592"/>
      <c r="C28" s="593"/>
      <c r="D28" s="594"/>
      <c r="E28" s="595">
        <v>2</v>
      </c>
      <c r="F28" s="573">
        <v>6.88</v>
      </c>
      <c r="G28" s="574">
        <v>23</v>
      </c>
      <c r="H28" s="575">
        <v>4</v>
      </c>
      <c r="I28" s="576">
        <v>13.76</v>
      </c>
      <c r="J28" s="586">
        <v>17.5</v>
      </c>
      <c r="K28" s="578">
        <v>3.44</v>
      </c>
      <c r="L28" s="579">
        <v>6</v>
      </c>
      <c r="M28" s="579">
        <v>57</v>
      </c>
      <c r="N28" s="580">
        <v>19.059999999999999</v>
      </c>
      <c r="O28" s="579" t="s">
        <v>1915</v>
      </c>
      <c r="P28" s="596" t="s">
        <v>1962</v>
      </c>
      <c r="Q28" s="581">
        <f t="shared" si="0"/>
        <v>4</v>
      </c>
      <c r="R28" s="581">
        <f t="shared" si="0"/>
        <v>13.76</v>
      </c>
      <c r="S28" s="592">
        <f t="shared" si="1"/>
        <v>76.239999999999995</v>
      </c>
      <c r="T28" s="592">
        <f t="shared" si="2"/>
        <v>70</v>
      </c>
      <c r="U28" s="592">
        <f t="shared" si="3"/>
        <v>-6.2399999999999949</v>
      </c>
      <c r="V28" s="597">
        <f t="shared" si="4"/>
        <v>0.91815320041972726</v>
      </c>
      <c r="W28" s="582">
        <v>1.87</v>
      </c>
    </row>
    <row r="29" spans="1:23" ht="14.4" customHeight="1" x14ac:dyDescent="0.3">
      <c r="A29" s="644" t="s">
        <v>1963</v>
      </c>
      <c r="B29" s="629">
        <v>22</v>
      </c>
      <c r="C29" s="630">
        <v>111.61</v>
      </c>
      <c r="D29" s="598">
        <v>20.8</v>
      </c>
      <c r="E29" s="631">
        <v>24</v>
      </c>
      <c r="F29" s="632">
        <v>121.89</v>
      </c>
      <c r="G29" s="583">
        <v>19.600000000000001</v>
      </c>
      <c r="H29" s="633">
        <v>31</v>
      </c>
      <c r="I29" s="634">
        <v>156.54</v>
      </c>
      <c r="J29" s="590">
        <v>18.600000000000001</v>
      </c>
      <c r="K29" s="635">
        <v>5.07</v>
      </c>
      <c r="L29" s="636">
        <v>7</v>
      </c>
      <c r="M29" s="636">
        <v>66</v>
      </c>
      <c r="N29" s="637">
        <v>22.06</v>
      </c>
      <c r="O29" s="636" t="s">
        <v>1915</v>
      </c>
      <c r="P29" s="638" t="s">
        <v>1964</v>
      </c>
      <c r="Q29" s="639">
        <f t="shared" si="0"/>
        <v>9</v>
      </c>
      <c r="R29" s="639">
        <f t="shared" si="0"/>
        <v>44.929999999999993</v>
      </c>
      <c r="S29" s="629">
        <f t="shared" si="1"/>
        <v>683.86</v>
      </c>
      <c r="T29" s="629">
        <f t="shared" si="2"/>
        <v>576.6</v>
      </c>
      <c r="U29" s="629">
        <f t="shared" si="3"/>
        <v>-107.25999999999999</v>
      </c>
      <c r="V29" s="640">
        <f t="shared" si="4"/>
        <v>0.84315503173164097</v>
      </c>
      <c r="W29" s="585">
        <v>52.31</v>
      </c>
    </row>
    <row r="30" spans="1:23" ht="14.4" customHeight="1" x14ac:dyDescent="0.3">
      <c r="A30" s="644" t="s">
        <v>1965</v>
      </c>
      <c r="B30" s="629">
        <v>25</v>
      </c>
      <c r="C30" s="630">
        <v>213.61</v>
      </c>
      <c r="D30" s="598">
        <v>28.6</v>
      </c>
      <c r="E30" s="631">
        <v>25</v>
      </c>
      <c r="F30" s="632">
        <v>213.2</v>
      </c>
      <c r="G30" s="583">
        <v>27.6</v>
      </c>
      <c r="H30" s="633">
        <v>25</v>
      </c>
      <c r="I30" s="634">
        <v>205.75</v>
      </c>
      <c r="J30" s="590">
        <v>22.1</v>
      </c>
      <c r="K30" s="635">
        <v>8.52</v>
      </c>
      <c r="L30" s="636">
        <v>9</v>
      </c>
      <c r="M30" s="636">
        <v>85</v>
      </c>
      <c r="N30" s="637">
        <v>28.44</v>
      </c>
      <c r="O30" s="636" t="s">
        <v>1915</v>
      </c>
      <c r="P30" s="638" t="s">
        <v>1966</v>
      </c>
      <c r="Q30" s="639">
        <f t="shared" si="0"/>
        <v>0</v>
      </c>
      <c r="R30" s="639">
        <f t="shared" si="0"/>
        <v>-7.8600000000000136</v>
      </c>
      <c r="S30" s="629">
        <f t="shared" si="1"/>
        <v>711</v>
      </c>
      <c r="T30" s="629">
        <f t="shared" si="2"/>
        <v>552.5</v>
      </c>
      <c r="U30" s="629">
        <f t="shared" si="3"/>
        <v>-158.5</v>
      </c>
      <c r="V30" s="640">
        <f t="shared" si="4"/>
        <v>0.77707454289732769</v>
      </c>
      <c r="W30" s="585">
        <v>41.92</v>
      </c>
    </row>
    <row r="31" spans="1:23" ht="14.4" customHeight="1" x14ac:dyDescent="0.3">
      <c r="A31" s="645" t="s">
        <v>1967</v>
      </c>
      <c r="B31" s="592">
        <v>15</v>
      </c>
      <c r="C31" s="593">
        <v>9.58</v>
      </c>
      <c r="D31" s="594">
        <v>5.7</v>
      </c>
      <c r="E31" s="595">
        <v>16</v>
      </c>
      <c r="F31" s="573">
        <v>10.130000000000001</v>
      </c>
      <c r="G31" s="574">
        <v>7.3</v>
      </c>
      <c r="H31" s="575">
        <v>33</v>
      </c>
      <c r="I31" s="576">
        <v>20.88</v>
      </c>
      <c r="J31" s="586">
        <v>5.5</v>
      </c>
      <c r="K31" s="578">
        <v>0.63</v>
      </c>
      <c r="L31" s="579">
        <v>3</v>
      </c>
      <c r="M31" s="579">
        <v>25</v>
      </c>
      <c r="N31" s="580">
        <v>8.1999999999999993</v>
      </c>
      <c r="O31" s="579" t="s">
        <v>1915</v>
      </c>
      <c r="P31" s="596" t="s">
        <v>1968</v>
      </c>
      <c r="Q31" s="581">
        <f t="shared" si="0"/>
        <v>18</v>
      </c>
      <c r="R31" s="581">
        <f t="shared" si="0"/>
        <v>11.299999999999999</v>
      </c>
      <c r="S31" s="592">
        <f t="shared" si="1"/>
        <v>270.59999999999997</v>
      </c>
      <c r="T31" s="592">
        <f t="shared" si="2"/>
        <v>181.5</v>
      </c>
      <c r="U31" s="592">
        <f t="shared" si="3"/>
        <v>-89.099999999999966</v>
      </c>
      <c r="V31" s="597">
        <f t="shared" si="4"/>
        <v>0.67073170731707321</v>
      </c>
      <c r="W31" s="582">
        <v>1.8</v>
      </c>
    </row>
    <row r="32" spans="1:23" ht="14.4" customHeight="1" x14ac:dyDescent="0.3">
      <c r="A32" s="644" t="s">
        <v>1969</v>
      </c>
      <c r="B32" s="629">
        <v>54</v>
      </c>
      <c r="C32" s="630">
        <v>91.61</v>
      </c>
      <c r="D32" s="598">
        <v>12.3</v>
      </c>
      <c r="E32" s="631">
        <v>65</v>
      </c>
      <c r="F32" s="632">
        <v>109.81</v>
      </c>
      <c r="G32" s="583">
        <v>12</v>
      </c>
      <c r="H32" s="633">
        <v>62</v>
      </c>
      <c r="I32" s="634">
        <v>104.75</v>
      </c>
      <c r="J32" s="590">
        <v>10.3</v>
      </c>
      <c r="K32" s="635">
        <v>1.69</v>
      </c>
      <c r="L32" s="636">
        <v>4</v>
      </c>
      <c r="M32" s="636">
        <v>36</v>
      </c>
      <c r="N32" s="637">
        <v>11.9</v>
      </c>
      <c r="O32" s="636" t="s">
        <v>1915</v>
      </c>
      <c r="P32" s="638" t="s">
        <v>1970</v>
      </c>
      <c r="Q32" s="639">
        <f t="shared" si="0"/>
        <v>8</v>
      </c>
      <c r="R32" s="639">
        <f t="shared" si="0"/>
        <v>13.14</v>
      </c>
      <c r="S32" s="629">
        <f t="shared" si="1"/>
        <v>737.80000000000007</v>
      </c>
      <c r="T32" s="629">
        <f t="shared" si="2"/>
        <v>638.6</v>
      </c>
      <c r="U32" s="629">
        <f t="shared" si="3"/>
        <v>-99.200000000000045</v>
      </c>
      <c r="V32" s="640">
        <f t="shared" si="4"/>
        <v>0.86554621848739488</v>
      </c>
      <c r="W32" s="585">
        <v>91.79</v>
      </c>
    </row>
    <row r="33" spans="1:23" ht="14.4" customHeight="1" x14ac:dyDescent="0.3">
      <c r="A33" s="644" t="s">
        <v>1971</v>
      </c>
      <c r="B33" s="629">
        <v>27</v>
      </c>
      <c r="C33" s="630">
        <v>114.41</v>
      </c>
      <c r="D33" s="598">
        <v>15.6</v>
      </c>
      <c r="E33" s="631">
        <v>18</v>
      </c>
      <c r="F33" s="632">
        <v>74.510000000000005</v>
      </c>
      <c r="G33" s="583">
        <v>24.2</v>
      </c>
      <c r="H33" s="633">
        <v>6</v>
      </c>
      <c r="I33" s="634">
        <v>24.82</v>
      </c>
      <c r="J33" s="584">
        <v>17.5</v>
      </c>
      <c r="K33" s="635">
        <v>4.12</v>
      </c>
      <c r="L33" s="636">
        <v>5</v>
      </c>
      <c r="M33" s="636">
        <v>49</v>
      </c>
      <c r="N33" s="637">
        <v>16.48</v>
      </c>
      <c r="O33" s="636" t="s">
        <v>1915</v>
      </c>
      <c r="P33" s="638" t="s">
        <v>1972</v>
      </c>
      <c r="Q33" s="639">
        <f t="shared" si="0"/>
        <v>-21</v>
      </c>
      <c r="R33" s="639">
        <f t="shared" si="0"/>
        <v>-89.59</v>
      </c>
      <c r="S33" s="629">
        <f t="shared" si="1"/>
        <v>98.88</v>
      </c>
      <c r="T33" s="629">
        <f t="shared" si="2"/>
        <v>105</v>
      </c>
      <c r="U33" s="629">
        <f t="shared" si="3"/>
        <v>6.1200000000000045</v>
      </c>
      <c r="V33" s="640">
        <f t="shared" si="4"/>
        <v>1.0618932038834952</v>
      </c>
      <c r="W33" s="585">
        <v>25.57</v>
      </c>
    </row>
    <row r="34" spans="1:23" ht="14.4" customHeight="1" x14ac:dyDescent="0.3">
      <c r="A34" s="645" t="s">
        <v>1973</v>
      </c>
      <c r="B34" s="592"/>
      <c r="C34" s="593"/>
      <c r="D34" s="594"/>
      <c r="E34" s="595"/>
      <c r="F34" s="573"/>
      <c r="G34" s="574"/>
      <c r="H34" s="575">
        <v>2</v>
      </c>
      <c r="I34" s="576">
        <v>11.3</v>
      </c>
      <c r="J34" s="577">
        <v>20</v>
      </c>
      <c r="K34" s="578">
        <v>5.65</v>
      </c>
      <c r="L34" s="579">
        <v>5</v>
      </c>
      <c r="M34" s="579">
        <v>48</v>
      </c>
      <c r="N34" s="580">
        <v>16.03</v>
      </c>
      <c r="O34" s="579" t="s">
        <v>1915</v>
      </c>
      <c r="P34" s="596" t="s">
        <v>1974</v>
      </c>
      <c r="Q34" s="581">
        <f t="shared" si="0"/>
        <v>2</v>
      </c>
      <c r="R34" s="581">
        <f t="shared" si="0"/>
        <v>11.3</v>
      </c>
      <c r="S34" s="592">
        <f t="shared" si="1"/>
        <v>32.06</v>
      </c>
      <c r="T34" s="592">
        <f t="shared" si="2"/>
        <v>40</v>
      </c>
      <c r="U34" s="592">
        <f t="shared" si="3"/>
        <v>7.9399999999999977</v>
      </c>
      <c r="V34" s="597">
        <f t="shared" si="4"/>
        <v>1.2476606363069245</v>
      </c>
      <c r="W34" s="582">
        <v>7.95</v>
      </c>
    </row>
    <row r="35" spans="1:23" ht="14.4" customHeight="1" x14ac:dyDescent="0.3">
      <c r="A35" s="644" t="s">
        <v>1975</v>
      </c>
      <c r="B35" s="629">
        <v>1</v>
      </c>
      <c r="C35" s="630">
        <v>14.96</v>
      </c>
      <c r="D35" s="598">
        <v>19</v>
      </c>
      <c r="E35" s="631"/>
      <c r="F35" s="632"/>
      <c r="G35" s="583"/>
      <c r="H35" s="633">
        <v>1</v>
      </c>
      <c r="I35" s="634">
        <v>14.96</v>
      </c>
      <c r="J35" s="584">
        <v>30</v>
      </c>
      <c r="K35" s="635">
        <v>14.96</v>
      </c>
      <c r="L35" s="636">
        <v>10</v>
      </c>
      <c r="M35" s="636">
        <v>89</v>
      </c>
      <c r="N35" s="637">
        <v>29.59</v>
      </c>
      <c r="O35" s="636" t="s">
        <v>1915</v>
      </c>
      <c r="P35" s="638" t="s">
        <v>1976</v>
      </c>
      <c r="Q35" s="639">
        <f t="shared" si="0"/>
        <v>0</v>
      </c>
      <c r="R35" s="639">
        <f t="shared" si="0"/>
        <v>0</v>
      </c>
      <c r="S35" s="629">
        <f t="shared" si="1"/>
        <v>29.59</v>
      </c>
      <c r="T35" s="629">
        <f t="shared" si="2"/>
        <v>30</v>
      </c>
      <c r="U35" s="629">
        <f t="shared" si="3"/>
        <v>0.41000000000000014</v>
      </c>
      <c r="V35" s="640">
        <f t="shared" si="4"/>
        <v>1.013856032443393</v>
      </c>
      <c r="W35" s="585">
        <v>0.41</v>
      </c>
    </row>
    <row r="36" spans="1:23" ht="14.4" customHeight="1" x14ac:dyDescent="0.3">
      <c r="A36" s="645" t="s">
        <v>1977</v>
      </c>
      <c r="B36" s="587">
        <v>7</v>
      </c>
      <c r="C36" s="588">
        <v>3.08</v>
      </c>
      <c r="D36" s="589">
        <v>8.1</v>
      </c>
      <c r="E36" s="595">
        <v>10</v>
      </c>
      <c r="F36" s="573">
        <v>4.22</v>
      </c>
      <c r="G36" s="574">
        <v>5.5</v>
      </c>
      <c r="H36" s="579">
        <v>8</v>
      </c>
      <c r="I36" s="573">
        <v>3.38</v>
      </c>
      <c r="J36" s="574">
        <v>4.8</v>
      </c>
      <c r="K36" s="578">
        <v>0.42</v>
      </c>
      <c r="L36" s="579">
        <v>2</v>
      </c>
      <c r="M36" s="579">
        <v>18</v>
      </c>
      <c r="N36" s="580">
        <v>6.02</v>
      </c>
      <c r="O36" s="579" t="s">
        <v>1915</v>
      </c>
      <c r="P36" s="596" t="s">
        <v>1978</v>
      </c>
      <c r="Q36" s="581">
        <f t="shared" si="0"/>
        <v>1</v>
      </c>
      <c r="R36" s="581">
        <f t="shared" si="0"/>
        <v>0.29999999999999982</v>
      </c>
      <c r="S36" s="592">
        <f t="shared" si="1"/>
        <v>48.16</v>
      </c>
      <c r="T36" s="592">
        <f t="shared" si="2"/>
        <v>38.4</v>
      </c>
      <c r="U36" s="592">
        <f t="shared" si="3"/>
        <v>-9.759999999999998</v>
      </c>
      <c r="V36" s="597">
        <f t="shared" si="4"/>
        <v>0.79734219269102991</v>
      </c>
      <c r="W36" s="582">
        <v>0.98</v>
      </c>
    </row>
    <row r="37" spans="1:23" ht="14.4" customHeight="1" x14ac:dyDescent="0.3">
      <c r="A37" s="644" t="s">
        <v>1979</v>
      </c>
      <c r="B37" s="641">
        <v>10</v>
      </c>
      <c r="C37" s="642">
        <v>9.18</v>
      </c>
      <c r="D37" s="591">
        <v>6.1</v>
      </c>
      <c r="E37" s="631">
        <v>9</v>
      </c>
      <c r="F37" s="632">
        <v>8.26</v>
      </c>
      <c r="G37" s="583">
        <v>8.8000000000000007</v>
      </c>
      <c r="H37" s="636">
        <v>8</v>
      </c>
      <c r="I37" s="632">
        <v>7.34</v>
      </c>
      <c r="J37" s="583">
        <v>5.9</v>
      </c>
      <c r="K37" s="635">
        <v>0.92</v>
      </c>
      <c r="L37" s="636">
        <v>3</v>
      </c>
      <c r="M37" s="636">
        <v>23</v>
      </c>
      <c r="N37" s="637">
        <v>7.83</v>
      </c>
      <c r="O37" s="636" t="s">
        <v>1915</v>
      </c>
      <c r="P37" s="638" t="s">
        <v>1980</v>
      </c>
      <c r="Q37" s="639">
        <f t="shared" si="0"/>
        <v>-2</v>
      </c>
      <c r="R37" s="639">
        <f t="shared" si="0"/>
        <v>-1.8399999999999999</v>
      </c>
      <c r="S37" s="629">
        <f t="shared" si="1"/>
        <v>62.64</v>
      </c>
      <c r="T37" s="629">
        <f t="shared" si="2"/>
        <v>47.2</v>
      </c>
      <c r="U37" s="629">
        <f t="shared" si="3"/>
        <v>-15.439999999999998</v>
      </c>
      <c r="V37" s="640">
        <f t="shared" si="4"/>
        <v>0.75351213282247764</v>
      </c>
      <c r="W37" s="585">
        <v>0.17</v>
      </c>
    </row>
    <row r="38" spans="1:23" ht="14.4" customHeight="1" x14ac:dyDescent="0.3">
      <c r="A38" s="644" t="s">
        <v>1981</v>
      </c>
      <c r="B38" s="641">
        <v>4</v>
      </c>
      <c r="C38" s="642">
        <v>15.41</v>
      </c>
      <c r="D38" s="591">
        <v>18</v>
      </c>
      <c r="E38" s="631">
        <v>1</v>
      </c>
      <c r="F38" s="632">
        <v>3.85</v>
      </c>
      <c r="G38" s="583">
        <v>16</v>
      </c>
      <c r="H38" s="636"/>
      <c r="I38" s="632"/>
      <c r="J38" s="583"/>
      <c r="K38" s="635">
        <v>3.85</v>
      </c>
      <c r="L38" s="636">
        <v>5</v>
      </c>
      <c r="M38" s="636">
        <v>43</v>
      </c>
      <c r="N38" s="637">
        <v>14.37</v>
      </c>
      <c r="O38" s="636" t="s">
        <v>1915</v>
      </c>
      <c r="P38" s="638" t="s">
        <v>1982</v>
      </c>
      <c r="Q38" s="639">
        <f t="shared" si="0"/>
        <v>-4</v>
      </c>
      <c r="R38" s="639">
        <f t="shared" si="0"/>
        <v>-15.41</v>
      </c>
      <c r="S38" s="629" t="str">
        <f t="shared" si="1"/>
        <v/>
      </c>
      <c r="T38" s="629" t="str">
        <f t="shared" si="2"/>
        <v/>
      </c>
      <c r="U38" s="629" t="str">
        <f t="shared" si="3"/>
        <v/>
      </c>
      <c r="V38" s="640" t="str">
        <f t="shared" si="4"/>
        <v/>
      </c>
      <c r="W38" s="585"/>
    </row>
    <row r="39" spans="1:23" ht="14.4" customHeight="1" x14ac:dyDescent="0.3">
      <c r="A39" s="645" t="s">
        <v>1983</v>
      </c>
      <c r="B39" s="587">
        <v>20</v>
      </c>
      <c r="C39" s="588">
        <v>163.99</v>
      </c>
      <c r="D39" s="589">
        <v>17.3</v>
      </c>
      <c r="E39" s="595">
        <v>17</v>
      </c>
      <c r="F39" s="573">
        <v>145.56</v>
      </c>
      <c r="G39" s="574">
        <v>16.2</v>
      </c>
      <c r="H39" s="579">
        <v>15</v>
      </c>
      <c r="I39" s="573">
        <v>129.65</v>
      </c>
      <c r="J39" s="574">
        <v>15.3</v>
      </c>
      <c r="K39" s="578">
        <v>9.09</v>
      </c>
      <c r="L39" s="579">
        <v>8</v>
      </c>
      <c r="M39" s="579">
        <v>72</v>
      </c>
      <c r="N39" s="580">
        <v>23.98</v>
      </c>
      <c r="O39" s="579" t="s">
        <v>1915</v>
      </c>
      <c r="P39" s="596" t="s">
        <v>1984</v>
      </c>
      <c r="Q39" s="581">
        <f t="shared" si="0"/>
        <v>-5</v>
      </c>
      <c r="R39" s="581">
        <f t="shared" si="0"/>
        <v>-34.340000000000003</v>
      </c>
      <c r="S39" s="592">
        <f t="shared" si="1"/>
        <v>359.7</v>
      </c>
      <c r="T39" s="592">
        <f t="shared" si="2"/>
        <v>229.5</v>
      </c>
      <c r="U39" s="592">
        <f t="shared" si="3"/>
        <v>-130.19999999999999</v>
      </c>
      <c r="V39" s="597">
        <f t="shared" si="4"/>
        <v>0.63803169307756469</v>
      </c>
      <c r="W39" s="582">
        <v>35.07</v>
      </c>
    </row>
    <row r="40" spans="1:23" ht="14.4" customHeight="1" x14ac:dyDescent="0.3">
      <c r="A40" s="645" t="s">
        <v>1985</v>
      </c>
      <c r="B40" s="592"/>
      <c r="C40" s="593"/>
      <c r="D40" s="594"/>
      <c r="E40" s="595">
        <v>1</v>
      </c>
      <c r="F40" s="573">
        <v>1.48</v>
      </c>
      <c r="G40" s="574">
        <v>5</v>
      </c>
      <c r="H40" s="575">
        <v>1</v>
      </c>
      <c r="I40" s="576">
        <v>1.48</v>
      </c>
      <c r="J40" s="577">
        <v>11</v>
      </c>
      <c r="K40" s="578">
        <v>1.48</v>
      </c>
      <c r="L40" s="579">
        <v>3</v>
      </c>
      <c r="M40" s="579">
        <v>28</v>
      </c>
      <c r="N40" s="580">
        <v>9.17</v>
      </c>
      <c r="O40" s="579" t="s">
        <v>1915</v>
      </c>
      <c r="P40" s="596" t="s">
        <v>1986</v>
      </c>
      <c r="Q40" s="581">
        <f t="shared" si="0"/>
        <v>1</v>
      </c>
      <c r="R40" s="581">
        <f t="shared" si="0"/>
        <v>1.48</v>
      </c>
      <c r="S40" s="592">
        <f t="shared" si="1"/>
        <v>9.17</v>
      </c>
      <c r="T40" s="592">
        <f t="shared" si="2"/>
        <v>11</v>
      </c>
      <c r="U40" s="592">
        <f t="shared" si="3"/>
        <v>1.83</v>
      </c>
      <c r="V40" s="597">
        <f t="shared" si="4"/>
        <v>1.1995637949836424</v>
      </c>
      <c r="W40" s="582">
        <v>1.83</v>
      </c>
    </row>
    <row r="41" spans="1:23" ht="14.4" customHeight="1" x14ac:dyDescent="0.3">
      <c r="A41" s="644" t="s">
        <v>1987</v>
      </c>
      <c r="B41" s="629">
        <v>1</v>
      </c>
      <c r="C41" s="630">
        <v>3.35</v>
      </c>
      <c r="D41" s="598">
        <v>14</v>
      </c>
      <c r="E41" s="631"/>
      <c r="F41" s="632"/>
      <c r="G41" s="583"/>
      <c r="H41" s="633"/>
      <c r="I41" s="634"/>
      <c r="J41" s="590"/>
      <c r="K41" s="635">
        <v>3.1</v>
      </c>
      <c r="L41" s="636">
        <v>6</v>
      </c>
      <c r="M41" s="636">
        <v>52</v>
      </c>
      <c r="N41" s="637">
        <v>17.309999999999999</v>
      </c>
      <c r="O41" s="636" t="s">
        <v>1915</v>
      </c>
      <c r="P41" s="638" t="s">
        <v>1988</v>
      </c>
      <c r="Q41" s="639">
        <f t="shared" si="0"/>
        <v>-1</v>
      </c>
      <c r="R41" s="639">
        <f t="shared" si="0"/>
        <v>-3.35</v>
      </c>
      <c r="S41" s="629" t="str">
        <f t="shared" si="1"/>
        <v/>
      </c>
      <c r="T41" s="629" t="str">
        <f t="shared" si="2"/>
        <v/>
      </c>
      <c r="U41" s="629" t="str">
        <f t="shared" si="3"/>
        <v/>
      </c>
      <c r="V41" s="640" t="str">
        <f t="shared" si="4"/>
        <v/>
      </c>
      <c r="W41" s="585"/>
    </row>
    <row r="42" spans="1:23" ht="14.4" customHeight="1" x14ac:dyDescent="0.3">
      <c r="A42" s="645" t="s">
        <v>1989</v>
      </c>
      <c r="B42" s="587"/>
      <c r="C42" s="588"/>
      <c r="D42" s="589"/>
      <c r="E42" s="595">
        <v>3</v>
      </c>
      <c r="F42" s="573">
        <v>2.96</v>
      </c>
      <c r="G42" s="574">
        <v>8</v>
      </c>
      <c r="H42" s="579">
        <v>3</v>
      </c>
      <c r="I42" s="573">
        <v>2.96</v>
      </c>
      <c r="J42" s="577">
        <v>10</v>
      </c>
      <c r="K42" s="578">
        <v>0.99</v>
      </c>
      <c r="L42" s="579">
        <v>3</v>
      </c>
      <c r="M42" s="579">
        <v>25</v>
      </c>
      <c r="N42" s="580">
        <v>8.35</v>
      </c>
      <c r="O42" s="579" t="s">
        <v>1915</v>
      </c>
      <c r="P42" s="596" t="s">
        <v>1990</v>
      </c>
      <c r="Q42" s="581">
        <f t="shared" si="0"/>
        <v>3</v>
      </c>
      <c r="R42" s="581">
        <f t="shared" si="0"/>
        <v>2.96</v>
      </c>
      <c r="S42" s="592">
        <f t="shared" si="1"/>
        <v>25.049999999999997</v>
      </c>
      <c r="T42" s="592">
        <f t="shared" si="2"/>
        <v>30</v>
      </c>
      <c r="U42" s="592">
        <f t="shared" si="3"/>
        <v>4.9500000000000028</v>
      </c>
      <c r="V42" s="597">
        <f t="shared" si="4"/>
        <v>1.1976047904191618</v>
      </c>
      <c r="W42" s="582">
        <v>4.96</v>
      </c>
    </row>
    <row r="43" spans="1:23" ht="14.4" customHeight="1" x14ac:dyDescent="0.3">
      <c r="A43" s="644" t="s">
        <v>1991</v>
      </c>
      <c r="B43" s="641">
        <v>29</v>
      </c>
      <c r="C43" s="642">
        <v>30.42</v>
      </c>
      <c r="D43" s="591">
        <v>9.3000000000000007</v>
      </c>
      <c r="E43" s="631">
        <v>20</v>
      </c>
      <c r="F43" s="632">
        <v>21.06</v>
      </c>
      <c r="G43" s="583">
        <v>11.5</v>
      </c>
      <c r="H43" s="636">
        <v>20</v>
      </c>
      <c r="I43" s="632">
        <v>20.92</v>
      </c>
      <c r="J43" s="584">
        <v>9.6</v>
      </c>
      <c r="K43" s="635">
        <v>1.05</v>
      </c>
      <c r="L43" s="636">
        <v>3</v>
      </c>
      <c r="M43" s="636">
        <v>27</v>
      </c>
      <c r="N43" s="637">
        <v>8.93</v>
      </c>
      <c r="O43" s="636" t="s">
        <v>1915</v>
      </c>
      <c r="P43" s="638" t="s">
        <v>1992</v>
      </c>
      <c r="Q43" s="639">
        <f t="shared" si="0"/>
        <v>-9</v>
      </c>
      <c r="R43" s="639">
        <f t="shared" si="0"/>
        <v>-9.5</v>
      </c>
      <c r="S43" s="629">
        <f t="shared" si="1"/>
        <v>178.6</v>
      </c>
      <c r="T43" s="629">
        <f t="shared" si="2"/>
        <v>192</v>
      </c>
      <c r="U43" s="629">
        <f t="shared" si="3"/>
        <v>13.400000000000006</v>
      </c>
      <c r="V43" s="640">
        <f t="shared" si="4"/>
        <v>1.0750279955207167</v>
      </c>
      <c r="W43" s="585">
        <v>16.22</v>
      </c>
    </row>
    <row r="44" spans="1:23" ht="14.4" customHeight="1" x14ac:dyDescent="0.3">
      <c r="A44" s="644" t="s">
        <v>1993</v>
      </c>
      <c r="B44" s="641">
        <v>5</v>
      </c>
      <c r="C44" s="642">
        <v>17.53</v>
      </c>
      <c r="D44" s="591">
        <v>19.600000000000001</v>
      </c>
      <c r="E44" s="631">
        <v>2</v>
      </c>
      <c r="F44" s="632">
        <v>6.85</v>
      </c>
      <c r="G44" s="583">
        <v>14.5</v>
      </c>
      <c r="H44" s="636">
        <v>1</v>
      </c>
      <c r="I44" s="632">
        <v>3.42</v>
      </c>
      <c r="J44" s="583">
        <v>12</v>
      </c>
      <c r="K44" s="635">
        <v>3.42</v>
      </c>
      <c r="L44" s="636">
        <v>5</v>
      </c>
      <c r="M44" s="636">
        <v>42</v>
      </c>
      <c r="N44" s="637">
        <v>14.11</v>
      </c>
      <c r="O44" s="636" t="s">
        <v>1915</v>
      </c>
      <c r="P44" s="638" t="s">
        <v>1994</v>
      </c>
      <c r="Q44" s="639">
        <f t="shared" si="0"/>
        <v>-4</v>
      </c>
      <c r="R44" s="639">
        <f t="shared" si="0"/>
        <v>-14.110000000000001</v>
      </c>
      <c r="S44" s="629">
        <f t="shared" si="1"/>
        <v>14.11</v>
      </c>
      <c r="T44" s="629">
        <f t="shared" si="2"/>
        <v>12</v>
      </c>
      <c r="U44" s="629">
        <f t="shared" si="3"/>
        <v>-2.1099999999999994</v>
      </c>
      <c r="V44" s="640">
        <f t="shared" si="4"/>
        <v>0.85046066619418859</v>
      </c>
      <c r="W44" s="585"/>
    </row>
    <row r="45" spans="1:23" ht="14.4" customHeight="1" x14ac:dyDescent="0.3">
      <c r="A45" s="645" t="s">
        <v>1995</v>
      </c>
      <c r="B45" s="592">
        <v>661</v>
      </c>
      <c r="C45" s="593">
        <v>208.16</v>
      </c>
      <c r="D45" s="594">
        <v>4.7</v>
      </c>
      <c r="E45" s="595">
        <v>788</v>
      </c>
      <c r="F45" s="573">
        <v>248.13</v>
      </c>
      <c r="G45" s="574">
        <v>4.7</v>
      </c>
      <c r="H45" s="575">
        <v>995</v>
      </c>
      <c r="I45" s="576">
        <v>312.98</v>
      </c>
      <c r="J45" s="586">
        <v>4.7</v>
      </c>
      <c r="K45" s="578">
        <v>0.31</v>
      </c>
      <c r="L45" s="579">
        <v>2</v>
      </c>
      <c r="M45" s="579">
        <v>16</v>
      </c>
      <c r="N45" s="580">
        <v>5.19</v>
      </c>
      <c r="O45" s="579" t="s">
        <v>1915</v>
      </c>
      <c r="P45" s="596" t="s">
        <v>1996</v>
      </c>
      <c r="Q45" s="581">
        <f t="shared" si="0"/>
        <v>334</v>
      </c>
      <c r="R45" s="581">
        <f t="shared" si="0"/>
        <v>104.82000000000002</v>
      </c>
      <c r="S45" s="592">
        <f t="shared" si="1"/>
        <v>5164.05</v>
      </c>
      <c r="T45" s="592">
        <f t="shared" si="2"/>
        <v>4676.5</v>
      </c>
      <c r="U45" s="592">
        <f t="shared" si="3"/>
        <v>-487.55000000000018</v>
      </c>
      <c r="V45" s="597">
        <f t="shared" si="4"/>
        <v>0.90558766859344886</v>
      </c>
      <c r="W45" s="582">
        <v>157.65</v>
      </c>
    </row>
    <row r="46" spans="1:23" ht="14.4" customHeight="1" x14ac:dyDescent="0.3">
      <c r="A46" s="644" t="s">
        <v>1997</v>
      </c>
      <c r="B46" s="629">
        <v>624</v>
      </c>
      <c r="C46" s="630">
        <v>258.07</v>
      </c>
      <c r="D46" s="598">
        <v>5.5</v>
      </c>
      <c r="E46" s="631">
        <v>474</v>
      </c>
      <c r="F46" s="632">
        <v>195.35</v>
      </c>
      <c r="G46" s="583">
        <v>5.6</v>
      </c>
      <c r="H46" s="633">
        <v>386</v>
      </c>
      <c r="I46" s="634">
        <v>160</v>
      </c>
      <c r="J46" s="590">
        <v>5.7</v>
      </c>
      <c r="K46" s="635">
        <v>0.41</v>
      </c>
      <c r="L46" s="636">
        <v>2</v>
      </c>
      <c r="M46" s="636">
        <v>19</v>
      </c>
      <c r="N46" s="637">
        <v>6.33</v>
      </c>
      <c r="O46" s="636" t="s">
        <v>1915</v>
      </c>
      <c r="P46" s="638" t="s">
        <v>1998</v>
      </c>
      <c r="Q46" s="639">
        <f t="shared" si="0"/>
        <v>-238</v>
      </c>
      <c r="R46" s="639">
        <f t="shared" si="0"/>
        <v>-98.07</v>
      </c>
      <c r="S46" s="629">
        <f t="shared" si="1"/>
        <v>2443.38</v>
      </c>
      <c r="T46" s="629">
        <f t="shared" si="2"/>
        <v>2200.2000000000003</v>
      </c>
      <c r="U46" s="629">
        <f t="shared" si="3"/>
        <v>-243.17999999999984</v>
      </c>
      <c r="V46" s="640">
        <f t="shared" si="4"/>
        <v>0.90047393364928918</v>
      </c>
      <c r="W46" s="585">
        <v>185.91</v>
      </c>
    </row>
    <row r="47" spans="1:23" ht="14.4" customHeight="1" x14ac:dyDescent="0.3">
      <c r="A47" s="644" t="s">
        <v>1999</v>
      </c>
      <c r="B47" s="629">
        <v>94</v>
      </c>
      <c r="C47" s="630">
        <v>64.010000000000005</v>
      </c>
      <c r="D47" s="598">
        <v>6.5</v>
      </c>
      <c r="E47" s="631">
        <v>36</v>
      </c>
      <c r="F47" s="632">
        <v>24.56</v>
      </c>
      <c r="G47" s="583">
        <v>7.2</v>
      </c>
      <c r="H47" s="633">
        <v>33</v>
      </c>
      <c r="I47" s="634">
        <v>22.18</v>
      </c>
      <c r="J47" s="590">
        <v>5.7</v>
      </c>
      <c r="K47" s="635">
        <v>0.67</v>
      </c>
      <c r="L47" s="636">
        <v>2</v>
      </c>
      <c r="M47" s="636">
        <v>21</v>
      </c>
      <c r="N47" s="637">
        <v>7.07</v>
      </c>
      <c r="O47" s="636" t="s">
        <v>1915</v>
      </c>
      <c r="P47" s="638" t="s">
        <v>2000</v>
      </c>
      <c r="Q47" s="639">
        <f t="shared" si="0"/>
        <v>-61</v>
      </c>
      <c r="R47" s="639">
        <f t="shared" si="0"/>
        <v>-41.830000000000005</v>
      </c>
      <c r="S47" s="629">
        <f t="shared" si="1"/>
        <v>233.31</v>
      </c>
      <c r="T47" s="629">
        <f t="shared" si="2"/>
        <v>188.1</v>
      </c>
      <c r="U47" s="629">
        <f t="shared" si="3"/>
        <v>-45.210000000000008</v>
      </c>
      <c r="V47" s="640">
        <f t="shared" si="4"/>
        <v>0.80622347949080619</v>
      </c>
      <c r="W47" s="585">
        <v>13.79</v>
      </c>
    </row>
    <row r="48" spans="1:23" ht="14.4" customHeight="1" x14ac:dyDescent="0.3">
      <c r="A48" s="645" t="s">
        <v>2001</v>
      </c>
      <c r="B48" s="592"/>
      <c r="C48" s="593"/>
      <c r="D48" s="594"/>
      <c r="E48" s="575">
        <v>1</v>
      </c>
      <c r="F48" s="576">
        <v>7.34</v>
      </c>
      <c r="G48" s="586">
        <v>80</v>
      </c>
      <c r="H48" s="579"/>
      <c r="I48" s="573"/>
      <c r="J48" s="574"/>
      <c r="K48" s="578">
        <v>4.18</v>
      </c>
      <c r="L48" s="579">
        <v>6</v>
      </c>
      <c r="M48" s="579">
        <v>53</v>
      </c>
      <c r="N48" s="580">
        <v>17.5</v>
      </c>
      <c r="O48" s="579" t="s">
        <v>1915</v>
      </c>
      <c r="P48" s="596" t="s">
        <v>2002</v>
      </c>
      <c r="Q48" s="581">
        <f t="shared" si="0"/>
        <v>0</v>
      </c>
      <c r="R48" s="581">
        <f t="shared" si="0"/>
        <v>0</v>
      </c>
      <c r="S48" s="592" t="str">
        <f t="shared" si="1"/>
        <v/>
      </c>
      <c r="T48" s="592" t="str">
        <f t="shared" si="2"/>
        <v/>
      </c>
      <c r="U48" s="592" t="str">
        <f t="shared" si="3"/>
        <v/>
      </c>
      <c r="V48" s="597" t="str">
        <f t="shared" si="4"/>
        <v/>
      </c>
      <c r="W48" s="582"/>
    </row>
    <row r="49" spans="1:23" ht="14.4" customHeight="1" x14ac:dyDescent="0.3">
      <c r="A49" s="645" t="s">
        <v>2003</v>
      </c>
      <c r="B49" s="587">
        <v>4</v>
      </c>
      <c r="C49" s="588">
        <v>0.96</v>
      </c>
      <c r="D49" s="589">
        <v>3.5</v>
      </c>
      <c r="E49" s="595">
        <v>5</v>
      </c>
      <c r="F49" s="573">
        <v>1.2</v>
      </c>
      <c r="G49" s="574">
        <v>2.4</v>
      </c>
      <c r="H49" s="579">
        <v>4</v>
      </c>
      <c r="I49" s="573">
        <v>0.96</v>
      </c>
      <c r="J49" s="574">
        <v>2.8</v>
      </c>
      <c r="K49" s="578">
        <v>0.24</v>
      </c>
      <c r="L49" s="579">
        <v>1</v>
      </c>
      <c r="M49" s="579">
        <v>10</v>
      </c>
      <c r="N49" s="580">
        <v>3.44</v>
      </c>
      <c r="O49" s="579" t="s">
        <v>1915</v>
      </c>
      <c r="P49" s="596" t="s">
        <v>2004</v>
      </c>
      <c r="Q49" s="581">
        <f t="shared" si="0"/>
        <v>0</v>
      </c>
      <c r="R49" s="581">
        <f t="shared" si="0"/>
        <v>0</v>
      </c>
      <c r="S49" s="592">
        <f t="shared" si="1"/>
        <v>13.76</v>
      </c>
      <c r="T49" s="592">
        <f t="shared" si="2"/>
        <v>11.2</v>
      </c>
      <c r="U49" s="592">
        <f t="shared" si="3"/>
        <v>-2.5600000000000005</v>
      </c>
      <c r="V49" s="597">
        <f t="shared" si="4"/>
        <v>0.81395348837209303</v>
      </c>
      <c r="W49" s="582">
        <v>0.56000000000000005</v>
      </c>
    </row>
    <row r="50" spans="1:23" ht="14.4" customHeight="1" x14ac:dyDescent="0.3">
      <c r="A50" s="644" t="s">
        <v>2005</v>
      </c>
      <c r="B50" s="641">
        <v>3</v>
      </c>
      <c r="C50" s="642">
        <v>2.93</v>
      </c>
      <c r="D50" s="591">
        <v>18.7</v>
      </c>
      <c r="E50" s="631">
        <v>1</v>
      </c>
      <c r="F50" s="632">
        <v>0.98</v>
      </c>
      <c r="G50" s="583">
        <v>11</v>
      </c>
      <c r="H50" s="636">
        <v>2</v>
      </c>
      <c r="I50" s="632">
        <v>1.96</v>
      </c>
      <c r="J50" s="584">
        <v>26.5</v>
      </c>
      <c r="K50" s="635">
        <v>0.98</v>
      </c>
      <c r="L50" s="636">
        <v>3</v>
      </c>
      <c r="M50" s="636">
        <v>27</v>
      </c>
      <c r="N50" s="637">
        <v>9.11</v>
      </c>
      <c r="O50" s="636" t="s">
        <v>1915</v>
      </c>
      <c r="P50" s="638" t="s">
        <v>2006</v>
      </c>
      <c r="Q50" s="639">
        <f t="shared" si="0"/>
        <v>-1</v>
      </c>
      <c r="R50" s="639">
        <f t="shared" si="0"/>
        <v>-0.9700000000000002</v>
      </c>
      <c r="S50" s="629">
        <f t="shared" si="1"/>
        <v>18.22</v>
      </c>
      <c r="T50" s="629">
        <f t="shared" si="2"/>
        <v>53</v>
      </c>
      <c r="U50" s="629">
        <f t="shared" si="3"/>
        <v>34.78</v>
      </c>
      <c r="V50" s="640">
        <f t="shared" si="4"/>
        <v>2.9088913282107578</v>
      </c>
      <c r="W50" s="585">
        <v>34.78</v>
      </c>
    </row>
    <row r="51" spans="1:23" ht="14.4" customHeight="1" thickBot="1" x14ac:dyDescent="0.35">
      <c r="A51" s="646" t="s">
        <v>2007</v>
      </c>
      <c r="B51" s="647">
        <v>2</v>
      </c>
      <c r="C51" s="648">
        <v>0.2</v>
      </c>
      <c r="D51" s="649">
        <v>5</v>
      </c>
      <c r="E51" s="650">
        <v>3</v>
      </c>
      <c r="F51" s="651">
        <v>0.3</v>
      </c>
      <c r="G51" s="652">
        <v>5.7</v>
      </c>
      <c r="H51" s="653">
        <v>2</v>
      </c>
      <c r="I51" s="654">
        <v>0.2</v>
      </c>
      <c r="J51" s="655">
        <v>7.5</v>
      </c>
      <c r="K51" s="656">
        <v>0.1</v>
      </c>
      <c r="L51" s="653">
        <v>2</v>
      </c>
      <c r="M51" s="653">
        <v>15</v>
      </c>
      <c r="N51" s="657">
        <v>5.16</v>
      </c>
      <c r="O51" s="653" t="s">
        <v>1915</v>
      </c>
      <c r="P51" s="658" t="s">
        <v>2008</v>
      </c>
      <c r="Q51" s="659">
        <f t="shared" si="0"/>
        <v>0</v>
      </c>
      <c r="R51" s="659">
        <f t="shared" si="0"/>
        <v>0</v>
      </c>
      <c r="S51" s="647">
        <f t="shared" si="1"/>
        <v>10.32</v>
      </c>
      <c r="T51" s="647">
        <f t="shared" si="2"/>
        <v>15</v>
      </c>
      <c r="U51" s="647">
        <f t="shared" si="3"/>
        <v>4.68</v>
      </c>
      <c r="V51" s="660">
        <f t="shared" si="4"/>
        <v>1.4534883720930232</v>
      </c>
      <c r="W51" s="661">
        <v>4.6900000000000004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2:Q1048576">
    <cfRule type="cellIs" dxfId="12" priority="9" stopIfTrue="1" operator="lessThan">
      <formula>0</formula>
    </cfRule>
  </conditionalFormatting>
  <conditionalFormatting sqref="U52:U1048576">
    <cfRule type="cellIs" dxfId="11" priority="8" stopIfTrue="1" operator="greaterThan">
      <formula>0</formula>
    </cfRule>
  </conditionalFormatting>
  <conditionalFormatting sqref="V52:V1048576">
    <cfRule type="cellIs" dxfId="10" priority="7" stopIfTrue="1" operator="greaterThan">
      <formula>1</formula>
    </cfRule>
  </conditionalFormatting>
  <conditionalFormatting sqref="V52:V1048576">
    <cfRule type="cellIs" dxfId="9" priority="4" stopIfTrue="1" operator="greaterThan">
      <formula>1</formula>
    </cfRule>
  </conditionalFormatting>
  <conditionalFormatting sqref="U52:U1048576">
    <cfRule type="cellIs" dxfId="8" priority="5" stopIfTrue="1" operator="greaterThan">
      <formula>0</formula>
    </cfRule>
  </conditionalFormatting>
  <conditionalFormatting sqref="Q52:Q1048576">
    <cfRule type="cellIs" dxfId="7" priority="6" stopIfTrue="1" operator="lessThan">
      <formula>0</formula>
    </cfRule>
  </conditionalFormatting>
  <conditionalFormatting sqref="V5:V51">
    <cfRule type="cellIs" dxfId="6" priority="1" stopIfTrue="1" operator="greaterThan">
      <formula>1</formula>
    </cfRule>
  </conditionalFormatting>
  <conditionalFormatting sqref="U5:U51">
    <cfRule type="cellIs" dxfId="5" priority="2" stopIfTrue="1" operator="greaterThan">
      <formula>0</formula>
    </cfRule>
  </conditionalFormatting>
  <conditionalFormatting sqref="Q5:Q5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291" customWidth="1"/>
    <col min="3" max="3" width="7.21875" style="69" hidden="1" customWidth="1"/>
    <col min="4" max="4" width="7.77734375" style="291" customWidth="1"/>
    <col min="5" max="5" width="7.21875" style="69" hidden="1" customWidth="1"/>
    <col min="6" max="6" width="7.77734375" style="291" customWidth="1"/>
    <col min="7" max="7" width="7.77734375" style="90" customWidth="1"/>
    <col min="8" max="8" width="7.77734375" style="291" customWidth="1"/>
    <col min="9" max="9" width="7.21875" style="69" hidden="1" customWidth="1"/>
    <col min="10" max="10" width="7.77734375" style="291" customWidth="1"/>
    <col min="11" max="11" width="7.21875" style="69" hidden="1" customWidth="1"/>
    <col min="12" max="12" width="7.77734375" style="291" customWidth="1"/>
    <col min="13" max="13" width="7.77734375" style="90" customWidth="1"/>
    <col min="14" max="16384" width="8.88671875" style="69"/>
  </cols>
  <sheetData>
    <row r="1" spans="1:13" ht="18.600000000000001" customHeight="1" thickBot="1" x14ac:dyDescent="0.4">
      <c r="A1" s="380" t="s">
        <v>181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ht="14.4" customHeight="1" thickBot="1" x14ac:dyDescent="0.35">
      <c r="A2" s="478" t="s">
        <v>215</v>
      </c>
      <c r="B2" s="281"/>
      <c r="C2" s="135"/>
      <c r="D2" s="281"/>
      <c r="E2" s="135"/>
      <c r="F2" s="281"/>
      <c r="G2" s="251"/>
      <c r="H2" s="281"/>
      <c r="I2" s="135"/>
      <c r="J2" s="281"/>
      <c r="K2" s="135"/>
      <c r="L2" s="281"/>
      <c r="M2" s="251"/>
    </row>
    <row r="3" spans="1:13" ht="14.4" customHeight="1" thickBot="1" x14ac:dyDescent="0.35">
      <c r="A3" s="358" t="s">
        <v>183</v>
      </c>
      <c r="B3" s="359">
        <f>SUBTOTAL(9,B6:B1048576)</f>
        <v>5158712</v>
      </c>
      <c r="C3" s="360">
        <f t="shared" ref="C3:L3" si="0">SUBTOTAL(9,C6:C1048576)</f>
        <v>8</v>
      </c>
      <c r="D3" s="360">
        <f t="shared" si="0"/>
        <v>4342058</v>
      </c>
      <c r="E3" s="360">
        <f t="shared" si="0"/>
        <v>7.4021961324029544</v>
      </c>
      <c r="F3" s="360">
        <f t="shared" si="0"/>
        <v>4447656</v>
      </c>
      <c r="G3" s="361">
        <f>IF(B3&lt;&gt;0,F3/B3,"")</f>
        <v>0.86216404404820424</v>
      </c>
      <c r="H3" s="359">
        <f t="shared" si="0"/>
        <v>3096.47</v>
      </c>
      <c r="I3" s="360">
        <f t="shared" si="0"/>
        <v>1</v>
      </c>
      <c r="J3" s="360">
        <f t="shared" si="0"/>
        <v>7091.92</v>
      </c>
      <c r="K3" s="360">
        <f t="shared" si="0"/>
        <v>2.2903241432986596</v>
      </c>
      <c r="L3" s="360">
        <f t="shared" si="0"/>
        <v>5099.2</v>
      </c>
      <c r="M3" s="362">
        <f>IF(H3&lt;&gt;0,L3/H3,"")</f>
        <v>1.6467784283393672</v>
      </c>
    </row>
    <row r="4" spans="1:13" ht="14.4" customHeight="1" x14ac:dyDescent="0.3">
      <c r="A4" s="469" t="s">
        <v>143</v>
      </c>
      <c r="B4" s="417" t="s">
        <v>148</v>
      </c>
      <c r="C4" s="418"/>
      <c r="D4" s="418"/>
      <c r="E4" s="418"/>
      <c r="F4" s="418"/>
      <c r="G4" s="419"/>
      <c r="H4" s="417" t="s">
        <v>149</v>
      </c>
      <c r="I4" s="418"/>
      <c r="J4" s="418"/>
      <c r="K4" s="418"/>
      <c r="L4" s="418"/>
      <c r="M4" s="419"/>
    </row>
    <row r="5" spans="1:13" s="88" customFormat="1" ht="14.4" customHeight="1" thickBot="1" x14ac:dyDescent="0.35">
      <c r="A5" s="662"/>
      <c r="B5" s="663">
        <v>2011</v>
      </c>
      <c r="C5" s="664"/>
      <c r="D5" s="664">
        <v>2012</v>
      </c>
      <c r="E5" s="664"/>
      <c r="F5" s="664">
        <v>2013</v>
      </c>
      <c r="G5" s="558" t="s">
        <v>5</v>
      </c>
      <c r="H5" s="663">
        <v>2011</v>
      </c>
      <c r="I5" s="664"/>
      <c r="J5" s="664">
        <v>2012</v>
      </c>
      <c r="K5" s="664"/>
      <c r="L5" s="664">
        <v>2013</v>
      </c>
      <c r="M5" s="558" t="s">
        <v>5</v>
      </c>
    </row>
    <row r="6" spans="1:13" ht="14.4" customHeight="1" x14ac:dyDescent="0.3">
      <c r="A6" s="549" t="s">
        <v>1690</v>
      </c>
      <c r="B6" s="559"/>
      <c r="C6" s="518"/>
      <c r="D6" s="559"/>
      <c r="E6" s="518"/>
      <c r="F6" s="559">
        <v>126</v>
      </c>
      <c r="G6" s="539"/>
      <c r="H6" s="559"/>
      <c r="I6" s="518"/>
      <c r="J6" s="559"/>
      <c r="K6" s="518"/>
      <c r="L6" s="559"/>
      <c r="M6" s="560"/>
    </row>
    <row r="7" spans="1:13" ht="14.4" customHeight="1" x14ac:dyDescent="0.3">
      <c r="A7" s="550" t="s">
        <v>2009</v>
      </c>
      <c r="B7" s="665"/>
      <c r="C7" s="524"/>
      <c r="D7" s="665">
        <v>554</v>
      </c>
      <c r="E7" s="524"/>
      <c r="F7" s="665"/>
      <c r="G7" s="540"/>
      <c r="H7" s="665"/>
      <c r="I7" s="524"/>
      <c r="J7" s="665"/>
      <c r="K7" s="524"/>
      <c r="L7" s="665"/>
      <c r="M7" s="666"/>
    </row>
    <row r="8" spans="1:13" ht="14.4" customHeight="1" x14ac:dyDescent="0.3">
      <c r="A8" s="550" t="s">
        <v>2010</v>
      </c>
      <c r="B8" s="665">
        <v>222585</v>
      </c>
      <c r="C8" s="524">
        <v>1</v>
      </c>
      <c r="D8" s="665">
        <v>192041</v>
      </c>
      <c r="E8" s="524">
        <v>0.86277601815036953</v>
      </c>
      <c r="F8" s="665">
        <v>133473</v>
      </c>
      <c r="G8" s="540">
        <v>0.59964957207358982</v>
      </c>
      <c r="H8" s="665"/>
      <c r="I8" s="524"/>
      <c r="J8" s="665"/>
      <c r="K8" s="524"/>
      <c r="L8" s="665"/>
      <c r="M8" s="666"/>
    </row>
    <row r="9" spans="1:13" ht="14.4" customHeight="1" x14ac:dyDescent="0.3">
      <c r="A9" s="550" t="s">
        <v>2011</v>
      </c>
      <c r="B9" s="665">
        <v>180613</v>
      </c>
      <c r="C9" s="524">
        <v>1</v>
      </c>
      <c r="D9" s="665">
        <v>131640</v>
      </c>
      <c r="E9" s="524">
        <v>0.7288511901136685</v>
      </c>
      <c r="F9" s="665">
        <v>167788</v>
      </c>
      <c r="G9" s="540">
        <v>0.92899182229407629</v>
      </c>
      <c r="H9" s="665"/>
      <c r="I9" s="524"/>
      <c r="J9" s="665"/>
      <c r="K9" s="524"/>
      <c r="L9" s="665"/>
      <c r="M9" s="666"/>
    </row>
    <row r="10" spans="1:13" ht="14.4" customHeight="1" x14ac:dyDescent="0.3">
      <c r="A10" s="550" t="s">
        <v>2012</v>
      </c>
      <c r="B10" s="665">
        <v>2800474</v>
      </c>
      <c r="C10" s="524">
        <v>1</v>
      </c>
      <c r="D10" s="665">
        <v>2261682</v>
      </c>
      <c r="E10" s="524">
        <v>0.80760685512523955</v>
      </c>
      <c r="F10" s="665">
        <v>2351419</v>
      </c>
      <c r="G10" s="540">
        <v>0.8396503591891944</v>
      </c>
      <c r="H10" s="665"/>
      <c r="I10" s="524"/>
      <c r="J10" s="665"/>
      <c r="K10" s="524"/>
      <c r="L10" s="665"/>
      <c r="M10" s="666"/>
    </row>
    <row r="11" spans="1:13" ht="14.4" customHeight="1" x14ac:dyDescent="0.3">
      <c r="A11" s="550" t="s">
        <v>2013</v>
      </c>
      <c r="B11" s="665">
        <v>275208</v>
      </c>
      <c r="C11" s="524">
        <v>1</v>
      </c>
      <c r="D11" s="665">
        <v>223976</v>
      </c>
      <c r="E11" s="524">
        <v>0.81384262085404491</v>
      </c>
      <c r="F11" s="665">
        <v>270066</v>
      </c>
      <c r="G11" s="540">
        <v>0.9813159501177291</v>
      </c>
      <c r="H11" s="665">
        <v>3096.47</v>
      </c>
      <c r="I11" s="524">
        <v>1</v>
      </c>
      <c r="J11" s="665">
        <v>7091.92</v>
      </c>
      <c r="K11" s="524">
        <v>2.2903241432986596</v>
      </c>
      <c r="L11" s="665">
        <v>5099.2</v>
      </c>
      <c r="M11" s="666">
        <v>1.6467784283393672</v>
      </c>
    </row>
    <row r="12" spans="1:13" ht="14.4" customHeight="1" x14ac:dyDescent="0.3">
      <c r="A12" s="550" t="s">
        <v>2014</v>
      </c>
      <c r="B12" s="665">
        <v>902055</v>
      </c>
      <c r="C12" s="524">
        <v>1</v>
      </c>
      <c r="D12" s="665">
        <v>935011</v>
      </c>
      <c r="E12" s="524">
        <v>1.0365343576611181</v>
      </c>
      <c r="F12" s="665">
        <v>1038050</v>
      </c>
      <c r="G12" s="540">
        <v>1.1507613172145823</v>
      </c>
      <c r="H12" s="665"/>
      <c r="I12" s="524"/>
      <c r="J12" s="665"/>
      <c r="K12" s="524"/>
      <c r="L12" s="665"/>
      <c r="M12" s="666"/>
    </row>
    <row r="13" spans="1:13" ht="14.4" customHeight="1" x14ac:dyDescent="0.3">
      <c r="A13" s="550" t="s">
        <v>2015</v>
      </c>
      <c r="B13" s="665">
        <v>65994</v>
      </c>
      <c r="C13" s="524">
        <v>1</v>
      </c>
      <c r="D13" s="665">
        <v>30917</v>
      </c>
      <c r="E13" s="524">
        <v>0.46848198321059492</v>
      </c>
      <c r="F13" s="665">
        <v>50719</v>
      </c>
      <c r="G13" s="540">
        <v>0.76853956420280634</v>
      </c>
      <c r="H13" s="665"/>
      <c r="I13" s="524"/>
      <c r="J13" s="665"/>
      <c r="K13" s="524"/>
      <c r="L13" s="665"/>
      <c r="M13" s="666"/>
    </row>
    <row r="14" spans="1:13" ht="14.4" customHeight="1" x14ac:dyDescent="0.3">
      <c r="A14" s="550" t="s">
        <v>2016</v>
      </c>
      <c r="B14" s="665">
        <v>682099</v>
      </c>
      <c r="C14" s="524">
        <v>1</v>
      </c>
      <c r="D14" s="665">
        <v>508700</v>
      </c>
      <c r="E14" s="524">
        <v>0.74578616886991478</v>
      </c>
      <c r="F14" s="665">
        <v>417949</v>
      </c>
      <c r="G14" s="540">
        <v>0.61273949969139374</v>
      </c>
      <c r="H14" s="665"/>
      <c r="I14" s="524"/>
      <c r="J14" s="665"/>
      <c r="K14" s="524"/>
      <c r="L14" s="665"/>
      <c r="M14" s="666"/>
    </row>
    <row r="15" spans="1:13" ht="14.4" customHeight="1" thickBot="1" x14ac:dyDescent="0.35">
      <c r="A15" s="563" t="s">
        <v>2017</v>
      </c>
      <c r="B15" s="561">
        <v>29684</v>
      </c>
      <c r="C15" s="530">
        <v>1</v>
      </c>
      <c r="D15" s="561">
        <v>57537</v>
      </c>
      <c r="E15" s="530">
        <v>1.938316938418003</v>
      </c>
      <c r="F15" s="561">
        <v>18066</v>
      </c>
      <c r="G15" s="541">
        <v>0.60861069936666212</v>
      </c>
      <c r="H15" s="561"/>
      <c r="I15" s="530"/>
      <c r="J15" s="561"/>
      <c r="K15" s="530"/>
      <c r="L15" s="561"/>
      <c r="M15" s="56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9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7" customWidth="1"/>
    <col min="8" max="9" width="9.33203125" style="97" hidden="1" customWidth="1"/>
    <col min="10" max="11" width="11.109375" style="97" customWidth="1"/>
    <col min="12" max="13" width="9.33203125" style="97" hidden="1" customWidth="1"/>
    <col min="14" max="15" width="11.109375" style="97" customWidth="1"/>
    <col min="16" max="16" width="11.109375" style="90" customWidth="1"/>
    <col min="17" max="17" width="11.109375" style="97" customWidth="1"/>
    <col min="18" max="16384" width="8.88671875" style="69"/>
  </cols>
  <sheetData>
    <row r="1" spans="1:17" ht="18.600000000000001" customHeight="1" thickBot="1" x14ac:dyDescent="0.4">
      <c r="A1" s="380" t="s">
        <v>182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17" ht="14.4" customHeight="1" thickBot="1" x14ac:dyDescent="0.35">
      <c r="A2" s="478" t="s">
        <v>215</v>
      </c>
      <c r="B2" s="135"/>
      <c r="C2" s="135"/>
      <c r="D2" s="135"/>
      <c r="E2" s="135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251"/>
      <c r="Q2" s="138"/>
    </row>
    <row r="3" spans="1:17" ht="14.4" customHeight="1" thickBot="1" x14ac:dyDescent="0.35">
      <c r="E3" s="146" t="s">
        <v>183</v>
      </c>
      <c r="F3" s="293">
        <f t="shared" ref="F3:O3" si="0">SUBTOTAL(9,F6:F1048576)</f>
        <v>48805.75</v>
      </c>
      <c r="G3" s="298">
        <f t="shared" si="0"/>
        <v>5161808.47</v>
      </c>
      <c r="H3" s="299"/>
      <c r="I3" s="299"/>
      <c r="J3" s="293">
        <f t="shared" si="0"/>
        <v>40634.65</v>
      </c>
      <c r="K3" s="298">
        <f t="shared" si="0"/>
        <v>4349149.92</v>
      </c>
      <c r="L3" s="299"/>
      <c r="M3" s="299"/>
      <c r="N3" s="293">
        <f t="shared" si="0"/>
        <v>44486.759999999995</v>
      </c>
      <c r="O3" s="298">
        <f t="shared" si="0"/>
        <v>4452755.2</v>
      </c>
      <c r="P3" s="234">
        <f>IF(G3=0,"",O3/G3)</f>
        <v>0.86263471918399182</v>
      </c>
      <c r="Q3" s="295">
        <f>IF(N3=0,"",O3/N3)</f>
        <v>100.09169469747854</v>
      </c>
    </row>
    <row r="4" spans="1:17" ht="14.4" customHeight="1" x14ac:dyDescent="0.3">
      <c r="A4" s="422" t="s">
        <v>96</v>
      </c>
      <c r="B4" s="421" t="s">
        <v>144</v>
      </c>
      <c r="C4" s="422" t="s">
        <v>145</v>
      </c>
      <c r="D4" s="423" t="s">
        <v>114</v>
      </c>
      <c r="E4" s="424" t="s">
        <v>14</v>
      </c>
      <c r="F4" s="425">
        <v>2011</v>
      </c>
      <c r="G4" s="426"/>
      <c r="H4" s="297"/>
      <c r="I4" s="297"/>
      <c r="J4" s="425">
        <v>2012</v>
      </c>
      <c r="K4" s="426"/>
      <c r="L4" s="297"/>
      <c r="M4" s="297"/>
      <c r="N4" s="425">
        <v>2013</v>
      </c>
      <c r="O4" s="426"/>
      <c r="P4" s="427" t="s">
        <v>5</v>
      </c>
      <c r="Q4" s="420" t="s">
        <v>147</v>
      </c>
    </row>
    <row r="5" spans="1:17" ht="14.4" customHeight="1" thickBot="1" x14ac:dyDescent="0.35">
      <c r="A5" s="564"/>
      <c r="B5" s="565"/>
      <c r="C5" s="564"/>
      <c r="D5" s="566"/>
      <c r="E5" s="567"/>
      <c r="F5" s="568" t="s">
        <v>115</v>
      </c>
      <c r="G5" s="569" t="s">
        <v>17</v>
      </c>
      <c r="H5" s="570"/>
      <c r="I5" s="570"/>
      <c r="J5" s="568" t="s">
        <v>115</v>
      </c>
      <c r="K5" s="569" t="s">
        <v>17</v>
      </c>
      <c r="L5" s="570"/>
      <c r="M5" s="570"/>
      <c r="N5" s="568" t="s">
        <v>115</v>
      </c>
      <c r="O5" s="569" t="s">
        <v>17</v>
      </c>
      <c r="P5" s="571"/>
      <c r="Q5" s="572"/>
    </row>
    <row r="6" spans="1:17" ht="14.4" customHeight="1" x14ac:dyDescent="0.3">
      <c r="A6" s="517" t="s">
        <v>1692</v>
      </c>
      <c r="B6" s="518" t="s">
        <v>2018</v>
      </c>
      <c r="C6" s="518" t="s">
        <v>1694</v>
      </c>
      <c r="D6" s="518" t="s">
        <v>2019</v>
      </c>
      <c r="E6" s="518" t="s">
        <v>2020</v>
      </c>
      <c r="F6" s="521"/>
      <c r="G6" s="521"/>
      <c r="H6" s="521"/>
      <c r="I6" s="521"/>
      <c r="J6" s="521"/>
      <c r="K6" s="521"/>
      <c r="L6" s="521"/>
      <c r="M6" s="521"/>
      <c r="N6" s="521">
        <v>2</v>
      </c>
      <c r="O6" s="521">
        <v>126</v>
      </c>
      <c r="P6" s="539"/>
      <c r="Q6" s="522">
        <v>63</v>
      </c>
    </row>
    <row r="7" spans="1:17" ht="14.4" customHeight="1" x14ac:dyDescent="0.3">
      <c r="A7" s="523" t="s">
        <v>2021</v>
      </c>
      <c r="B7" s="524" t="s">
        <v>2022</v>
      </c>
      <c r="C7" s="524" t="s">
        <v>1694</v>
      </c>
      <c r="D7" s="524" t="s">
        <v>2023</v>
      </c>
      <c r="E7" s="524" t="s">
        <v>2024</v>
      </c>
      <c r="F7" s="527"/>
      <c r="G7" s="527"/>
      <c r="H7" s="527"/>
      <c r="I7" s="527"/>
      <c r="J7" s="527">
        <v>1</v>
      </c>
      <c r="K7" s="527">
        <v>554</v>
      </c>
      <c r="L7" s="527"/>
      <c r="M7" s="527">
        <v>554</v>
      </c>
      <c r="N7" s="527"/>
      <c r="O7" s="527"/>
      <c r="P7" s="540"/>
      <c r="Q7" s="528"/>
    </row>
    <row r="8" spans="1:17" ht="14.4" customHeight="1" x14ac:dyDescent="0.3">
      <c r="A8" s="523" t="s">
        <v>2025</v>
      </c>
      <c r="B8" s="524" t="s">
        <v>2026</v>
      </c>
      <c r="C8" s="524" t="s">
        <v>1694</v>
      </c>
      <c r="D8" s="524" t="s">
        <v>2027</v>
      </c>
      <c r="E8" s="524" t="s">
        <v>2028</v>
      </c>
      <c r="F8" s="527">
        <v>1</v>
      </c>
      <c r="G8" s="527">
        <v>9261</v>
      </c>
      <c r="H8" s="527">
        <v>1</v>
      </c>
      <c r="I8" s="527">
        <v>9261</v>
      </c>
      <c r="J8" s="527">
        <v>2</v>
      </c>
      <c r="K8" s="527">
        <v>18590</v>
      </c>
      <c r="L8" s="527">
        <v>2.0073426195875177</v>
      </c>
      <c r="M8" s="527">
        <v>9295</v>
      </c>
      <c r="N8" s="527"/>
      <c r="O8" s="527"/>
      <c r="P8" s="540"/>
      <c r="Q8" s="528"/>
    </row>
    <row r="9" spans="1:17" ht="14.4" customHeight="1" x14ac:dyDescent="0.3">
      <c r="A9" s="523" t="s">
        <v>2025</v>
      </c>
      <c r="B9" s="524" t="s">
        <v>2026</v>
      </c>
      <c r="C9" s="524" t="s">
        <v>1694</v>
      </c>
      <c r="D9" s="524" t="s">
        <v>2029</v>
      </c>
      <c r="E9" s="524" t="s">
        <v>2030</v>
      </c>
      <c r="F9" s="527">
        <v>8</v>
      </c>
      <c r="G9" s="527">
        <v>9824</v>
      </c>
      <c r="H9" s="527">
        <v>1</v>
      </c>
      <c r="I9" s="527">
        <v>1228</v>
      </c>
      <c r="J9" s="527">
        <v>5</v>
      </c>
      <c r="K9" s="527">
        <v>6180</v>
      </c>
      <c r="L9" s="527">
        <v>0.62907166123778502</v>
      </c>
      <c r="M9" s="527">
        <v>1236</v>
      </c>
      <c r="N9" s="527">
        <v>3</v>
      </c>
      <c r="O9" s="527">
        <v>3735</v>
      </c>
      <c r="P9" s="540">
        <v>0.38019136807817588</v>
      </c>
      <c r="Q9" s="528">
        <v>1245</v>
      </c>
    </row>
    <row r="10" spans="1:17" ht="14.4" customHeight="1" x14ac:dyDescent="0.3">
      <c r="A10" s="523" t="s">
        <v>2025</v>
      </c>
      <c r="B10" s="524" t="s">
        <v>2026</v>
      </c>
      <c r="C10" s="524" t="s">
        <v>1694</v>
      </c>
      <c r="D10" s="524" t="s">
        <v>2031</v>
      </c>
      <c r="E10" s="524" t="s">
        <v>2032</v>
      </c>
      <c r="F10" s="527">
        <v>50</v>
      </c>
      <c r="G10" s="527">
        <v>110550</v>
      </c>
      <c r="H10" s="527">
        <v>1</v>
      </c>
      <c r="I10" s="527">
        <v>2211</v>
      </c>
      <c r="J10" s="527">
        <v>57</v>
      </c>
      <c r="K10" s="527">
        <v>126597</v>
      </c>
      <c r="L10" s="527">
        <v>1.1451560379918588</v>
      </c>
      <c r="M10" s="527">
        <v>2221</v>
      </c>
      <c r="N10" s="527">
        <v>52</v>
      </c>
      <c r="O10" s="527">
        <v>116116</v>
      </c>
      <c r="P10" s="540">
        <v>1.0503482587064676</v>
      </c>
      <c r="Q10" s="528">
        <v>2233</v>
      </c>
    </row>
    <row r="11" spans="1:17" ht="14.4" customHeight="1" x14ac:dyDescent="0.3">
      <c r="A11" s="523" t="s">
        <v>2025</v>
      </c>
      <c r="B11" s="524" t="s">
        <v>2026</v>
      </c>
      <c r="C11" s="524" t="s">
        <v>1694</v>
      </c>
      <c r="D11" s="524" t="s">
        <v>2033</v>
      </c>
      <c r="E11" s="524" t="s">
        <v>2034</v>
      </c>
      <c r="F11" s="527">
        <v>13</v>
      </c>
      <c r="G11" s="527">
        <v>83980</v>
      </c>
      <c r="H11" s="527">
        <v>1</v>
      </c>
      <c r="I11" s="527">
        <v>6460</v>
      </c>
      <c r="J11" s="527">
        <v>6</v>
      </c>
      <c r="K11" s="527">
        <v>38904</v>
      </c>
      <c r="L11" s="527">
        <v>0.46325315551321744</v>
      </c>
      <c r="M11" s="527">
        <v>6484</v>
      </c>
      <c r="N11" s="527">
        <v>2</v>
      </c>
      <c r="O11" s="527">
        <v>13028</v>
      </c>
      <c r="P11" s="540">
        <v>0.15513217432722076</v>
      </c>
      <c r="Q11" s="528">
        <v>6514</v>
      </c>
    </row>
    <row r="12" spans="1:17" ht="14.4" customHeight="1" x14ac:dyDescent="0.3">
      <c r="A12" s="523" t="s">
        <v>2025</v>
      </c>
      <c r="B12" s="524" t="s">
        <v>2026</v>
      </c>
      <c r="C12" s="524" t="s">
        <v>1694</v>
      </c>
      <c r="D12" s="524" t="s">
        <v>2035</v>
      </c>
      <c r="E12" s="524" t="s">
        <v>2036</v>
      </c>
      <c r="F12" s="527">
        <v>1</v>
      </c>
      <c r="G12" s="527">
        <v>3284</v>
      </c>
      <c r="H12" s="527">
        <v>1</v>
      </c>
      <c r="I12" s="527">
        <v>3284</v>
      </c>
      <c r="J12" s="527"/>
      <c r="K12" s="527"/>
      <c r="L12" s="527"/>
      <c r="M12" s="527"/>
      <c r="N12" s="527"/>
      <c r="O12" s="527"/>
      <c r="P12" s="540"/>
      <c r="Q12" s="528"/>
    </row>
    <row r="13" spans="1:17" ht="14.4" customHeight="1" x14ac:dyDescent="0.3">
      <c r="A13" s="523" t="s">
        <v>2025</v>
      </c>
      <c r="B13" s="524" t="s">
        <v>2026</v>
      </c>
      <c r="C13" s="524" t="s">
        <v>1694</v>
      </c>
      <c r="D13" s="524" t="s">
        <v>2037</v>
      </c>
      <c r="E13" s="524" t="s">
        <v>2038</v>
      </c>
      <c r="F13" s="527">
        <v>16</v>
      </c>
      <c r="G13" s="527">
        <v>4688</v>
      </c>
      <c r="H13" s="527">
        <v>1</v>
      </c>
      <c r="I13" s="527">
        <v>293</v>
      </c>
      <c r="J13" s="527">
        <v>6</v>
      </c>
      <c r="K13" s="527">
        <v>1770</v>
      </c>
      <c r="L13" s="527">
        <v>0.37755972696245732</v>
      </c>
      <c r="M13" s="527">
        <v>295</v>
      </c>
      <c r="N13" s="527">
        <v>2</v>
      </c>
      <c r="O13" s="527">
        <v>594</v>
      </c>
      <c r="P13" s="540">
        <v>0.12670648464163822</v>
      </c>
      <c r="Q13" s="528">
        <v>297</v>
      </c>
    </row>
    <row r="14" spans="1:17" ht="14.4" customHeight="1" x14ac:dyDescent="0.3">
      <c r="A14" s="523" t="s">
        <v>2025</v>
      </c>
      <c r="B14" s="524" t="s">
        <v>2026</v>
      </c>
      <c r="C14" s="524" t="s">
        <v>1694</v>
      </c>
      <c r="D14" s="524" t="s">
        <v>2039</v>
      </c>
      <c r="E14" s="524" t="s">
        <v>2040</v>
      </c>
      <c r="F14" s="527">
        <v>1</v>
      </c>
      <c r="G14" s="527">
        <v>998</v>
      </c>
      <c r="H14" s="527">
        <v>1</v>
      </c>
      <c r="I14" s="527">
        <v>998</v>
      </c>
      <c r="J14" s="527"/>
      <c r="K14" s="527"/>
      <c r="L14" s="527"/>
      <c r="M14" s="527"/>
      <c r="N14" s="527"/>
      <c r="O14" s="527"/>
      <c r="P14" s="540"/>
      <c r="Q14" s="528"/>
    </row>
    <row r="15" spans="1:17" ht="14.4" customHeight="1" x14ac:dyDescent="0.3">
      <c r="A15" s="523" t="s">
        <v>2041</v>
      </c>
      <c r="B15" s="524" t="s">
        <v>2026</v>
      </c>
      <c r="C15" s="524" t="s">
        <v>1694</v>
      </c>
      <c r="D15" s="524" t="s">
        <v>2029</v>
      </c>
      <c r="E15" s="524" t="s">
        <v>2030</v>
      </c>
      <c r="F15" s="527"/>
      <c r="G15" s="527"/>
      <c r="H15" s="527"/>
      <c r="I15" s="527"/>
      <c r="J15" s="527"/>
      <c r="K15" s="527"/>
      <c r="L15" s="527"/>
      <c r="M15" s="527"/>
      <c r="N15" s="527">
        <v>4</v>
      </c>
      <c r="O15" s="527">
        <v>4980</v>
      </c>
      <c r="P15" s="540"/>
      <c r="Q15" s="528">
        <v>1245</v>
      </c>
    </row>
    <row r="16" spans="1:17" ht="14.4" customHeight="1" x14ac:dyDescent="0.3">
      <c r="A16" s="523" t="s">
        <v>2041</v>
      </c>
      <c r="B16" s="524" t="s">
        <v>2026</v>
      </c>
      <c r="C16" s="524" t="s">
        <v>1694</v>
      </c>
      <c r="D16" s="524" t="s">
        <v>2031</v>
      </c>
      <c r="E16" s="524" t="s">
        <v>2032</v>
      </c>
      <c r="F16" s="527"/>
      <c r="G16" s="527"/>
      <c r="H16" s="527"/>
      <c r="I16" s="527"/>
      <c r="J16" s="527"/>
      <c r="K16" s="527"/>
      <c r="L16" s="527"/>
      <c r="M16" s="527"/>
      <c r="N16" s="527">
        <v>2</v>
      </c>
      <c r="O16" s="527">
        <v>4466</v>
      </c>
      <c r="P16" s="540"/>
      <c r="Q16" s="528">
        <v>2233</v>
      </c>
    </row>
    <row r="17" spans="1:17" ht="14.4" customHeight="1" x14ac:dyDescent="0.3">
      <c r="A17" s="523" t="s">
        <v>2041</v>
      </c>
      <c r="B17" s="524" t="s">
        <v>2026</v>
      </c>
      <c r="C17" s="524" t="s">
        <v>1694</v>
      </c>
      <c r="D17" s="524" t="s">
        <v>2042</v>
      </c>
      <c r="E17" s="524" t="s">
        <v>2043</v>
      </c>
      <c r="F17" s="527"/>
      <c r="G17" s="527"/>
      <c r="H17" s="527"/>
      <c r="I17" s="527"/>
      <c r="J17" s="527"/>
      <c r="K17" s="527"/>
      <c r="L17" s="527"/>
      <c r="M17" s="527"/>
      <c r="N17" s="527">
        <v>8</v>
      </c>
      <c r="O17" s="527">
        <v>184</v>
      </c>
      <c r="P17" s="540"/>
      <c r="Q17" s="528">
        <v>23</v>
      </c>
    </row>
    <row r="18" spans="1:17" ht="14.4" customHeight="1" x14ac:dyDescent="0.3">
      <c r="A18" s="523" t="s">
        <v>2041</v>
      </c>
      <c r="B18" s="524" t="s">
        <v>2026</v>
      </c>
      <c r="C18" s="524" t="s">
        <v>1694</v>
      </c>
      <c r="D18" s="524" t="s">
        <v>2044</v>
      </c>
      <c r="E18" s="524" t="s">
        <v>2045</v>
      </c>
      <c r="F18" s="527"/>
      <c r="G18" s="527"/>
      <c r="H18" s="527"/>
      <c r="I18" s="527"/>
      <c r="J18" s="527"/>
      <c r="K18" s="527"/>
      <c r="L18" s="527"/>
      <c r="M18" s="527"/>
      <c r="N18" s="527">
        <v>6</v>
      </c>
      <c r="O18" s="527">
        <v>2544</v>
      </c>
      <c r="P18" s="540"/>
      <c r="Q18" s="528">
        <v>424</v>
      </c>
    </row>
    <row r="19" spans="1:17" ht="14.4" customHeight="1" x14ac:dyDescent="0.3">
      <c r="A19" s="523" t="s">
        <v>2041</v>
      </c>
      <c r="B19" s="524" t="s">
        <v>2026</v>
      </c>
      <c r="C19" s="524" t="s">
        <v>1694</v>
      </c>
      <c r="D19" s="524" t="s">
        <v>2039</v>
      </c>
      <c r="E19" s="524" t="s">
        <v>2040</v>
      </c>
      <c r="F19" s="527"/>
      <c r="G19" s="527"/>
      <c r="H19" s="527"/>
      <c r="I19" s="527"/>
      <c r="J19" s="527"/>
      <c r="K19" s="527"/>
      <c r="L19" s="527"/>
      <c r="M19" s="527"/>
      <c r="N19" s="527">
        <v>6</v>
      </c>
      <c r="O19" s="527">
        <v>6012</v>
      </c>
      <c r="P19" s="540"/>
      <c r="Q19" s="528">
        <v>1002</v>
      </c>
    </row>
    <row r="20" spans="1:17" ht="14.4" customHeight="1" x14ac:dyDescent="0.3">
      <c r="A20" s="523" t="s">
        <v>2041</v>
      </c>
      <c r="B20" s="524" t="s">
        <v>2046</v>
      </c>
      <c r="C20" s="524" t="s">
        <v>1694</v>
      </c>
      <c r="D20" s="524" t="s">
        <v>2047</v>
      </c>
      <c r="E20" s="524" t="s">
        <v>2048</v>
      </c>
      <c r="F20" s="527"/>
      <c r="G20" s="527"/>
      <c r="H20" s="527"/>
      <c r="I20" s="527"/>
      <c r="J20" s="527"/>
      <c r="K20" s="527"/>
      <c r="L20" s="527"/>
      <c r="M20" s="527"/>
      <c r="N20" s="527">
        <v>2</v>
      </c>
      <c r="O20" s="527">
        <v>528</v>
      </c>
      <c r="P20" s="540"/>
      <c r="Q20" s="528">
        <v>264</v>
      </c>
    </row>
    <row r="21" spans="1:17" ht="14.4" customHeight="1" x14ac:dyDescent="0.3">
      <c r="A21" s="523" t="s">
        <v>2041</v>
      </c>
      <c r="B21" s="524" t="s">
        <v>2046</v>
      </c>
      <c r="C21" s="524" t="s">
        <v>1694</v>
      </c>
      <c r="D21" s="524" t="s">
        <v>2049</v>
      </c>
      <c r="E21" s="524" t="s">
        <v>2050</v>
      </c>
      <c r="F21" s="527"/>
      <c r="G21" s="527"/>
      <c r="H21" s="527"/>
      <c r="I21" s="527"/>
      <c r="J21" s="527"/>
      <c r="K21" s="527"/>
      <c r="L21" s="527"/>
      <c r="M21" s="527"/>
      <c r="N21" s="527">
        <v>2</v>
      </c>
      <c r="O21" s="527">
        <v>1830</v>
      </c>
      <c r="P21" s="540"/>
      <c r="Q21" s="528">
        <v>915</v>
      </c>
    </row>
    <row r="22" spans="1:17" ht="14.4" customHeight="1" x14ac:dyDescent="0.3">
      <c r="A22" s="523" t="s">
        <v>2041</v>
      </c>
      <c r="B22" s="524" t="s">
        <v>2046</v>
      </c>
      <c r="C22" s="524" t="s">
        <v>1694</v>
      </c>
      <c r="D22" s="524" t="s">
        <v>2051</v>
      </c>
      <c r="E22" s="524" t="s">
        <v>2052</v>
      </c>
      <c r="F22" s="527">
        <v>1</v>
      </c>
      <c r="G22" s="527">
        <v>189</v>
      </c>
      <c r="H22" s="527">
        <v>1</v>
      </c>
      <c r="I22" s="527">
        <v>189</v>
      </c>
      <c r="J22" s="527"/>
      <c r="K22" s="527"/>
      <c r="L22" s="527"/>
      <c r="M22" s="527"/>
      <c r="N22" s="527"/>
      <c r="O22" s="527"/>
      <c r="P22" s="540"/>
      <c r="Q22" s="528"/>
    </row>
    <row r="23" spans="1:17" ht="14.4" customHeight="1" x14ac:dyDescent="0.3">
      <c r="A23" s="523" t="s">
        <v>2041</v>
      </c>
      <c r="B23" s="524" t="s">
        <v>2046</v>
      </c>
      <c r="C23" s="524" t="s">
        <v>1694</v>
      </c>
      <c r="D23" s="524" t="s">
        <v>2053</v>
      </c>
      <c r="E23" s="524" t="s">
        <v>2054</v>
      </c>
      <c r="F23" s="527"/>
      <c r="G23" s="527"/>
      <c r="H23" s="527"/>
      <c r="I23" s="527"/>
      <c r="J23" s="527"/>
      <c r="K23" s="527"/>
      <c r="L23" s="527"/>
      <c r="M23" s="527"/>
      <c r="N23" s="527">
        <v>2</v>
      </c>
      <c r="O23" s="527">
        <v>1784</v>
      </c>
      <c r="P23" s="540"/>
      <c r="Q23" s="528">
        <v>892</v>
      </c>
    </row>
    <row r="24" spans="1:17" ht="14.4" customHeight="1" x14ac:dyDescent="0.3">
      <c r="A24" s="523" t="s">
        <v>2041</v>
      </c>
      <c r="B24" s="524" t="s">
        <v>2046</v>
      </c>
      <c r="C24" s="524" t="s">
        <v>1694</v>
      </c>
      <c r="D24" s="524" t="s">
        <v>2055</v>
      </c>
      <c r="E24" s="524" t="s">
        <v>2056</v>
      </c>
      <c r="F24" s="527"/>
      <c r="G24" s="527"/>
      <c r="H24" s="527"/>
      <c r="I24" s="527"/>
      <c r="J24" s="527"/>
      <c r="K24" s="527"/>
      <c r="L24" s="527"/>
      <c r="M24" s="527"/>
      <c r="N24" s="527">
        <v>15</v>
      </c>
      <c r="O24" s="527">
        <v>5250</v>
      </c>
      <c r="P24" s="540"/>
      <c r="Q24" s="528">
        <v>350</v>
      </c>
    </row>
    <row r="25" spans="1:17" ht="14.4" customHeight="1" x14ac:dyDescent="0.3">
      <c r="A25" s="523" t="s">
        <v>2041</v>
      </c>
      <c r="B25" s="524" t="s">
        <v>2046</v>
      </c>
      <c r="C25" s="524" t="s">
        <v>1694</v>
      </c>
      <c r="D25" s="524" t="s">
        <v>2057</v>
      </c>
      <c r="E25" s="524" t="s">
        <v>2058</v>
      </c>
      <c r="F25" s="527">
        <v>11</v>
      </c>
      <c r="G25" s="527">
        <v>704</v>
      </c>
      <c r="H25" s="527">
        <v>1</v>
      </c>
      <c r="I25" s="527">
        <v>64</v>
      </c>
      <c r="J25" s="527">
        <v>13</v>
      </c>
      <c r="K25" s="527">
        <v>832</v>
      </c>
      <c r="L25" s="527">
        <v>1.1818181818181819</v>
      </c>
      <c r="M25" s="527">
        <v>64</v>
      </c>
      <c r="N25" s="527">
        <v>18</v>
      </c>
      <c r="O25" s="527">
        <v>1170</v>
      </c>
      <c r="P25" s="540">
        <v>1.6619318181818181</v>
      </c>
      <c r="Q25" s="528">
        <v>65</v>
      </c>
    </row>
    <row r="26" spans="1:17" ht="14.4" customHeight="1" x14ac:dyDescent="0.3">
      <c r="A26" s="523" t="s">
        <v>2041</v>
      </c>
      <c r="B26" s="524" t="s">
        <v>2046</v>
      </c>
      <c r="C26" s="524" t="s">
        <v>1694</v>
      </c>
      <c r="D26" s="524" t="s">
        <v>2059</v>
      </c>
      <c r="E26" s="524" t="s">
        <v>2060</v>
      </c>
      <c r="F26" s="527"/>
      <c r="G26" s="527"/>
      <c r="H26" s="527"/>
      <c r="I26" s="527"/>
      <c r="J26" s="527"/>
      <c r="K26" s="527"/>
      <c r="L26" s="527"/>
      <c r="M26" s="527"/>
      <c r="N26" s="527">
        <v>2</v>
      </c>
      <c r="O26" s="527">
        <v>1090</v>
      </c>
      <c r="P26" s="540"/>
      <c r="Q26" s="528">
        <v>545</v>
      </c>
    </row>
    <row r="27" spans="1:17" ht="14.4" customHeight="1" x14ac:dyDescent="0.3">
      <c r="A27" s="523" t="s">
        <v>2041</v>
      </c>
      <c r="B27" s="524" t="s">
        <v>2046</v>
      </c>
      <c r="C27" s="524" t="s">
        <v>1694</v>
      </c>
      <c r="D27" s="524" t="s">
        <v>2061</v>
      </c>
      <c r="E27" s="524" t="s">
        <v>2062</v>
      </c>
      <c r="F27" s="527">
        <v>1</v>
      </c>
      <c r="G27" s="527">
        <v>589</v>
      </c>
      <c r="H27" s="527">
        <v>1</v>
      </c>
      <c r="I27" s="527">
        <v>589</v>
      </c>
      <c r="J27" s="527"/>
      <c r="K27" s="527"/>
      <c r="L27" s="527"/>
      <c r="M27" s="527"/>
      <c r="N27" s="527">
        <v>2</v>
      </c>
      <c r="O27" s="527">
        <v>1180</v>
      </c>
      <c r="P27" s="540">
        <v>2.0033955857385397</v>
      </c>
      <c r="Q27" s="528">
        <v>590</v>
      </c>
    </row>
    <row r="28" spans="1:17" ht="14.4" customHeight="1" x14ac:dyDescent="0.3">
      <c r="A28" s="523" t="s">
        <v>2041</v>
      </c>
      <c r="B28" s="524" t="s">
        <v>2046</v>
      </c>
      <c r="C28" s="524" t="s">
        <v>1694</v>
      </c>
      <c r="D28" s="524" t="s">
        <v>2063</v>
      </c>
      <c r="E28" s="524" t="s">
        <v>2064</v>
      </c>
      <c r="F28" s="527"/>
      <c r="G28" s="527"/>
      <c r="H28" s="527"/>
      <c r="I28" s="527"/>
      <c r="J28" s="527"/>
      <c r="K28" s="527"/>
      <c r="L28" s="527"/>
      <c r="M28" s="527"/>
      <c r="N28" s="527">
        <v>2</v>
      </c>
      <c r="O28" s="527">
        <v>1180</v>
      </c>
      <c r="P28" s="540"/>
      <c r="Q28" s="528">
        <v>590</v>
      </c>
    </row>
    <row r="29" spans="1:17" ht="14.4" customHeight="1" x14ac:dyDescent="0.3">
      <c r="A29" s="523" t="s">
        <v>2041</v>
      </c>
      <c r="B29" s="524" t="s">
        <v>2046</v>
      </c>
      <c r="C29" s="524" t="s">
        <v>1694</v>
      </c>
      <c r="D29" s="524" t="s">
        <v>2065</v>
      </c>
      <c r="E29" s="524" t="s">
        <v>2066</v>
      </c>
      <c r="F29" s="527"/>
      <c r="G29" s="527"/>
      <c r="H29" s="527"/>
      <c r="I29" s="527"/>
      <c r="J29" s="527"/>
      <c r="K29" s="527"/>
      <c r="L29" s="527"/>
      <c r="M29" s="527"/>
      <c r="N29" s="527">
        <v>2</v>
      </c>
      <c r="O29" s="527">
        <v>1230</v>
      </c>
      <c r="P29" s="540"/>
      <c r="Q29" s="528">
        <v>615</v>
      </c>
    </row>
    <row r="30" spans="1:17" ht="14.4" customHeight="1" x14ac:dyDescent="0.3">
      <c r="A30" s="523" t="s">
        <v>2041</v>
      </c>
      <c r="B30" s="524" t="s">
        <v>2046</v>
      </c>
      <c r="C30" s="524" t="s">
        <v>1694</v>
      </c>
      <c r="D30" s="524" t="s">
        <v>2067</v>
      </c>
      <c r="E30" s="524" t="s">
        <v>2068</v>
      </c>
      <c r="F30" s="527"/>
      <c r="G30" s="527"/>
      <c r="H30" s="527"/>
      <c r="I30" s="527"/>
      <c r="J30" s="527"/>
      <c r="K30" s="527"/>
      <c r="L30" s="527"/>
      <c r="M30" s="527"/>
      <c r="N30" s="527">
        <v>2</v>
      </c>
      <c r="O30" s="527">
        <v>1468</v>
      </c>
      <c r="P30" s="540"/>
      <c r="Q30" s="528">
        <v>734</v>
      </c>
    </row>
    <row r="31" spans="1:17" ht="14.4" customHeight="1" x14ac:dyDescent="0.3">
      <c r="A31" s="523" t="s">
        <v>2041</v>
      </c>
      <c r="B31" s="524" t="s">
        <v>2046</v>
      </c>
      <c r="C31" s="524" t="s">
        <v>1694</v>
      </c>
      <c r="D31" s="524" t="s">
        <v>2069</v>
      </c>
      <c r="E31" s="524" t="s">
        <v>2070</v>
      </c>
      <c r="F31" s="527"/>
      <c r="G31" s="527"/>
      <c r="H31" s="527"/>
      <c r="I31" s="527"/>
      <c r="J31" s="527"/>
      <c r="K31" s="527"/>
      <c r="L31" s="527"/>
      <c r="M31" s="527"/>
      <c r="N31" s="527">
        <v>2</v>
      </c>
      <c r="O31" s="527">
        <v>688</v>
      </c>
      <c r="P31" s="540"/>
      <c r="Q31" s="528">
        <v>344</v>
      </c>
    </row>
    <row r="32" spans="1:17" ht="14.4" customHeight="1" x14ac:dyDescent="0.3">
      <c r="A32" s="523" t="s">
        <v>2041</v>
      </c>
      <c r="B32" s="524" t="s">
        <v>2046</v>
      </c>
      <c r="C32" s="524" t="s">
        <v>1694</v>
      </c>
      <c r="D32" s="524" t="s">
        <v>2071</v>
      </c>
      <c r="E32" s="524" t="s">
        <v>2072</v>
      </c>
      <c r="F32" s="527"/>
      <c r="G32" s="527"/>
      <c r="H32" s="527"/>
      <c r="I32" s="527"/>
      <c r="J32" s="527"/>
      <c r="K32" s="527"/>
      <c r="L32" s="527"/>
      <c r="M32" s="527"/>
      <c r="N32" s="527">
        <v>2</v>
      </c>
      <c r="O32" s="527">
        <v>1476</v>
      </c>
      <c r="P32" s="540"/>
      <c r="Q32" s="528">
        <v>738</v>
      </c>
    </row>
    <row r="33" spans="1:17" ht="14.4" customHeight="1" x14ac:dyDescent="0.3">
      <c r="A33" s="523" t="s">
        <v>2041</v>
      </c>
      <c r="B33" s="524" t="s">
        <v>2046</v>
      </c>
      <c r="C33" s="524" t="s">
        <v>1694</v>
      </c>
      <c r="D33" s="524" t="s">
        <v>2073</v>
      </c>
      <c r="E33" s="524" t="s">
        <v>2074</v>
      </c>
      <c r="F33" s="527">
        <v>2073</v>
      </c>
      <c r="G33" s="527">
        <v>47679</v>
      </c>
      <c r="H33" s="527">
        <v>1</v>
      </c>
      <c r="I33" s="527">
        <v>23</v>
      </c>
      <c r="J33" s="527">
        <v>1667</v>
      </c>
      <c r="K33" s="527">
        <v>38341</v>
      </c>
      <c r="L33" s="527">
        <v>0.80414857694163044</v>
      </c>
      <c r="M33" s="527">
        <v>23</v>
      </c>
      <c r="N33" s="527">
        <v>1547</v>
      </c>
      <c r="O33" s="527">
        <v>37128</v>
      </c>
      <c r="P33" s="540">
        <v>0.77870760712263265</v>
      </c>
      <c r="Q33" s="528">
        <v>24</v>
      </c>
    </row>
    <row r="34" spans="1:17" ht="14.4" customHeight="1" x14ac:dyDescent="0.3">
      <c r="A34" s="523" t="s">
        <v>2041</v>
      </c>
      <c r="B34" s="524" t="s">
        <v>2046</v>
      </c>
      <c r="C34" s="524" t="s">
        <v>1694</v>
      </c>
      <c r="D34" s="524" t="s">
        <v>2075</v>
      </c>
      <c r="E34" s="524" t="s">
        <v>2076</v>
      </c>
      <c r="F34" s="527">
        <v>245</v>
      </c>
      <c r="G34" s="527">
        <v>5635</v>
      </c>
      <c r="H34" s="527">
        <v>1</v>
      </c>
      <c r="I34" s="527">
        <v>23</v>
      </c>
      <c r="J34" s="527">
        <v>124</v>
      </c>
      <c r="K34" s="527">
        <v>2852</v>
      </c>
      <c r="L34" s="527">
        <v>0.5061224489795918</v>
      </c>
      <c r="M34" s="527">
        <v>23</v>
      </c>
      <c r="N34" s="527">
        <v>102</v>
      </c>
      <c r="O34" s="527">
        <v>2346</v>
      </c>
      <c r="P34" s="540">
        <v>0.41632653061224489</v>
      </c>
      <c r="Q34" s="528">
        <v>23</v>
      </c>
    </row>
    <row r="35" spans="1:17" ht="14.4" customHeight="1" x14ac:dyDescent="0.3">
      <c r="A35" s="523" t="s">
        <v>2041</v>
      </c>
      <c r="B35" s="524" t="s">
        <v>2046</v>
      </c>
      <c r="C35" s="524" t="s">
        <v>1694</v>
      </c>
      <c r="D35" s="524" t="s">
        <v>2077</v>
      </c>
      <c r="E35" s="524" t="s">
        <v>2078</v>
      </c>
      <c r="F35" s="527">
        <v>62</v>
      </c>
      <c r="G35" s="527">
        <v>13392</v>
      </c>
      <c r="H35" s="527">
        <v>1</v>
      </c>
      <c r="I35" s="527">
        <v>216</v>
      </c>
      <c r="J35" s="527">
        <v>38</v>
      </c>
      <c r="K35" s="527">
        <v>8208</v>
      </c>
      <c r="L35" s="527">
        <v>0.61290322580645162</v>
      </c>
      <c r="M35" s="527">
        <v>216</v>
      </c>
      <c r="N35" s="527">
        <v>42</v>
      </c>
      <c r="O35" s="527">
        <v>9072</v>
      </c>
      <c r="P35" s="540">
        <v>0.67741935483870963</v>
      </c>
      <c r="Q35" s="528">
        <v>216</v>
      </c>
    </row>
    <row r="36" spans="1:17" ht="14.4" customHeight="1" x14ac:dyDescent="0.3">
      <c r="A36" s="523" t="s">
        <v>2041</v>
      </c>
      <c r="B36" s="524" t="s">
        <v>2046</v>
      </c>
      <c r="C36" s="524" t="s">
        <v>1694</v>
      </c>
      <c r="D36" s="524" t="s">
        <v>2079</v>
      </c>
      <c r="E36" s="524" t="s">
        <v>2080</v>
      </c>
      <c r="F36" s="527">
        <v>2</v>
      </c>
      <c r="G36" s="527">
        <v>318</v>
      </c>
      <c r="H36" s="527">
        <v>1</v>
      </c>
      <c r="I36" s="527">
        <v>159</v>
      </c>
      <c r="J36" s="527"/>
      <c r="K36" s="527"/>
      <c r="L36" s="527"/>
      <c r="M36" s="527"/>
      <c r="N36" s="527"/>
      <c r="O36" s="527"/>
      <c r="P36" s="540"/>
      <c r="Q36" s="528"/>
    </row>
    <row r="37" spans="1:17" ht="14.4" customHeight="1" x14ac:dyDescent="0.3">
      <c r="A37" s="523" t="s">
        <v>2041</v>
      </c>
      <c r="B37" s="524" t="s">
        <v>2046</v>
      </c>
      <c r="C37" s="524" t="s">
        <v>1694</v>
      </c>
      <c r="D37" s="524" t="s">
        <v>2081</v>
      </c>
      <c r="E37" s="524" t="s">
        <v>2082</v>
      </c>
      <c r="F37" s="527">
        <v>34</v>
      </c>
      <c r="G37" s="527">
        <v>8602</v>
      </c>
      <c r="H37" s="527">
        <v>1</v>
      </c>
      <c r="I37" s="527">
        <v>253</v>
      </c>
      <c r="J37" s="527">
        <v>19</v>
      </c>
      <c r="K37" s="527">
        <v>4807</v>
      </c>
      <c r="L37" s="527">
        <v>0.55882352941176472</v>
      </c>
      <c r="M37" s="527">
        <v>253</v>
      </c>
      <c r="N37" s="527">
        <v>22</v>
      </c>
      <c r="O37" s="527">
        <v>5566</v>
      </c>
      <c r="P37" s="540">
        <v>0.6470588235294118</v>
      </c>
      <c r="Q37" s="528">
        <v>253</v>
      </c>
    </row>
    <row r="38" spans="1:17" ht="14.4" customHeight="1" x14ac:dyDescent="0.3">
      <c r="A38" s="523" t="s">
        <v>2041</v>
      </c>
      <c r="B38" s="524" t="s">
        <v>2046</v>
      </c>
      <c r="C38" s="524" t="s">
        <v>1694</v>
      </c>
      <c r="D38" s="524" t="s">
        <v>2083</v>
      </c>
      <c r="E38" s="524" t="s">
        <v>2084</v>
      </c>
      <c r="F38" s="527"/>
      <c r="G38" s="527"/>
      <c r="H38" s="527"/>
      <c r="I38" s="527"/>
      <c r="J38" s="527">
        <v>1</v>
      </c>
      <c r="K38" s="527">
        <v>35</v>
      </c>
      <c r="L38" s="527"/>
      <c r="M38" s="527">
        <v>35</v>
      </c>
      <c r="N38" s="527"/>
      <c r="O38" s="527"/>
      <c r="P38" s="540"/>
      <c r="Q38" s="528"/>
    </row>
    <row r="39" spans="1:17" ht="14.4" customHeight="1" x14ac:dyDescent="0.3">
      <c r="A39" s="523" t="s">
        <v>2041</v>
      </c>
      <c r="B39" s="524" t="s">
        <v>2046</v>
      </c>
      <c r="C39" s="524" t="s">
        <v>1694</v>
      </c>
      <c r="D39" s="524" t="s">
        <v>2085</v>
      </c>
      <c r="E39" s="524" t="s">
        <v>2086</v>
      </c>
      <c r="F39" s="527">
        <v>26</v>
      </c>
      <c r="G39" s="527">
        <v>1404</v>
      </c>
      <c r="H39" s="527">
        <v>1</v>
      </c>
      <c r="I39" s="527">
        <v>54</v>
      </c>
      <c r="J39" s="527">
        <v>17</v>
      </c>
      <c r="K39" s="527">
        <v>918</v>
      </c>
      <c r="L39" s="527">
        <v>0.65384615384615385</v>
      </c>
      <c r="M39" s="527">
        <v>54</v>
      </c>
      <c r="N39" s="527">
        <v>21</v>
      </c>
      <c r="O39" s="527">
        <v>1134</v>
      </c>
      <c r="P39" s="540">
        <v>0.80769230769230771</v>
      </c>
      <c r="Q39" s="528">
        <v>54</v>
      </c>
    </row>
    <row r="40" spans="1:17" ht="14.4" customHeight="1" x14ac:dyDescent="0.3">
      <c r="A40" s="523" t="s">
        <v>2041</v>
      </c>
      <c r="B40" s="524" t="s">
        <v>2046</v>
      </c>
      <c r="C40" s="524" t="s">
        <v>1694</v>
      </c>
      <c r="D40" s="524" t="s">
        <v>2087</v>
      </c>
      <c r="E40" s="524" t="s">
        <v>2088</v>
      </c>
      <c r="F40" s="527">
        <v>128</v>
      </c>
      <c r="G40" s="527">
        <v>9856</v>
      </c>
      <c r="H40" s="527">
        <v>1</v>
      </c>
      <c r="I40" s="527">
        <v>77</v>
      </c>
      <c r="J40" s="527">
        <v>70</v>
      </c>
      <c r="K40" s="527">
        <v>5390</v>
      </c>
      <c r="L40" s="527">
        <v>0.546875</v>
      </c>
      <c r="M40" s="527">
        <v>77</v>
      </c>
      <c r="N40" s="527">
        <v>83</v>
      </c>
      <c r="O40" s="527">
        <v>6391</v>
      </c>
      <c r="P40" s="540">
        <v>0.6484375</v>
      </c>
      <c r="Q40" s="528">
        <v>77</v>
      </c>
    </row>
    <row r="41" spans="1:17" ht="14.4" customHeight="1" x14ac:dyDescent="0.3">
      <c r="A41" s="523" t="s">
        <v>2041</v>
      </c>
      <c r="B41" s="524" t="s">
        <v>2046</v>
      </c>
      <c r="C41" s="524" t="s">
        <v>1694</v>
      </c>
      <c r="D41" s="524" t="s">
        <v>2089</v>
      </c>
      <c r="E41" s="524" t="s">
        <v>2090</v>
      </c>
      <c r="F41" s="527">
        <v>2386</v>
      </c>
      <c r="G41" s="527">
        <v>52492</v>
      </c>
      <c r="H41" s="527">
        <v>1</v>
      </c>
      <c r="I41" s="527">
        <v>22</v>
      </c>
      <c r="J41" s="527">
        <v>1835</v>
      </c>
      <c r="K41" s="527">
        <v>40370</v>
      </c>
      <c r="L41" s="527">
        <v>0.76906957250628671</v>
      </c>
      <c r="M41" s="527">
        <v>22</v>
      </c>
      <c r="N41" s="527">
        <v>1689</v>
      </c>
      <c r="O41" s="527">
        <v>37158</v>
      </c>
      <c r="P41" s="540">
        <v>0.70787929589270748</v>
      </c>
      <c r="Q41" s="528">
        <v>22</v>
      </c>
    </row>
    <row r="42" spans="1:17" ht="14.4" customHeight="1" x14ac:dyDescent="0.3">
      <c r="A42" s="523" t="s">
        <v>2041</v>
      </c>
      <c r="B42" s="524" t="s">
        <v>2046</v>
      </c>
      <c r="C42" s="524" t="s">
        <v>1694</v>
      </c>
      <c r="D42" s="524" t="s">
        <v>2091</v>
      </c>
      <c r="E42" s="524" t="s">
        <v>2092</v>
      </c>
      <c r="F42" s="527"/>
      <c r="G42" s="527"/>
      <c r="H42" s="527"/>
      <c r="I42" s="527"/>
      <c r="J42" s="527">
        <v>2</v>
      </c>
      <c r="K42" s="527">
        <v>190</v>
      </c>
      <c r="L42" s="527"/>
      <c r="M42" s="527">
        <v>95</v>
      </c>
      <c r="N42" s="527">
        <v>2</v>
      </c>
      <c r="O42" s="527">
        <v>192</v>
      </c>
      <c r="P42" s="540"/>
      <c r="Q42" s="528">
        <v>96</v>
      </c>
    </row>
    <row r="43" spans="1:17" ht="14.4" customHeight="1" x14ac:dyDescent="0.3">
      <c r="A43" s="523" t="s">
        <v>2041</v>
      </c>
      <c r="B43" s="524" t="s">
        <v>2046</v>
      </c>
      <c r="C43" s="524" t="s">
        <v>1694</v>
      </c>
      <c r="D43" s="524" t="s">
        <v>2093</v>
      </c>
      <c r="E43" s="524" t="s">
        <v>2094</v>
      </c>
      <c r="F43" s="527">
        <v>72</v>
      </c>
      <c r="G43" s="527">
        <v>12960</v>
      </c>
      <c r="H43" s="527">
        <v>1</v>
      </c>
      <c r="I43" s="527">
        <v>180</v>
      </c>
      <c r="J43" s="527">
        <v>23</v>
      </c>
      <c r="K43" s="527">
        <v>4140</v>
      </c>
      <c r="L43" s="527">
        <v>0.31944444444444442</v>
      </c>
      <c r="M43" s="527">
        <v>180</v>
      </c>
      <c r="N43" s="527">
        <v>31</v>
      </c>
      <c r="O43" s="527">
        <v>5580</v>
      </c>
      <c r="P43" s="540">
        <v>0.43055555555555558</v>
      </c>
      <c r="Q43" s="528">
        <v>180</v>
      </c>
    </row>
    <row r="44" spans="1:17" ht="14.4" customHeight="1" x14ac:dyDescent="0.3">
      <c r="A44" s="523" t="s">
        <v>2041</v>
      </c>
      <c r="B44" s="524" t="s">
        <v>2046</v>
      </c>
      <c r="C44" s="524" t="s">
        <v>1694</v>
      </c>
      <c r="D44" s="524" t="s">
        <v>2095</v>
      </c>
      <c r="E44" s="524" t="s">
        <v>2096</v>
      </c>
      <c r="F44" s="527"/>
      <c r="G44" s="527"/>
      <c r="H44" s="527"/>
      <c r="I44" s="527"/>
      <c r="J44" s="527"/>
      <c r="K44" s="527"/>
      <c r="L44" s="527"/>
      <c r="M44" s="527"/>
      <c r="N44" s="527">
        <v>1</v>
      </c>
      <c r="O44" s="527">
        <v>627</v>
      </c>
      <c r="P44" s="540"/>
      <c r="Q44" s="528">
        <v>627</v>
      </c>
    </row>
    <row r="45" spans="1:17" ht="14.4" customHeight="1" x14ac:dyDescent="0.3">
      <c r="A45" s="523" t="s">
        <v>2041</v>
      </c>
      <c r="B45" s="524" t="s">
        <v>2046</v>
      </c>
      <c r="C45" s="524" t="s">
        <v>1694</v>
      </c>
      <c r="D45" s="524" t="s">
        <v>2097</v>
      </c>
      <c r="E45" s="524" t="s">
        <v>2098</v>
      </c>
      <c r="F45" s="527">
        <v>43</v>
      </c>
      <c r="G45" s="527">
        <v>8987</v>
      </c>
      <c r="H45" s="527">
        <v>1</v>
      </c>
      <c r="I45" s="527">
        <v>209</v>
      </c>
      <c r="J45" s="527">
        <v>21</v>
      </c>
      <c r="K45" s="527">
        <v>4389</v>
      </c>
      <c r="L45" s="527">
        <v>0.48837209302325579</v>
      </c>
      <c r="M45" s="527">
        <v>209</v>
      </c>
      <c r="N45" s="527">
        <v>24</v>
      </c>
      <c r="O45" s="527">
        <v>5016</v>
      </c>
      <c r="P45" s="540">
        <v>0.55813953488372092</v>
      </c>
      <c r="Q45" s="528">
        <v>209</v>
      </c>
    </row>
    <row r="46" spans="1:17" ht="14.4" customHeight="1" x14ac:dyDescent="0.3">
      <c r="A46" s="523" t="s">
        <v>2041</v>
      </c>
      <c r="B46" s="524" t="s">
        <v>2046</v>
      </c>
      <c r="C46" s="524" t="s">
        <v>1694</v>
      </c>
      <c r="D46" s="524" t="s">
        <v>2099</v>
      </c>
      <c r="E46" s="524" t="s">
        <v>2100</v>
      </c>
      <c r="F46" s="527">
        <v>141</v>
      </c>
      <c r="G46" s="527">
        <v>9306</v>
      </c>
      <c r="H46" s="527">
        <v>1</v>
      </c>
      <c r="I46" s="527">
        <v>66</v>
      </c>
      <c r="J46" s="527">
        <v>123</v>
      </c>
      <c r="K46" s="527">
        <v>8118</v>
      </c>
      <c r="L46" s="527">
        <v>0.87234042553191493</v>
      </c>
      <c r="M46" s="527">
        <v>66</v>
      </c>
      <c r="N46" s="527">
        <v>98</v>
      </c>
      <c r="O46" s="527">
        <v>6468</v>
      </c>
      <c r="P46" s="540">
        <v>0.69503546099290781</v>
      </c>
      <c r="Q46" s="528">
        <v>66</v>
      </c>
    </row>
    <row r="47" spans="1:17" ht="14.4" customHeight="1" x14ac:dyDescent="0.3">
      <c r="A47" s="523" t="s">
        <v>2041</v>
      </c>
      <c r="B47" s="524" t="s">
        <v>2046</v>
      </c>
      <c r="C47" s="524" t="s">
        <v>1694</v>
      </c>
      <c r="D47" s="524" t="s">
        <v>2101</v>
      </c>
      <c r="E47" s="524" t="s">
        <v>2102</v>
      </c>
      <c r="F47" s="527">
        <v>170</v>
      </c>
      <c r="G47" s="527">
        <v>8500</v>
      </c>
      <c r="H47" s="527">
        <v>1</v>
      </c>
      <c r="I47" s="527">
        <v>50</v>
      </c>
      <c r="J47" s="527">
        <v>261</v>
      </c>
      <c r="K47" s="527">
        <v>13050</v>
      </c>
      <c r="L47" s="527">
        <v>1.5352941176470589</v>
      </c>
      <c r="M47" s="527">
        <v>50</v>
      </c>
      <c r="N47" s="527">
        <v>281</v>
      </c>
      <c r="O47" s="527">
        <v>14050</v>
      </c>
      <c r="P47" s="540">
        <v>1.6529411764705881</v>
      </c>
      <c r="Q47" s="528">
        <v>50</v>
      </c>
    </row>
    <row r="48" spans="1:17" ht="14.4" customHeight="1" x14ac:dyDescent="0.3">
      <c r="A48" s="523" t="s">
        <v>2103</v>
      </c>
      <c r="B48" s="524" t="s">
        <v>2104</v>
      </c>
      <c r="C48" s="524" t="s">
        <v>1694</v>
      </c>
      <c r="D48" s="524" t="s">
        <v>2105</v>
      </c>
      <c r="E48" s="524" t="s">
        <v>2106</v>
      </c>
      <c r="F48" s="527">
        <v>157</v>
      </c>
      <c r="G48" s="527">
        <v>4239</v>
      </c>
      <c r="H48" s="527">
        <v>1</v>
      </c>
      <c r="I48" s="527">
        <v>27</v>
      </c>
      <c r="J48" s="527">
        <v>127</v>
      </c>
      <c r="K48" s="527">
        <v>3429</v>
      </c>
      <c r="L48" s="527">
        <v>0.80891719745222934</v>
      </c>
      <c r="M48" s="527">
        <v>27</v>
      </c>
      <c r="N48" s="527">
        <v>77</v>
      </c>
      <c r="O48" s="527">
        <v>2079</v>
      </c>
      <c r="P48" s="540">
        <v>0.49044585987261147</v>
      </c>
      <c r="Q48" s="528">
        <v>27</v>
      </c>
    </row>
    <row r="49" spans="1:17" ht="14.4" customHeight="1" x14ac:dyDescent="0.3">
      <c r="A49" s="523" t="s">
        <v>2103</v>
      </c>
      <c r="B49" s="524" t="s">
        <v>2104</v>
      </c>
      <c r="C49" s="524" t="s">
        <v>1694</v>
      </c>
      <c r="D49" s="524" t="s">
        <v>2107</v>
      </c>
      <c r="E49" s="524" t="s">
        <v>2108</v>
      </c>
      <c r="F49" s="527">
        <v>161</v>
      </c>
      <c r="G49" s="527">
        <v>4347</v>
      </c>
      <c r="H49" s="527">
        <v>1</v>
      </c>
      <c r="I49" s="527">
        <v>27</v>
      </c>
      <c r="J49" s="527">
        <v>128</v>
      </c>
      <c r="K49" s="527">
        <v>3456</v>
      </c>
      <c r="L49" s="527">
        <v>0.79503105590062106</v>
      </c>
      <c r="M49" s="527">
        <v>27</v>
      </c>
      <c r="N49" s="527">
        <v>78</v>
      </c>
      <c r="O49" s="527">
        <v>2106</v>
      </c>
      <c r="P49" s="540">
        <v>0.48447204968944102</v>
      </c>
      <c r="Q49" s="528">
        <v>27</v>
      </c>
    </row>
    <row r="50" spans="1:17" ht="14.4" customHeight="1" x14ac:dyDescent="0.3">
      <c r="A50" s="523" t="s">
        <v>2103</v>
      </c>
      <c r="B50" s="524" t="s">
        <v>2104</v>
      </c>
      <c r="C50" s="524" t="s">
        <v>1694</v>
      </c>
      <c r="D50" s="524" t="s">
        <v>2109</v>
      </c>
      <c r="E50" s="524" t="s">
        <v>2110</v>
      </c>
      <c r="F50" s="527">
        <v>173</v>
      </c>
      <c r="G50" s="527">
        <v>3979</v>
      </c>
      <c r="H50" s="527">
        <v>1</v>
      </c>
      <c r="I50" s="527">
        <v>23</v>
      </c>
      <c r="J50" s="527">
        <v>137</v>
      </c>
      <c r="K50" s="527">
        <v>3151</v>
      </c>
      <c r="L50" s="527">
        <v>0.79190751445086704</v>
      </c>
      <c r="M50" s="527">
        <v>23</v>
      </c>
      <c r="N50" s="527">
        <v>93</v>
      </c>
      <c r="O50" s="527">
        <v>2139</v>
      </c>
      <c r="P50" s="540">
        <v>0.53757225433526012</v>
      </c>
      <c r="Q50" s="528">
        <v>23</v>
      </c>
    </row>
    <row r="51" spans="1:17" ht="14.4" customHeight="1" x14ac:dyDescent="0.3">
      <c r="A51" s="523" t="s">
        <v>2103</v>
      </c>
      <c r="B51" s="524" t="s">
        <v>2104</v>
      </c>
      <c r="C51" s="524" t="s">
        <v>1694</v>
      </c>
      <c r="D51" s="524" t="s">
        <v>2111</v>
      </c>
      <c r="E51" s="524" t="s">
        <v>2112</v>
      </c>
      <c r="F51" s="527">
        <v>1</v>
      </c>
      <c r="G51" s="527">
        <v>54</v>
      </c>
      <c r="H51" s="527">
        <v>1</v>
      </c>
      <c r="I51" s="527">
        <v>54</v>
      </c>
      <c r="J51" s="527">
        <v>5</v>
      </c>
      <c r="K51" s="527">
        <v>270</v>
      </c>
      <c r="L51" s="527">
        <v>5</v>
      </c>
      <c r="M51" s="527">
        <v>54</v>
      </c>
      <c r="N51" s="527">
        <v>1</v>
      </c>
      <c r="O51" s="527">
        <v>54</v>
      </c>
      <c r="P51" s="540">
        <v>1</v>
      </c>
      <c r="Q51" s="528">
        <v>54</v>
      </c>
    </row>
    <row r="52" spans="1:17" ht="14.4" customHeight="1" x14ac:dyDescent="0.3">
      <c r="A52" s="523" t="s">
        <v>2103</v>
      </c>
      <c r="B52" s="524" t="s">
        <v>2104</v>
      </c>
      <c r="C52" s="524" t="s">
        <v>1694</v>
      </c>
      <c r="D52" s="524" t="s">
        <v>2113</v>
      </c>
      <c r="E52" s="524" t="s">
        <v>2114</v>
      </c>
      <c r="F52" s="527">
        <v>5</v>
      </c>
      <c r="G52" s="527">
        <v>440</v>
      </c>
      <c r="H52" s="527">
        <v>1</v>
      </c>
      <c r="I52" s="527">
        <v>88</v>
      </c>
      <c r="J52" s="527">
        <v>1</v>
      </c>
      <c r="K52" s="527">
        <v>88</v>
      </c>
      <c r="L52" s="527">
        <v>0.2</v>
      </c>
      <c r="M52" s="527">
        <v>88</v>
      </c>
      <c r="N52" s="527">
        <v>3</v>
      </c>
      <c r="O52" s="527">
        <v>264</v>
      </c>
      <c r="P52" s="540">
        <v>0.6</v>
      </c>
      <c r="Q52" s="528">
        <v>88</v>
      </c>
    </row>
    <row r="53" spans="1:17" ht="14.4" customHeight="1" x14ac:dyDescent="0.3">
      <c r="A53" s="523" t="s">
        <v>2103</v>
      </c>
      <c r="B53" s="524" t="s">
        <v>2104</v>
      </c>
      <c r="C53" s="524" t="s">
        <v>1694</v>
      </c>
      <c r="D53" s="524" t="s">
        <v>2115</v>
      </c>
      <c r="E53" s="524" t="s">
        <v>2116</v>
      </c>
      <c r="F53" s="527">
        <v>2</v>
      </c>
      <c r="G53" s="527">
        <v>48</v>
      </c>
      <c r="H53" s="527">
        <v>1</v>
      </c>
      <c r="I53" s="527">
        <v>24</v>
      </c>
      <c r="J53" s="527">
        <v>6</v>
      </c>
      <c r="K53" s="527">
        <v>144</v>
      </c>
      <c r="L53" s="527">
        <v>3</v>
      </c>
      <c r="M53" s="527">
        <v>24</v>
      </c>
      <c r="N53" s="527">
        <v>4</v>
      </c>
      <c r="O53" s="527">
        <v>96</v>
      </c>
      <c r="P53" s="540">
        <v>2</v>
      </c>
      <c r="Q53" s="528">
        <v>24</v>
      </c>
    </row>
    <row r="54" spans="1:17" ht="14.4" customHeight="1" x14ac:dyDescent="0.3">
      <c r="A54" s="523" t="s">
        <v>2103</v>
      </c>
      <c r="B54" s="524" t="s">
        <v>2104</v>
      </c>
      <c r="C54" s="524" t="s">
        <v>1694</v>
      </c>
      <c r="D54" s="524" t="s">
        <v>2117</v>
      </c>
      <c r="E54" s="524" t="s">
        <v>2118</v>
      </c>
      <c r="F54" s="527">
        <v>58</v>
      </c>
      <c r="G54" s="527">
        <v>1334</v>
      </c>
      <c r="H54" s="527">
        <v>1</v>
      </c>
      <c r="I54" s="527">
        <v>23</v>
      </c>
      <c r="J54" s="527">
        <v>27</v>
      </c>
      <c r="K54" s="527">
        <v>621</v>
      </c>
      <c r="L54" s="527">
        <v>0.46551724137931033</v>
      </c>
      <c r="M54" s="527">
        <v>23</v>
      </c>
      <c r="N54" s="527">
        <v>18</v>
      </c>
      <c r="O54" s="527">
        <v>414</v>
      </c>
      <c r="P54" s="540">
        <v>0.31034482758620691</v>
      </c>
      <c r="Q54" s="528">
        <v>23</v>
      </c>
    </row>
    <row r="55" spans="1:17" ht="14.4" customHeight="1" x14ac:dyDescent="0.3">
      <c r="A55" s="523" t="s">
        <v>2103</v>
      </c>
      <c r="B55" s="524" t="s">
        <v>2104</v>
      </c>
      <c r="C55" s="524" t="s">
        <v>1694</v>
      </c>
      <c r="D55" s="524" t="s">
        <v>2119</v>
      </c>
      <c r="E55" s="524" t="s">
        <v>2120</v>
      </c>
      <c r="F55" s="527">
        <v>4</v>
      </c>
      <c r="G55" s="527">
        <v>88</v>
      </c>
      <c r="H55" s="527">
        <v>1</v>
      </c>
      <c r="I55" s="527">
        <v>22</v>
      </c>
      <c r="J55" s="527">
        <v>9</v>
      </c>
      <c r="K55" s="527">
        <v>198</v>
      </c>
      <c r="L55" s="527">
        <v>2.25</v>
      </c>
      <c r="M55" s="527">
        <v>22</v>
      </c>
      <c r="N55" s="527">
        <v>2</v>
      </c>
      <c r="O55" s="527">
        <v>44</v>
      </c>
      <c r="P55" s="540">
        <v>0.5</v>
      </c>
      <c r="Q55" s="528">
        <v>22</v>
      </c>
    </row>
    <row r="56" spans="1:17" ht="14.4" customHeight="1" x14ac:dyDescent="0.3">
      <c r="A56" s="523" t="s">
        <v>2103</v>
      </c>
      <c r="B56" s="524" t="s">
        <v>2104</v>
      </c>
      <c r="C56" s="524" t="s">
        <v>1694</v>
      </c>
      <c r="D56" s="524" t="s">
        <v>2121</v>
      </c>
      <c r="E56" s="524" t="s">
        <v>2122</v>
      </c>
      <c r="F56" s="527">
        <v>3</v>
      </c>
      <c r="G56" s="527">
        <v>90</v>
      </c>
      <c r="H56" s="527">
        <v>1</v>
      </c>
      <c r="I56" s="527">
        <v>30</v>
      </c>
      <c r="J56" s="527"/>
      <c r="K56" s="527"/>
      <c r="L56" s="527"/>
      <c r="M56" s="527"/>
      <c r="N56" s="527"/>
      <c r="O56" s="527"/>
      <c r="P56" s="540"/>
      <c r="Q56" s="528"/>
    </row>
    <row r="57" spans="1:17" ht="14.4" customHeight="1" x14ac:dyDescent="0.3">
      <c r="A57" s="523" t="s">
        <v>2103</v>
      </c>
      <c r="B57" s="524" t="s">
        <v>2104</v>
      </c>
      <c r="C57" s="524" t="s">
        <v>1694</v>
      </c>
      <c r="D57" s="524" t="s">
        <v>2123</v>
      </c>
      <c r="E57" s="524" t="s">
        <v>2124</v>
      </c>
      <c r="F57" s="527">
        <v>3887</v>
      </c>
      <c r="G57" s="527">
        <v>112723</v>
      </c>
      <c r="H57" s="527">
        <v>1</v>
      </c>
      <c r="I57" s="527">
        <v>29</v>
      </c>
      <c r="J57" s="527">
        <v>3609</v>
      </c>
      <c r="K57" s="527">
        <v>104661</v>
      </c>
      <c r="L57" s="527">
        <v>0.92847954720864423</v>
      </c>
      <c r="M57" s="527">
        <v>29</v>
      </c>
      <c r="N57" s="527">
        <v>4820</v>
      </c>
      <c r="O57" s="527">
        <v>139780</v>
      </c>
      <c r="P57" s="540">
        <v>1.2400308721378956</v>
      </c>
      <c r="Q57" s="528">
        <v>29</v>
      </c>
    </row>
    <row r="58" spans="1:17" ht="14.4" customHeight="1" x14ac:dyDescent="0.3">
      <c r="A58" s="523" t="s">
        <v>2103</v>
      </c>
      <c r="B58" s="524" t="s">
        <v>2104</v>
      </c>
      <c r="C58" s="524" t="s">
        <v>1694</v>
      </c>
      <c r="D58" s="524" t="s">
        <v>2125</v>
      </c>
      <c r="E58" s="524" t="s">
        <v>2126</v>
      </c>
      <c r="F58" s="527">
        <v>213</v>
      </c>
      <c r="G58" s="527">
        <v>5751</v>
      </c>
      <c r="H58" s="527">
        <v>1</v>
      </c>
      <c r="I58" s="527">
        <v>27</v>
      </c>
      <c r="J58" s="527">
        <v>184</v>
      </c>
      <c r="K58" s="527">
        <v>4968</v>
      </c>
      <c r="L58" s="527">
        <v>0.863849765258216</v>
      </c>
      <c r="M58" s="527">
        <v>27</v>
      </c>
      <c r="N58" s="527">
        <v>128</v>
      </c>
      <c r="O58" s="527">
        <v>3456</v>
      </c>
      <c r="P58" s="540">
        <v>0.60093896713615025</v>
      </c>
      <c r="Q58" s="528">
        <v>27</v>
      </c>
    </row>
    <row r="59" spans="1:17" ht="14.4" customHeight="1" x14ac:dyDescent="0.3">
      <c r="A59" s="523" t="s">
        <v>2103</v>
      </c>
      <c r="B59" s="524" t="s">
        <v>2104</v>
      </c>
      <c r="C59" s="524" t="s">
        <v>1694</v>
      </c>
      <c r="D59" s="524" t="s">
        <v>2127</v>
      </c>
      <c r="E59" s="524" t="s">
        <v>2128</v>
      </c>
      <c r="F59" s="527">
        <v>54</v>
      </c>
      <c r="G59" s="527">
        <v>1566</v>
      </c>
      <c r="H59" s="527">
        <v>1</v>
      </c>
      <c r="I59" s="527">
        <v>29</v>
      </c>
      <c r="J59" s="527">
        <v>48</v>
      </c>
      <c r="K59" s="527">
        <v>1392</v>
      </c>
      <c r="L59" s="527">
        <v>0.88888888888888884</v>
      </c>
      <c r="M59" s="527">
        <v>29</v>
      </c>
      <c r="N59" s="527">
        <v>37</v>
      </c>
      <c r="O59" s="527">
        <v>1073</v>
      </c>
      <c r="P59" s="540">
        <v>0.68518518518518523</v>
      </c>
      <c r="Q59" s="528">
        <v>29</v>
      </c>
    </row>
    <row r="60" spans="1:17" ht="14.4" customHeight="1" x14ac:dyDescent="0.3">
      <c r="A60" s="523" t="s">
        <v>2103</v>
      </c>
      <c r="B60" s="524" t="s">
        <v>2104</v>
      </c>
      <c r="C60" s="524" t="s">
        <v>1694</v>
      </c>
      <c r="D60" s="524" t="s">
        <v>2129</v>
      </c>
      <c r="E60" s="524" t="s">
        <v>2130</v>
      </c>
      <c r="F60" s="527">
        <v>7480</v>
      </c>
      <c r="G60" s="527">
        <v>418880</v>
      </c>
      <c r="H60" s="527">
        <v>1</v>
      </c>
      <c r="I60" s="527">
        <v>56</v>
      </c>
      <c r="J60" s="527">
        <v>4348</v>
      </c>
      <c r="K60" s="527">
        <v>243488</v>
      </c>
      <c r="L60" s="527">
        <v>0.58128342245989306</v>
      </c>
      <c r="M60" s="527">
        <v>56</v>
      </c>
      <c r="N60" s="527">
        <v>4735</v>
      </c>
      <c r="O60" s="527">
        <v>265160</v>
      </c>
      <c r="P60" s="540">
        <v>0.63302139037433158</v>
      </c>
      <c r="Q60" s="528">
        <v>56</v>
      </c>
    </row>
    <row r="61" spans="1:17" ht="14.4" customHeight="1" x14ac:dyDescent="0.3">
      <c r="A61" s="523" t="s">
        <v>2103</v>
      </c>
      <c r="B61" s="524" t="s">
        <v>2104</v>
      </c>
      <c r="C61" s="524" t="s">
        <v>1694</v>
      </c>
      <c r="D61" s="524" t="s">
        <v>2131</v>
      </c>
      <c r="E61" s="524" t="s">
        <v>2132</v>
      </c>
      <c r="F61" s="527">
        <v>65</v>
      </c>
      <c r="G61" s="527">
        <v>2145</v>
      </c>
      <c r="H61" s="527">
        <v>1</v>
      </c>
      <c r="I61" s="527">
        <v>33</v>
      </c>
      <c r="J61" s="527">
        <v>44</v>
      </c>
      <c r="K61" s="527">
        <v>1452</v>
      </c>
      <c r="L61" s="527">
        <v>0.67692307692307696</v>
      </c>
      <c r="M61" s="527">
        <v>33</v>
      </c>
      <c r="N61" s="527">
        <v>37</v>
      </c>
      <c r="O61" s="527">
        <v>1221</v>
      </c>
      <c r="P61" s="540">
        <v>0.56923076923076921</v>
      </c>
      <c r="Q61" s="528">
        <v>33</v>
      </c>
    </row>
    <row r="62" spans="1:17" ht="14.4" customHeight="1" x14ac:dyDescent="0.3">
      <c r="A62" s="523" t="s">
        <v>2103</v>
      </c>
      <c r="B62" s="524" t="s">
        <v>2104</v>
      </c>
      <c r="C62" s="524" t="s">
        <v>1694</v>
      </c>
      <c r="D62" s="524" t="s">
        <v>2133</v>
      </c>
      <c r="E62" s="524" t="s">
        <v>2134</v>
      </c>
      <c r="F62" s="527">
        <v>3846</v>
      </c>
      <c r="G62" s="527">
        <v>111534</v>
      </c>
      <c r="H62" s="527">
        <v>1</v>
      </c>
      <c r="I62" s="527">
        <v>29</v>
      </c>
      <c r="J62" s="527">
        <v>3614</v>
      </c>
      <c r="K62" s="527">
        <v>104806</v>
      </c>
      <c r="L62" s="527">
        <v>0.93967758710348415</v>
      </c>
      <c r="M62" s="527">
        <v>29</v>
      </c>
      <c r="N62" s="527">
        <v>4819</v>
      </c>
      <c r="O62" s="527">
        <v>139751</v>
      </c>
      <c r="P62" s="540">
        <v>1.2529901196047841</v>
      </c>
      <c r="Q62" s="528">
        <v>29</v>
      </c>
    </row>
    <row r="63" spans="1:17" ht="14.4" customHeight="1" x14ac:dyDescent="0.3">
      <c r="A63" s="523" t="s">
        <v>2103</v>
      </c>
      <c r="B63" s="524" t="s">
        <v>2104</v>
      </c>
      <c r="C63" s="524" t="s">
        <v>1694</v>
      </c>
      <c r="D63" s="524" t="s">
        <v>2135</v>
      </c>
      <c r="E63" s="524" t="s">
        <v>2136</v>
      </c>
      <c r="F63" s="527">
        <v>14</v>
      </c>
      <c r="G63" s="527">
        <v>378</v>
      </c>
      <c r="H63" s="527">
        <v>1</v>
      </c>
      <c r="I63" s="527">
        <v>27</v>
      </c>
      <c r="J63" s="527">
        <v>15</v>
      </c>
      <c r="K63" s="527">
        <v>405</v>
      </c>
      <c r="L63" s="527">
        <v>1.0714285714285714</v>
      </c>
      <c r="M63" s="527">
        <v>27</v>
      </c>
      <c r="N63" s="527">
        <v>16</v>
      </c>
      <c r="O63" s="527">
        <v>432</v>
      </c>
      <c r="P63" s="540">
        <v>1.1428571428571428</v>
      </c>
      <c r="Q63" s="528">
        <v>27</v>
      </c>
    </row>
    <row r="64" spans="1:17" ht="14.4" customHeight="1" x14ac:dyDescent="0.3">
      <c r="A64" s="523" t="s">
        <v>2103</v>
      </c>
      <c r="B64" s="524" t="s">
        <v>2104</v>
      </c>
      <c r="C64" s="524" t="s">
        <v>1694</v>
      </c>
      <c r="D64" s="524" t="s">
        <v>2137</v>
      </c>
      <c r="E64" s="524" t="s">
        <v>2138</v>
      </c>
      <c r="F64" s="527">
        <v>46</v>
      </c>
      <c r="G64" s="527">
        <v>1196</v>
      </c>
      <c r="H64" s="527">
        <v>1</v>
      </c>
      <c r="I64" s="527">
        <v>26</v>
      </c>
      <c r="J64" s="527">
        <v>44</v>
      </c>
      <c r="K64" s="527">
        <v>1144</v>
      </c>
      <c r="L64" s="527">
        <v>0.95652173913043481</v>
      </c>
      <c r="M64" s="527">
        <v>26</v>
      </c>
      <c r="N64" s="527">
        <v>37</v>
      </c>
      <c r="O64" s="527">
        <v>962</v>
      </c>
      <c r="P64" s="540">
        <v>0.80434782608695654</v>
      </c>
      <c r="Q64" s="528">
        <v>26</v>
      </c>
    </row>
    <row r="65" spans="1:17" ht="14.4" customHeight="1" x14ac:dyDescent="0.3">
      <c r="A65" s="523" t="s">
        <v>2103</v>
      </c>
      <c r="B65" s="524" t="s">
        <v>2104</v>
      </c>
      <c r="C65" s="524" t="s">
        <v>1694</v>
      </c>
      <c r="D65" s="524" t="s">
        <v>2139</v>
      </c>
      <c r="E65" s="524" t="s">
        <v>2140</v>
      </c>
      <c r="F65" s="527">
        <v>18</v>
      </c>
      <c r="G65" s="527">
        <v>558</v>
      </c>
      <c r="H65" s="527">
        <v>1</v>
      </c>
      <c r="I65" s="527">
        <v>31</v>
      </c>
      <c r="J65" s="527">
        <v>9</v>
      </c>
      <c r="K65" s="527">
        <v>279</v>
      </c>
      <c r="L65" s="527">
        <v>0.5</v>
      </c>
      <c r="M65" s="527">
        <v>31</v>
      </c>
      <c r="N65" s="527">
        <v>5</v>
      </c>
      <c r="O65" s="527">
        <v>155</v>
      </c>
      <c r="P65" s="540">
        <v>0.27777777777777779</v>
      </c>
      <c r="Q65" s="528">
        <v>31</v>
      </c>
    </row>
    <row r="66" spans="1:17" ht="14.4" customHeight="1" x14ac:dyDescent="0.3">
      <c r="A66" s="523" t="s">
        <v>2103</v>
      </c>
      <c r="B66" s="524" t="s">
        <v>2104</v>
      </c>
      <c r="C66" s="524" t="s">
        <v>1694</v>
      </c>
      <c r="D66" s="524" t="s">
        <v>2141</v>
      </c>
      <c r="E66" s="524" t="s">
        <v>2142</v>
      </c>
      <c r="F66" s="527">
        <v>8</v>
      </c>
      <c r="G66" s="527">
        <v>184</v>
      </c>
      <c r="H66" s="527">
        <v>1</v>
      </c>
      <c r="I66" s="527">
        <v>23</v>
      </c>
      <c r="J66" s="527">
        <v>5</v>
      </c>
      <c r="K66" s="527">
        <v>115</v>
      </c>
      <c r="L66" s="527">
        <v>0.625</v>
      </c>
      <c r="M66" s="527">
        <v>23</v>
      </c>
      <c r="N66" s="527">
        <v>3</v>
      </c>
      <c r="O66" s="527">
        <v>69</v>
      </c>
      <c r="P66" s="540">
        <v>0.375</v>
      </c>
      <c r="Q66" s="528">
        <v>23</v>
      </c>
    </row>
    <row r="67" spans="1:17" ht="14.4" customHeight="1" x14ac:dyDescent="0.3">
      <c r="A67" s="523" t="s">
        <v>2103</v>
      </c>
      <c r="B67" s="524" t="s">
        <v>2104</v>
      </c>
      <c r="C67" s="524" t="s">
        <v>1694</v>
      </c>
      <c r="D67" s="524" t="s">
        <v>2143</v>
      </c>
      <c r="E67" s="524" t="s">
        <v>2144</v>
      </c>
      <c r="F67" s="527">
        <v>50</v>
      </c>
      <c r="G67" s="527">
        <v>1100</v>
      </c>
      <c r="H67" s="527">
        <v>1</v>
      </c>
      <c r="I67" s="527">
        <v>22</v>
      </c>
      <c r="J67" s="527">
        <v>27</v>
      </c>
      <c r="K67" s="527">
        <v>594</v>
      </c>
      <c r="L67" s="527">
        <v>0.54</v>
      </c>
      <c r="M67" s="527">
        <v>22</v>
      </c>
      <c r="N67" s="527">
        <v>22</v>
      </c>
      <c r="O67" s="527">
        <v>484</v>
      </c>
      <c r="P67" s="540">
        <v>0.44</v>
      </c>
      <c r="Q67" s="528">
        <v>22</v>
      </c>
    </row>
    <row r="68" spans="1:17" ht="14.4" customHeight="1" x14ac:dyDescent="0.3">
      <c r="A68" s="523" t="s">
        <v>2103</v>
      </c>
      <c r="B68" s="524" t="s">
        <v>2104</v>
      </c>
      <c r="C68" s="524" t="s">
        <v>1694</v>
      </c>
      <c r="D68" s="524" t="s">
        <v>2145</v>
      </c>
      <c r="E68" s="524" t="s">
        <v>2146</v>
      </c>
      <c r="F68" s="527"/>
      <c r="G68" s="527"/>
      <c r="H68" s="527"/>
      <c r="I68" s="527"/>
      <c r="J68" s="527">
        <v>1</v>
      </c>
      <c r="K68" s="527">
        <v>68</v>
      </c>
      <c r="L68" s="527"/>
      <c r="M68" s="527">
        <v>68</v>
      </c>
      <c r="N68" s="527"/>
      <c r="O68" s="527"/>
      <c r="P68" s="540"/>
      <c r="Q68" s="528"/>
    </row>
    <row r="69" spans="1:17" ht="14.4" customHeight="1" x14ac:dyDescent="0.3">
      <c r="A69" s="523" t="s">
        <v>2103</v>
      </c>
      <c r="B69" s="524" t="s">
        <v>2104</v>
      </c>
      <c r="C69" s="524" t="s">
        <v>1694</v>
      </c>
      <c r="D69" s="524" t="s">
        <v>2147</v>
      </c>
      <c r="E69" s="524" t="s">
        <v>2148</v>
      </c>
      <c r="F69" s="527">
        <v>45</v>
      </c>
      <c r="G69" s="527">
        <v>2025</v>
      </c>
      <c r="H69" s="527">
        <v>1</v>
      </c>
      <c r="I69" s="527">
        <v>45</v>
      </c>
      <c r="J69" s="527">
        <v>46</v>
      </c>
      <c r="K69" s="527">
        <v>2070</v>
      </c>
      <c r="L69" s="527">
        <v>1.0222222222222221</v>
      </c>
      <c r="M69" s="527">
        <v>45</v>
      </c>
      <c r="N69" s="527">
        <v>37</v>
      </c>
      <c r="O69" s="527">
        <v>1665</v>
      </c>
      <c r="P69" s="540">
        <v>0.82222222222222219</v>
      </c>
      <c r="Q69" s="528">
        <v>45</v>
      </c>
    </row>
    <row r="70" spans="1:17" ht="14.4" customHeight="1" x14ac:dyDescent="0.3">
      <c r="A70" s="523" t="s">
        <v>2103</v>
      </c>
      <c r="B70" s="524" t="s">
        <v>2104</v>
      </c>
      <c r="C70" s="524" t="s">
        <v>1694</v>
      </c>
      <c r="D70" s="524" t="s">
        <v>2149</v>
      </c>
      <c r="E70" s="524" t="s">
        <v>2150</v>
      </c>
      <c r="F70" s="527"/>
      <c r="G70" s="527"/>
      <c r="H70" s="527"/>
      <c r="I70" s="527"/>
      <c r="J70" s="527">
        <v>1</v>
      </c>
      <c r="K70" s="527">
        <v>62</v>
      </c>
      <c r="L70" s="527"/>
      <c r="M70" s="527">
        <v>62</v>
      </c>
      <c r="N70" s="527">
        <v>3</v>
      </c>
      <c r="O70" s="527">
        <v>186</v>
      </c>
      <c r="P70" s="540"/>
      <c r="Q70" s="528">
        <v>62</v>
      </c>
    </row>
    <row r="71" spans="1:17" ht="14.4" customHeight="1" x14ac:dyDescent="0.3">
      <c r="A71" s="523" t="s">
        <v>2103</v>
      </c>
      <c r="B71" s="524" t="s">
        <v>2104</v>
      </c>
      <c r="C71" s="524" t="s">
        <v>1694</v>
      </c>
      <c r="D71" s="524" t="s">
        <v>2151</v>
      </c>
      <c r="E71" s="524" t="s">
        <v>2152</v>
      </c>
      <c r="F71" s="527">
        <v>120</v>
      </c>
      <c r="G71" s="527">
        <v>3000</v>
      </c>
      <c r="H71" s="527">
        <v>1</v>
      </c>
      <c r="I71" s="527">
        <v>25</v>
      </c>
      <c r="J71" s="527">
        <v>91</v>
      </c>
      <c r="K71" s="527">
        <v>2275</v>
      </c>
      <c r="L71" s="527">
        <v>0.7583333333333333</v>
      </c>
      <c r="M71" s="527">
        <v>25</v>
      </c>
      <c r="N71" s="527">
        <v>63</v>
      </c>
      <c r="O71" s="527">
        <v>1575</v>
      </c>
      <c r="P71" s="540">
        <v>0.52500000000000002</v>
      </c>
      <c r="Q71" s="528">
        <v>25</v>
      </c>
    </row>
    <row r="72" spans="1:17" ht="14.4" customHeight="1" x14ac:dyDescent="0.3">
      <c r="A72" s="523" t="s">
        <v>2103</v>
      </c>
      <c r="B72" s="524" t="s">
        <v>2104</v>
      </c>
      <c r="C72" s="524" t="s">
        <v>1694</v>
      </c>
      <c r="D72" s="524" t="s">
        <v>2153</v>
      </c>
      <c r="E72" s="524" t="s">
        <v>2154</v>
      </c>
      <c r="F72" s="527">
        <v>3802</v>
      </c>
      <c r="G72" s="527">
        <v>231922</v>
      </c>
      <c r="H72" s="527">
        <v>1</v>
      </c>
      <c r="I72" s="527">
        <v>61</v>
      </c>
      <c r="J72" s="527">
        <v>3559</v>
      </c>
      <c r="K72" s="527">
        <v>217099</v>
      </c>
      <c r="L72" s="527">
        <v>0.93608627038400838</v>
      </c>
      <c r="M72" s="527">
        <v>61</v>
      </c>
      <c r="N72" s="527">
        <v>4765</v>
      </c>
      <c r="O72" s="527">
        <v>290665</v>
      </c>
      <c r="P72" s="540">
        <v>1.2532877432930036</v>
      </c>
      <c r="Q72" s="528">
        <v>61</v>
      </c>
    </row>
    <row r="73" spans="1:17" ht="14.4" customHeight="1" x14ac:dyDescent="0.3">
      <c r="A73" s="523" t="s">
        <v>2103</v>
      </c>
      <c r="B73" s="524" t="s">
        <v>2104</v>
      </c>
      <c r="C73" s="524" t="s">
        <v>1694</v>
      </c>
      <c r="D73" s="524" t="s">
        <v>2155</v>
      </c>
      <c r="E73" s="524" t="s">
        <v>2156</v>
      </c>
      <c r="F73" s="527">
        <v>1</v>
      </c>
      <c r="G73" s="527">
        <v>84</v>
      </c>
      <c r="H73" s="527">
        <v>1</v>
      </c>
      <c r="I73" s="527">
        <v>84</v>
      </c>
      <c r="J73" s="527">
        <v>3</v>
      </c>
      <c r="K73" s="527">
        <v>252</v>
      </c>
      <c r="L73" s="527">
        <v>3</v>
      </c>
      <c r="M73" s="527">
        <v>84</v>
      </c>
      <c r="N73" s="527"/>
      <c r="O73" s="527"/>
      <c r="P73" s="540"/>
      <c r="Q73" s="528"/>
    </row>
    <row r="74" spans="1:17" ht="14.4" customHeight="1" x14ac:dyDescent="0.3">
      <c r="A74" s="523" t="s">
        <v>2103</v>
      </c>
      <c r="B74" s="524" t="s">
        <v>2104</v>
      </c>
      <c r="C74" s="524" t="s">
        <v>1694</v>
      </c>
      <c r="D74" s="524" t="s">
        <v>2157</v>
      </c>
      <c r="E74" s="524" t="s">
        <v>2158</v>
      </c>
      <c r="F74" s="527"/>
      <c r="G74" s="527"/>
      <c r="H74" s="527"/>
      <c r="I74" s="527"/>
      <c r="J74" s="527"/>
      <c r="K74" s="527"/>
      <c r="L74" s="527"/>
      <c r="M74" s="527"/>
      <c r="N74" s="527">
        <v>1</v>
      </c>
      <c r="O74" s="527">
        <v>81</v>
      </c>
      <c r="P74" s="540"/>
      <c r="Q74" s="528">
        <v>81</v>
      </c>
    </row>
    <row r="75" spans="1:17" ht="14.4" customHeight="1" x14ac:dyDescent="0.3">
      <c r="A75" s="523" t="s">
        <v>2103</v>
      </c>
      <c r="B75" s="524" t="s">
        <v>2104</v>
      </c>
      <c r="C75" s="524" t="s">
        <v>1694</v>
      </c>
      <c r="D75" s="524" t="s">
        <v>2159</v>
      </c>
      <c r="E75" s="524" t="s">
        <v>2160</v>
      </c>
      <c r="F75" s="527"/>
      <c r="G75" s="527"/>
      <c r="H75" s="527"/>
      <c r="I75" s="527"/>
      <c r="J75" s="527"/>
      <c r="K75" s="527"/>
      <c r="L75" s="527"/>
      <c r="M75" s="527"/>
      <c r="N75" s="527">
        <v>1</v>
      </c>
      <c r="O75" s="527">
        <v>46</v>
      </c>
      <c r="P75" s="540"/>
      <c r="Q75" s="528">
        <v>46</v>
      </c>
    </row>
    <row r="76" spans="1:17" ht="14.4" customHeight="1" x14ac:dyDescent="0.3">
      <c r="A76" s="523" t="s">
        <v>2103</v>
      </c>
      <c r="B76" s="524" t="s">
        <v>2104</v>
      </c>
      <c r="C76" s="524" t="s">
        <v>1694</v>
      </c>
      <c r="D76" s="524" t="s">
        <v>2161</v>
      </c>
      <c r="E76" s="524" t="s">
        <v>2162</v>
      </c>
      <c r="F76" s="527">
        <v>24</v>
      </c>
      <c r="G76" s="527">
        <v>23688</v>
      </c>
      <c r="H76" s="527">
        <v>1</v>
      </c>
      <c r="I76" s="527">
        <v>987</v>
      </c>
      <c r="J76" s="527">
        <v>29</v>
      </c>
      <c r="K76" s="527">
        <v>28623</v>
      </c>
      <c r="L76" s="527">
        <v>1.2083333333333333</v>
      </c>
      <c r="M76" s="527">
        <v>987</v>
      </c>
      <c r="N76" s="527">
        <v>26</v>
      </c>
      <c r="O76" s="527">
        <v>25662</v>
      </c>
      <c r="P76" s="540">
        <v>1.0833333333333333</v>
      </c>
      <c r="Q76" s="528">
        <v>987</v>
      </c>
    </row>
    <row r="77" spans="1:17" ht="14.4" customHeight="1" x14ac:dyDescent="0.3">
      <c r="A77" s="523" t="s">
        <v>2103</v>
      </c>
      <c r="B77" s="524" t="s">
        <v>2104</v>
      </c>
      <c r="C77" s="524" t="s">
        <v>1694</v>
      </c>
      <c r="D77" s="524" t="s">
        <v>2163</v>
      </c>
      <c r="E77" s="524" t="s">
        <v>2164</v>
      </c>
      <c r="F77" s="527">
        <v>2059</v>
      </c>
      <c r="G77" s="527">
        <v>61770</v>
      </c>
      <c r="H77" s="527">
        <v>1</v>
      </c>
      <c r="I77" s="527">
        <v>30</v>
      </c>
      <c r="J77" s="527">
        <v>1432</v>
      </c>
      <c r="K77" s="527">
        <v>42960</v>
      </c>
      <c r="L77" s="527">
        <v>0.69548324429334629</v>
      </c>
      <c r="M77" s="527">
        <v>30</v>
      </c>
      <c r="N77" s="527">
        <v>1571</v>
      </c>
      <c r="O77" s="527">
        <v>47130</v>
      </c>
      <c r="P77" s="540">
        <v>0.76299174356483734</v>
      </c>
      <c r="Q77" s="528">
        <v>30</v>
      </c>
    </row>
    <row r="78" spans="1:17" ht="14.4" customHeight="1" x14ac:dyDescent="0.3">
      <c r="A78" s="523" t="s">
        <v>2103</v>
      </c>
      <c r="B78" s="524" t="s">
        <v>2104</v>
      </c>
      <c r="C78" s="524" t="s">
        <v>1694</v>
      </c>
      <c r="D78" s="524" t="s">
        <v>2165</v>
      </c>
      <c r="E78" s="524" t="s">
        <v>2166</v>
      </c>
      <c r="F78" s="527">
        <v>20</v>
      </c>
      <c r="G78" s="527">
        <v>21740</v>
      </c>
      <c r="H78" s="527">
        <v>1</v>
      </c>
      <c r="I78" s="527">
        <v>1087</v>
      </c>
      <c r="J78" s="527">
        <v>6</v>
      </c>
      <c r="K78" s="527">
        <v>6522</v>
      </c>
      <c r="L78" s="527">
        <v>0.3</v>
      </c>
      <c r="M78" s="527">
        <v>1087</v>
      </c>
      <c r="N78" s="527">
        <v>16</v>
      </c>
      <c r="O78" s="527">
        <v>17408</v>
      </c>
      <c r="P78" s="540">
        <v>0.80073597056117751</v>
      </c>
      <c r="Q78" s="528">
        <v>1088</v>
      </c>
    </row>
    <row r="79" spans="1:17" ht="14.4" customHeight="1" x14ac:dyDescent="0.3">
      <c r="A79" s="523" t="s">
        <v>2103</v>
      </c>
      <c r="B79" s="524" t="s">
        <v>2104</v>
      </c>
      <c r="C79" s="524" t="s">
        <v>1694</v>
      </c>
      <c r="D79" s="524" t="s">
        <v>2167</v>
      </c>
      <c r="E79" s="524" t="s">
        <v>2168</v>
      </c>
      <c r="F79" s="527"/>
      <c r="G79" s="527"/>
      <c r="H79" s="527"/>
      <c r="I79" s="527"/>
      <c r="J79" s="527">
        <v>10</v>
      </c>
      <c r="K79" s="527">
        <v>1360</v>
      </c>
      <c r="L79" s="527"/>
      <c r="M79" s="527">
        <v>136</v>
      </c>
      <c r="N79" s="527"/>
      <c r="O79" s="527"/>
      <c r="P79" s="540"/>
      <c r="Q79" s="528"/>
    </row>
    <row r="80" spans="1:17" ht="14.4" customHeight="1" x14ac:dyDescent="0.3">
      <c r="A80" s="523" t="s">
        <v>2103</v>
      </c>
      <c r="B80" s="524" t="s">
        <v>2104</v>
      </c>
      <c r="C80" s="524" t="s">
        <v>1694</v>
      </c>
      <c r="D80" s="524" t="s">
        <v>2169</v>
      </c>
      <c r="E80" s="524" t="s">
        <v>2170</v>
      </c>
      <c r="F80" s="527">
        <v>2</v>
      </c>
      <c r="G80" s="527">
        <v>156</v>
      </c>
      <c r="H80" s="527">
        <v>1</v>
      </c>
      <c r="I80" s="527">
        <v>78</v>
      </c>
      <c r="J80" s="527"/>
      <c r="K80" s="527"/>
      <c r="L80" s="527"/>
      <c r="M80" s="527"/>
      <c r="N80" s="527"/>
      <c r="O80" s="527"/>
      <c r="P80" s="540"/>
      <c r="Q80" s="528"/>
    </row>
    <row r="81" spans="1:17" ht="14.4" customHeight="1" x14ac:dyDescent="0.3">
      <c r="A81" s="523" t="s">
        <v>2103</v>
      </c>
      <c r="B81" s="524" t="s">
        <v>2104</v>
      </c>
      <c r="C81" s="524" t="s">
        <v>1694</v>
      </c>
      <c r="D81" s="524" t="s">
        <v>2171</v>
      </c>
      <c r="E81" s="524" t="s">
        <v>2172</v>
      </c>
      <c r="F81" s="527">
        <v>324</v>
      </c>
      <c r="G81" s="527">
        <v>4860</v>
      </c>
      <c r="H81" s="527">
        <v>1</v>
      </c>
      <c r="I81" s="527">
        <v>15</v>
      </c>
      <c r="J81" s="527">
        <v>271</v>
      </c>
      <c r="K81" s="527">
        <v>4065</v>
      </c>
      <c r="L81" s="527">
        <v>0.8364197530864198</v>
      </c>
      <c r="M81" s="527">
        <v>15</v>
      </c>
      <c r="N81" s="527">
        <v>238</v>
      </c>
      <c r="O81" s="527">
        <v>3570</v>
      </c>
      <c r="P81" s="540">
        <v>0.73456790123456794</v>
      </c>
      <c r="Q81" s="528">
        <v>15</v>
      </c>
    </row>
    <row r="82" spans="1:17" ht="14.4" customHeight="1" x14ac:dyDescent="0.3">
      <c r="A82" s="523" t="s">
        <v>2103</v>
      </c>
      <c r="B82" s="524" t="s">
        <v>2104</v>
      </c>
      <c r="C82" s="524" t="s">
        <v>1694</v>
      </c>
      <c r="D82" s="524" t="s">
        <v>2173</v>
      </c>
      <c r="E82" s="524" t="s">
        <v>2174</v>
      </c>
      <c r="F82" s="527"/>
      <c r="G82" s="527"/>
      <c r="H82" s="527"/>
      <c r="I82" s="527"/>
      <c r="J82" s="527">
        <v>9</v>
      </c>
      <c r="K82" s="527">
        <v>1719</v>
      </c>
      <c r="L82" s="527"/>
      <c r="M82" s="527">
        <v>191</v>
      </c>
      <c r="N82" s="527"/>
      <c r="O82" s="527"/>
      <c r="P82" s="540"/>
      <c r="Q82" s="528"/>
    </row>
    <row r="83" spans="1:17" ht="14.4" customHeight="1" x14ac:dyDescent="0.3">
      <c r="A83" s="523" t="s">
        <v>2103</v>
      </c>
      <c r="B83" s="524" t="s">
        <v>2104</v>
      </c>
      <c r="C83" s="524" t="s">
        <v>1694</v>
      </c>
      <c r="D83" s="524" t="s">
        <v>2175</v>
      </c>
      <c r="E83" s="524" t="s">
        <v>2176</v>
      </c>
      <c r="F83" s="527">
        <v>24</v>
      </c>
      <c r="G83" s="527">
        <v>15432</v>
      </c>
      <c r="H83" s="527">
        <v>1</v>
      </c>
      <c r="I83" s="527">
        <v>643</v>
      </c>
      <c r="J83" s="527">
        <v>12</v>
      </c>
      <c r="K83" s="527">
        <v>7716</v>
      </c>
      <c r="L83" s="527">
        <v>0.5</v>
      </c>
      <c r="M83" s="527">
        <v>643</v>
      </c>
      <c r="N83" s="527">
        <v>18</v>
      </c>
      <c r="O83" s="527">
        <v>11592</v>
      </c>
      <c r="P83" s="540">
        <v>0.75116640746500773</v>
      </c>
      <c r="Q83" s="528">
        <v>644</v>
      </c>
    </row>
    <row r="84" spans="1:17" ht="14.4" customHeight="1" x14ac:dyDescent="0.3">
      <c r="A84" s="523" t="s">
        <v>2103</v>
      </c>
      <c r="B84" s="524" t="s">
        <v>2104</v>
      </c>
      <c r="C84" s="524" t="s">
        <v>1694</v>
      </c>
      <c r="D84" s="524" t="s">
        <v>2177</v>
      </c>
      <c r="E84" s="524" t="s">
        <v>2178</v>
      </c>
      <c r="F84" s="527">
        <v>8</v>
      </c>
      <c r="G84" s="527">
        <v>656</v>
      </c>
      <c r="H84" s="527">
        <v>1</v>
      </c>
      <c r="I84" s="527">
        <v>82</v>
      </c>
      <c r="J84" s="527">
        <v>4</v>
      </c>
      <c r="K84" s="527">
        <v>328</v>
      </c>
      <c r="L84" s="527">
        <v>0.5</v>
      </c>
      <c r="M84" s="527">
        <v>82</v>
      </c>
      <c r="N84" s="527">
        <v>2</v>
      </c>
      <c r="O84" s="527">
        <v>164</v>
      </c>
      <c r="P84" s="540">
        <v>0.25</v>
      </c>
      <c r="Q84" s="528">
        <v>82</v>
      </c>
    </row>
    <row r="85" spans="1:17" ht="14.4" customHeight="1" x14ac:dyDescent="0.3">
      <c r="A85" s="523" t="s">
        <v>2103</v>
      </c>
      <c r="B85" s="524" t="s">
        <v>2104</v>
      </c>
      <c r="C85" s="524" t="s">
        <v>1694</v>
      </c>
      <c r="D85" s="524" t="s">
        <v>2179</v>
      </c>
      <c r="E85" s="524" t="s">
        <v>2180</v>
      </c>
      <c r="F85" s="527"/>
      <c r="G85" s="527"/>
      <c r="H85" s="527"/>
      <c r="I85" s="527"/>
      <c r="J85" s="527">
        <v>18</v>
      </c>
      <c r="K85" s="527">
        <v>666</v>
      </c>
      <c r="L85" s="527"/>
      <c r="M85" s="527">
        <v>37</v>
      </c>
      <c r="N85" s="527">
        <v>10</v>
      </c>
      <c r="O85" s="527">
        <v>370</v>
      </c>
      <c r="P85" s="540"/>
      <c r="Q85" s="528">
        <v>37</v>
      </c>
    </row>
    <row r="86" spans="1:17" ht="14.4" customHeight="1" x14ac:dyDescent="0.3">
      <c r="A86" s="523" t="s">
        <v>2103</v>
      </c>
      <c r="B86" s="524" t="s">
        <v>2104</v>
      </c>
      <c r="C86" s="524" t="s">
        <v>1694</v>
      </c>
      <c r="D86" s="524" t="s">
        <v>2181</v>
      </c>
      <c r="E86" s="524" t="s">
        <v>2182</v>
      </c>
      <c r="F86" s="527">
        <v>3</v>
      </c>
      <c r="G86" s="527">
        <v>93</v>
      </c>
      <c r="H86" s="527">
        <v>1</v>
      </c>
      <c r="I86" s="527">
        <v>31</v>
      </c>
      <c r="J86" s="527"/>
      <c r="K86" s="527"/>
      <c r="L86" s="527"/>
      <c r="M86" s="527"/>
      <c r="N86" s="527"/>
      <c r="O86" s="527"/>
      <c r="P86" s="540"/>
      <c r="Q86" s="528"/>
    </row>
    <row r="87" spans="1:17" ht="14.4" customHeight="1" x14ac:dyDescent="0.3">
      <c r="A87" s="523" t="s">
        <v>2103</v>
      </c>
      <c r="B87" s="524" t="s">
        <v>2104</v>
      </c>
      <c r="C87" s="524" t="s">
        <v>1694</v>
      </c>
      <c r="D87" s="524" t="s">
        <v>2183</v>
      </c>
      <c r="E87" s="524" t="s">
        <v>2184</v>
      </c>
      <c r="F87" s="527"/>
      <c r="G87" s="527"/>
      <c r="H87" s="527"/>
      <c r="I87" s="527"/>
      <c r="J87" s="527">
        <v>2</v>
      </c>
      <c r="K87" s="527">
        <v>410</v>
      </c>
      <c r="L87" s="527"/>
      <c r="M87" s="527">
        <v>205</v>
      </c>
      <c r="N87" s="527"/>
      <c r="O87" s="527"/>
      <c r="P87" s="540"/>
      <c r="Q87" s="528"/>
    </row>
    <row r="88" spans="1:17" ht="14.4" customHeight="1" x14ac:dyDescent="0.3">
      <c r="A88" s="523" t="s">
        <v>2103</v>
      </c>
      <c r="B88" s="524" t="s">
        <v>2104</v>
      </c>
      <c r="C88" s="524" t="s">
        <v>1694</v>
      </c>
      <c r="D88" s="524" t="s">
        <v>2185</v>
      </c>
      <c r="E88" s="524" t="s">
        <v>2186</v>
      </c>
      <c r="F88" s="527">
        <v>132</v>
      </c>
      <c r="G88" s="527">
        <v>1980</v>
      </c>
      <c r="H88" s="527">
        <v>1</v>
      </c>
      <c r="I88" s="527">
        <v>15</v>
      </c>
      <c r="J88" s="527">
        <v>65</v>
      </c>
      <c r="K88" s="527">
        <v>975</v>
      </c>
      <c r="L88" s="527">
        <v>0.49242424242424243</v>
      </c>
      <c r="M88" s="527">
        <v>15</v>
      </c>
      <c r="N88" s="527">
        <v>36</v>
      </c>
      <c r="O88" s="527">
        <v>540</v>
      </c>
      <c r="P88" s="540">
        <v>0.27272727272727271</v>
      </c>
      <c r="Q88" s="528">
        <v>15</v>
      </c>
    </row>
    <row r="89" spans="1:17" ht="14.4" customHeight="1" x14ac:dyDescent="0.3">
      <c r="A89" s="523" t="s">
        <v>2103</v>
      </c>
      <c r="B89" s="524" t="s">
        <v>2104</v>
      </c>
      <c r="C89" s="524" t="s">
        <v>1694</v>
      </c>
      <c r="D89" s="524" t="s">
        <v>2187</v>
      </c>
      <c r="E89" s="524" t="s">
        <v>2188</v>
      </c>
      <c r="F89" s="527">
        <v>5</v>
      </c>
      <c r="G89" s="527">
        <v>105</v>
      </c>
      <c r="H89" s="527">
        <v>1</v>
      </c>
      <c r="I89" s="527">
        <v>21</v>
      </c>
      <c r="J89" s="527">
        <v>10</v>
      </c>
      <c r="K89" s="527">
        <v>210</v>
      </c>
      <c r="L89" s="527">
        <v>2</v>
      </c>
      <c r="M89" s="527">
        <v>21</v>
      </c>
      <c r="N89" s="527">
        <v>3</v>
      </c>
      <c r="O89" s="527">
        <v>63</v>
      </c>
      <c r="P89" s="540">
        <v>0.6</v>
      </c>
      <c r="Q89" s="528">
        <v>21</v>
      </c>
    </row>
    <row r="90" spans="1:17" ht="14.4" customHeight="1" x14ac:dyDescent="0.3">
      <c r="A90" s="523" t="s">
        <v>2103</v>
      </c>
      <c r="B90" s="524" t="s">
        <v>2104</v>
      </c>
      <c r="C90" s="524" t="s">
        <v>1694</v>
      </c>
      <c r="D90" s="524" t="s">
        <v>2189</v>
      </c>
      <c r="E90" s="524" t="s">
        <v>2190</v>
      </c>
      <c r="F90" s="527">
        <v>10</v>
      </c>
      <c r="G90" s="527">
        <v>2660</v>
      </c>
      <c r="H90" s="527">
        <v>1</v>
      </c>
      <c r="I90" s="527">
        <v>266</v>
      </c>
      <c r="J90" s="527">
        <v>3</v>
      </c>
      <c r="K90" s="527">
        <v>798</v>
      </c>
      <c r="L90" s="527">
        <v>0.3</v>
      </c>
      <c r="M90" s="527">
        <v>266</v>
      </c>
      <c r="N90" s="527">
        <v>4</v>
      </c>
      <c r="O90" s="527">
        <v>1064</v>
      </c>
      <c r="P90" s="540">
        <v>0.4</v>
      </c>
      <c r="Q90" s="528">
        <v>266</v>
      </c>
    </row>
    <row r="91" spans="1:17" ht="14.4" customHeight="1" x14ac:dyDescent="0.3">
      <c r="A91" s="523" t="s">
        <v>2103</v>
      </c>
      <c r="B91" s="524" t="s">
        <v>2104</v>
      </c>
      <c r="C91" s="524" t="s">
        <v>1694</v>
      </c>
      <c r="D91" s="524" t="s">
        <v>2191</v>
      </c>
      <c r="E91" s="524" t="s">
        <v>2192</v>
      </c>
      <c r="F91" s="527">
        <v>29</v>
      </c>
      <c r="G91" s="527">
        <v>638</v>
      </c>
      <c r="H91" s="527">
        <v>1</v>
      </c>
      <c r="I91" s="527">
        <v>22</v>
      </c>
      <c r="J91" s="527">
        <v>19</v>
      </c>
      <c r="K91" s="527">
        <v>418</v>
      </c>
      <c r="L91" s="527">
        <v>0.65517241379310343</v>
      </c>
      <c r="M91" s="527">
        <v>22</v>
      </c>
      <c r="N91" s="527">
        <v>32</v>
      </c>
      <c r="O91" s="527">
        <v>704</v>
      </c>
      <c r="P91" s="540">
        <v>1.103448275862069</v>
      </c>
      <c r="Q91" s="528">
        <v>22</v>
      </c>
    </row>
    <row r="92" spans="1:17" ht="14.4" customHeight="1" x14ac:dyDescent="0.3">
      <c r="A92" s="523" t="s">
        <v>2103</v>
      </c>
      <c r="B92" s="524" t="s">
        <v>2104</v>
      </c>
      <c r="C92" s="524" t="s">
        <v>1694</v>
      </c>
      <c r="D92" s="524" t="s">
        <v>2193</v>
      </c>
      <c r="E92" s="524" t="s">
        <v>2194</v>
      </c>
      <c r="F92" s="527"/>
      <c r="G92" s="527"/>
      <c r="H92" s="527"/>
      <c r="I92" s="527"/>
      <c r="J92" s="527"/>
      <c r="K92" s="527"/>
      <c r="L92" s="527"/>
      <c r="M92" s="527"/>
      <c r="N92" s="527">
        <v>1</v>
      </c>
      <c r="O92" s="527">
        <v>145</v>
      </c>
      <c r="P92" s="540"/>
      <c r="Q92" s="528">
        <v>145</v>
      </c>
    </row>
    <row r="93" spans="1:17" ht="14.4" customHeight="1" x14ac:dyDescent="0.3">
      <c r="A93" s="523" t="s">
        <v>2103</v>
      </c>
      <c r="B93" s="524" t="s">
        <v>2104</v>
      </c>
      <c r="C93" s="524" t="s">
        <v>1694</v>
      </c>
      <c r="D93" s="524" t="s">
        <v>2195</v>
      </c>
      <c r="E93" s="524" t="s">
        <v>2196</v>
      </c>
      <c r="F93" s="527">
        <v>10</v>
      </c>
      <c r="G93" s="527">
        <v>2300</v>
      </c>
      <c r="H93" s="527">
        <v>1</v>
      </c>
      <c r="I93" s="527">
        <v>230</v>
      </c>
      <c r="J93" s="527">
        <v>3</v>
      </c>
      <c r="K93" s="527">
        <v>690</v>
      </c>
      <c r="L93" s="527">
        <v>0.3</v>
      </c>
      <c r="M93" s="527">
        <v>230</v>
      </c>
      <c r="N93" s="527">
        <v>4</v>
      </c>
      <c r="O93" s="527">
        <v>920</v>
      </c>
      <c r="P93" s="540">
        <v>0.4</v>
      </c>
      <c r="Q93" s="528">
        <v>230</v>
      </c>
    </row>
    <row r="94" spans="1:17" ht="14.4" customHeight="1" x14ac:dyDescent="0.3">
      <c r="A94" s="523" t="s">
        <v>2103</v>
      </c>
      <c r="B94" s="524" t="s">
        <v>2104</v>
      </c>
      <c r="C94" s="524" t="s">
        <v>1694</v>
      </c>
      <c r="D94" s="524" t="s">
        <v>2197</v>
      </c>
      <c r="E94" s="524" t="s">
        <v>2198</v>
      </c>
      <c r="F94" s="527">
        <v>1</v>
      </c>
      <c r="G94" s="527">
        <v>310</v>
      </c>
      <c r="H94" s="527">
        <v>1</v>
      </c>
      <c r="I94" s="527">
        <v>310</v>
      </c>
      <c r="J94" s="527"/>
      <c r="K94" s="527"/>
      <c r="L94" s="527"/>
      <c r="M94" s="527"/>
      <c r="N94" s="527">
        <v>2</v>
      </c>
      <c r="O94" s="527">
        <v>620</v>
      </c>
      <c r="P94" s="540">
        <v>2</v>
      </c>
      <c r="Q94" s="528">
        <v>310</v>
      </c>
    </row>
    <row r="95" spans="1:17" ht="14.4" customHeight="1" x14ac:dyDescent="0.3">
      <c r="A95" s="523" t="s">
        <v>2103</v>
      </c>
      <c r="B95" s="524" t="s">
        <v>2104</v>
      </c>
      <c r="C95" s="524" t="s">
        <v>1694</v>
      </c>
      <c r="D95" s="524" t="s">
        <v>2199</v>
      </c>
      <c r="E95" s="524" t="s">
        <v>2200</v>
      </c>
      <c r="F95" s="527">
        <v>151</v>
      </c>
      <c r="G95" s="527">
        <v>2567</v>
      </c>
      <c r="H95" s="527">
        <v>1</v>
      </c>
      <c r="I95" s="527">
        <v>17</v>
      </c>
      <c r="J95" s="527">
        <v>130</v>
      </c>
      <c r="K95" s="527">
        <v>2210</v>
      </c>
      <c r="L95" s="527">
        <v>0.86092715231788075</v>
      </c>
      <c r="M95" s="527">
        <v>17</v>
      </c>
      <c r="N95" s="527">
        <v>167</v>
      </c>
      <c r="O95" s="527">
        <v>2839</v>
      </c>
      <c r="P95" s="540">
        <v>1.1059602649006623</v>
      </c>
      <c r="Q95" s="528">
        <v>17</v>
      </c>
    </row>
    <row r="96" spans="1:17" ht="14.4" customHeight="1" x14ac:dyDescent="0.3">
      <c r="A96" s="523" t="s">
        <v>2103</v>
      </c>
      <c r="B96" s="524" t="s">
        <v>2104</v>
      </c>
      <c r="C96" s="524" t="s">
        <v>1694</v>
      </c>
      <c r="D96" s="524" t="s">
        <v>2201</v>
      </c>
      <c r="E96" s="524" t="s">
        <v>2202</v>
      </c>
      <c r="F96" s="527">
        <v>4</v>
      </c>
      <c r="G96" s="527">
        <v>2216</v>
      </c>
      <c r="H96" s="527">
        <v>1</v>
      </c>
      <c r="I96" s="527">
        <v>554</v>
      </c>
      <c r="J96" s="527"/>
      <c r="K96" s="527"/>
      <c r="L96" s="527"/>
      <c r="M96" s="527"/>
      <c r="N96" s="527">
        <v>2</v>
      </c>
      <c r="O96" s="527">
        <v>1110</v>
      </c>
      <c r="P96" s="540">
        <v>0.50090252707581229</v>
      </c>
      <c r="Q96" s="528">
        <v>555</v>
      </c>
    </row>
    <row r="97" spans="1:17" ht="14.4" customHeight="1" x14ac:dyDescent="0.3">
      <c r="A97" s="523" t="s">
        <v>2103</v>
      </c>
      <c r="B97" s="524" t="s">
        <v>2104</v>
      </c>
      <c r="C97" s="524" t="s">
        <v>1694</v>
      </c>
      <c r="D97" s="524" t="s">
        <v>2203</v>
      </c>
      <c r="E97" s="524" t="s">
        <v>2204</v>
      </c>
      <c r="F97" s="527"/>
      <c r="G97" s="527"/>
      <c r="H97" s="527"/>
      <c r="I97" s="527"/>
      <c r="J97" s="527">
        <v>1</v>
      </c>
      <c r="K97" s="527">
        <v>204</v>
      </c>
      <c r="L97" s="527"/>
      <c r="M97" s="527">
        <v>204</v>
      </c>
      <c r="N97" s="527"/>
      <c r="O97" s="527"/>
      <c r="P97" s="540"/>
      <c r="Q97" s="528"/>
    </row>
    <row r="98" spans="1:17" ht="14.4" customHeight="1" x14ac:dyDescent="0.3">
      <c r="A98" s="523" t="s">
        <v>2103</v>
      </c>
      <c r="B98" s="524" t="s">
        <v>2104</v>
      </c>
      <c r="C98" s="524" t="s">
        <v>1694</v>
      </c>
      <c r="D98" s="524" t="s">
        <v>2205</v>
      </c>
      <c r="E98" s="524" t="s">
        <v>2206</v>
      </c>
      <c r="F98" s="527">
        <v>2</v>
      </c>
      <c r="G98" s="527">
        <v>124</v>
      </c>
      <c r="H98" s="527">
        <v>1</v>
      </c>
      <c r="I98" s="527">
        <v>62</v>
      </c>
      <c r="J98" s="527">
        <v>7</v>
      </c>
      <c r="K98" s="527">
        <v>434</v>
      </c>
      <c r="L98" s="527">
        <v>3.5</v>
      </c>
      <c r="M98" s="527">
        <v>62</v>
      </c>
      <c r="N98" s="527"/>
      <c r="O98" s="527"/>
      <c r="P98" s="540"/>
      <c r="Q98" s="528"/>
    </row>
    <row r="99" spans="1:17" ht="14.4" customHeight="1" x14ac:dyDescent="0.3">
      <c r="A99" s="523" t="s">
        <v>2103</v>
      </c>
      <c r="B99" s="524" t="s">
        <v>2104</v>
      </c>
      <c r="C99" s="524" t="s">
        <v>1694</v>
      </c>
      <c r="D99" s="524" t="s">
        <v>2207</v>
      </c>
      <c r="E99" s="524" t="s">
        <v>2208</v>
      </c>
      <c r="F99" s="527">
        <v>1</v>
      </c>
      <c r="G99" s="527">
        <v>473</v>
      </c>
      <c r="H99" s="527">
        <v>1</v>
      </c>
      <c r="I99" s="527">
        <v>473</v>
      </c>
      <c r="J99" s="527"/>
      <c r="K99" s="527"/>
      <c r="L99" s="527"/>
      <c r="M99" s="527"/>
      <c r="N99" s="527"/>
      <c r="O99" s="527"/>
      <c r="P99" s="540"/>
      <c r="Q99" s="528"/>
    </row>
    <row r="100" spans="1:17" ht="14.4" customHeight="1" x14ac:dyDescent="0.3">
      <c r="A100" s="523" t="s">
        <v>2103</v>
      </c>
      <c r="B100" s="524" t="s">
        <v>2104</v>
      </c>
      <c r="C100" s="524" t="s">
        <v>1694</v>
      </c>
      <c r="D100" s="524" t="s">
        <v>2209</v>
      </c>
      <c r="E100" s="524" t="s">
        <v>2210</v>
      </c>
      <c r="F100" s="527">
        <v>242</v>
      </c>
      <c r="G100" s="527">
        <v>4840</v>
      </c>
      <c r="H100" s="527">
        <v>1</v>
      </c>
      <c r="I100" s="527">
        <v>20</v>
      </c>
      <c r="J100" s="527">
        <v>196</v>
      </c>
      <c r="K100" s="527">
        <v>3920</v>
      </c>
      <c r="L100" s="527">
        <v>0.80991735537190079</v>
      </c>
      <c r="M100" s="527">
        <v>20</v>
      </c>
      <c r="N100" s="527">
        <v>167</v>
      </c>
      <c r="O100" s="527">
        <v>3340</v>
      </c>
      <c r="P100" s="540">
        <v>0.69008264462809921</v>
      </c>
      <c r="Q100" s="528">
        <v>20</v>
      </c>
    </row>
    <row r="101" spans="1:17" ht="14.4" customHeight="1" x14ac:dyDescent="0.3">
      <c r="A101" s="523" t="s">
        <v>2103</v>
      </c>
      <c r="B101" s="524" t="s">
        <v>2104</v>
      </c>
      <c r="C101" s="524" t="s">
        <v>1694</v>
      </c>
      <c r="D101" s="524" t="s">
        <v>2211</v>
      </c>
      <c r="E101" s="524" t="s">
        <v>2212</v>
      </c>
      <c r="F101" s="527">
        <v>1</v>
      </c>
      <c r="G101" s="527">
        <v>50</v>
      </c>
      <c r="H101" s="527">
        <v>1</v>
      </c>
      <c r="I101" s="527">
        <v>50</v>
      </c>
      <c r="J101" s="527">
        <v>5</v>
      </c>
      <c r="K101" s="527">
        <v>250</v>
      </c>
      <c r="L101" s="527">
        <v>5</v>
      </c>
      <c r="M101" s="527">
        <v>50</v>
      </c>
      <c r="N101" s="527">
        <v>2</v>
      </c>
      <c r="O101" s="527">
        <v>100</v>
      </c>
      <c r="P101" s="540">
        <v>2</v>
      </c>
      <c r="Q101" s="528">
        <v>50</v>
      </c>
    </row>
    <row r="102" spans="1:17" ht="14.4" customHeight="1" x14ac:dyDescent="0.3">
      <c r="A102" s="523" t="s">
        <v>2103</v>
      </c>
      <c r="B102" s="524" t="s">
        <v>2104</v>
      </c>
      <c r="C102" s="524" t="s">
        <v>1694</v>
      </c>
      <c r="D102" s="524" t="s">
        <v>2213</v>
      </c>
      <c r="E102" s="524" t="s">
        <v>2214</v>
      </c>
      <c r="F102" s="527">
        <v>22</v>
      </c>
      <c r="G102" s="527">
        <v>7502</v>
      </c>
      <c r="H102" s="527">
        <v>1</v>
      </c>
      <c r="I102" s="527">
        <v>341</v>
      </c>
      <c r="J102" s="527">
        <v>4</v>
      </c>
      <c r="K102" s="527">
        <v>1364</v>
      </c>
      <c r="L102" s="527">
        <v>0.18181818181818182</v>
      </c>
      <c r="M102" s="527">
        <v>341</v>
      </c>
      <c r="N102" s="527"/>
      <c r="O102" s="527"/>
      <c r="P102" s="540"/>
      <c r="Q102" s="528"/>
    </row>
    <row r="103" spans="1:17" ht="14.4" customHeight="1" x14ac:dyDescent="0.3">
      <c r="A103" s="523" t="s">
        <v>2103</v>
      </c>
      <c r="B103" s="524" t="s">
        <v>2104</v>
      </c>
      <c r="C103" s="524" t="s">
        <v>1694</v>
      </c>
      <c r="D103" s="524" t="s">
        <v>2215</v>
      </c>
      <c r="E103" s="524" t="s">
        <v>2216</v>
      </c>
      <c r="F103" s="527">
        <v>5</v>
      </c>
      <c r="G103" s="527">
        <v>1425</v>
      </c>
      <c r="H103" s="527">
        <v>1</v>
      </c>
      <c r="I103" s="527">
        <v>285</v>
      </c>
      <c r="J103" s="527">
        <v>1</v>
      </c>
      <c r="K103" s="527">
        <v>287</v>
      </c>
      <c r="L103" s="527">
        <v>0.20140350877192983</v>
      </c>
      <c r="M103" s="527">
        <v>287</v>
      </c>
      <c r="N103" s="527">
        <v>3</v>
      </c>
      <c r="O103" s="527">
        <v>864</v>
      </c>
      <c r="P103" s="540">
        <v>0.60631578947368425</v>
      </c>
      <c r="Q103" s="528">
        <v>288</v>
      </c>
    </row>
    <row r="104" spans="1:17" ht="14.4" customHeight="1" x14ac:dyDescent="0.3">
      <c r="A104" s="523" t="s">
        <v>2103</v>
      </c>
      <c r="B104" s="524" t="s">
        <v>2104</v>
      </c>
      <c r="C104" s="524" t="s">
        <v>1694</v>
      </c>
      <c r="D104" s="524" t="s">
        <v>2217</v>
      </c>
      <c r="E104" s="524" t="s">
        <v>2218</v>
      </c>
      <c r="F104" s="527">
        <v>21</v>
      </c>
      <c r="G104" s="527">
        <v>630</v>
      </c>
      <c r="H104" s="527">
        <v>1</v>
      </c>
      <c r="I104" s="527">
        <v>30</v>
      </c>
      <c r="J104" s="527">
        <v>21</v>
      </c>
      <c r="K104" s="527">
        <v>630</v>
      </c>
      <c r="L104" s="527">
        <v>1</v>
      </c>
      <c r="M104" s="527">
        <v>30</v>
      </c>
      <c r="N104" s="527">
        <v>33</v>
      </c>
      <c r="O104" s="527">
        <v>990</v>
      </c>
      <c r="P104" s="540">
        <v>1.5714285714285714</v>
      </c>
      <c r="Q104" s="528">
        <v>30</v>
      </c>
    </row>
    <row r="105" spans="1:17" ht="14.4" customHeight="1" x14ac:dyDescent="0.3">
      <c r="A105" s="523" t="s">
        <v>2103</v>
      </c>
      <c r="B105" s="524" t="s">
        <v>2104</v>
      </c>
      <c r="C105" s="524" t="s">
        <v>1694</v>
      </c>
      <c r="D105" s="524" t="s">
        <v>2219</v>
      </c>
      <c r="E105" s="524" t="s">
        <v>2220</v>
      </c>
      <c r="F105" s="527">
        <v>1</v>
      </c>
      <c r="G105" s="527">
        <v>53</v>
      </c>
      <c r="H105" s="527">
        <v>1</v>
      </c>
      <c r="I105" s="527">
        <v>53</v>
      </c>
      <c r="J105" s="527">
        <v>9</v>
      </c>
      <c r="K105" s="527">
        <v>477</v>
      </c>
      <c r="L105" s="527">
        <v>9</v>
      </c>
      <c r="M105" s="527">
        <v>53</v>
      </c>
      <c r="N105" s="527">
        <v>2</v>
      </c>
      <c r="O105" s="527">
        <v>106</v>
      </c>
      <c r="P105" s="540">
        <v>2</v>
      </c>
      <c r="Q105" s="528">
        <v>53</v>
      </c>
    </row>
    <row r="106" spans="1:17" ht="14.4" customHeight="1" x14ac:dyDescent="0.3">
      <c r="A106" s="523" t="s">
        <v>2103</v>
      </c>
      <c r="B106" s="524" t="s">
        <v>2104</v>
      </c>
      <c r="C106" s="524" t="s">
        <v>1694</v>
      </c>
      <c r="D106" s="524" t="s">
        <v>2221</v>
      </c>
      <c r="E106" s="524" t="s">
        <v>2222</v>
      </c>
      <c r="F106" s="527"/>
      <c r="G106" s="527"/>
      <c r="H106" s="527"/>
      <c r="I106" s="527"/>
      <c r="J106" s="527">
        <v>4</v>
      </c>
      <c r="K106" s="527">
        <v>240</v>
      </c>
      <c r="L106" s="527"/>
      <c r="M106" s="527">
        <v>60</v>
      </c>
      <c r="N106" s="527">
        <v>2</v>
      </c>
      <c r="O106" s="527">
        <v>120</v>
      </c>
      <c r="P106" s="540"/>
      <c r="Q106" s="528">
        <v>60</v>
      </c>
    </row>
    <row r="107" spans="1:17" ht="14.4" customHeight="1" x14ac:dyDescent="0.3">
      <c r="A107" s="523" t="s">
        <v>2103</v>
      </c>
      <c r="B107" s="524" t="s">
        <v>2104</v>
      </c>
      <c r="C107" s="524" t="s">
        <v>1694</v>
      </c>
      <c r="D107" s="524" t="s">
        <v>2223</v>
      </c>
      <c r="E107" s="524" t="s">
        <v>2224</v>
      </c>
      <c r="F107" s="527"/>
      <c r="G107" s="527"/>
      <c r="H107" s="527"/>
      <c r="I107" s="527"/>
      <c r="J107" s="527">
        <v>1</v>
      </c>
      <c r="K107" s="527">
        <v>84</v>
      </c>
      <c r="L107" s="527"/>
      <c r="M107" s="527">
        <v>84</v>
      </c>
      <c r="N107" s="527"/>
      <c r="O107" s="527"/>
      <c r="P107" s="540"/>
      <c r="Q107" s="528"/>
    </row>
    <row r="108" spans="1:17" ht="14.4" customHeight="1" x14ac:dyDescent="0.3">
      <c r="A108" s="523" t="s">
        <v>2103</v>
      </c>
      <c r="B108" s="524" t="s">
        <v>2104</v>
      </c>
      <c r="C108" s="524" t="s">
        <v>1694</v>
      </c>
      <c r="D108" s="524" t="s">
        <v>2225</v>
      </c>
      <c r="E108" s="524" t="s">
        <v>2226</v>
      </c>
      <c r="F108" s="527">
        <v>3</v>
      </c>
      <c r="G108" s="527">
        <v>183</v>
      </c>
      <c r="H108" s="527">
        <v>1</v>
      </c>
      <c r="I108" s="527">
        <v>61</v>
      </c>
      <c r="J108" s="527">
        <v>2</v>
      </c>
      <c r="K108" s="527">
        <v>122</v>
      </c>
      <c r="L108" s="527">
        <v>0.66666666666666663</v>
      </c>
      <c r="M108" s="527">
        <v>61</v>
      </c>
      <c r="N108" s="527">
        <v>1</v>
      </c>
      <c r="O108" s="527">
        <v>61</v>
      </c>
      <c r="P108" s="540">
        <v>0.33333333333333331</v>
      </c>
      <c r="Q108" s="528">
        <v>61</v>
      </c>
    </row>
    <row r="109" spans="1:17" ht="14.4" customHeight="1" x14ac:dyDescent="0.3">
      <c r="A109" s="523" t="s">
        <v>2103</v>
      </c>
      <c r="B109" s="524" t="s">
        <v>2104</v>
      </c>
      <c r="C109" s="524" t="s">
        <v>1694</v>
      </c>
      <c r="D109" s="524" t="s">
        <v>2227</v>
      </c>
      <c r="E109" s="524" t="s">
        <v>2228</v>
      </c>
      <c r="F109" s="527">
        <v>71</v>
      </c>
      <c r="G109" s="527">
        <v>852</v>
      </c>
      <c r="H109" s="527">
        <v>1</v>
      </c>
      <c r="I109" s="527">
        <v>12</v>
      </c>
      <c r="J109" s="527">
        <v>71</v>
      </c>
      <c r="K109" s="527">
        <v>852</v>
      </c>
      <c r="L109" s="527">
        <v>1</v>
      </c>
      <c r="M109" s="527">
        <v>12</v>
      </c>
      <c r="N109" s="527">
        <v>52</v>
      </c>
      <c r="O109" s="527">
        <v>624</v>
      </c>
      <c r="P109" s="540">
        <v>0.73239436619718312</v>
      </c>
      <c r="Q109" s="528">
        <v>12</v>
      </c>
    </row>
    <row r="110" spans="1:17" ht="14.4" customHeight="1" x14ac:dyDescent="0.3">
      <c r="A110" s="523" t="s">
        <v>2103</v>
      </c>
      <c r="B110" s="524" t="s">
        <v>2104</v>
      </c>
      <c r="C110" s="524" t="s">
        <v>1694</v>
      </c>
      <c r="D110" s="524" t="s">
        <v>2229</v>
      </c>
      <c r="E110" s="524" t="s">
        <v>2230</v>
      </c>
      <c r="F110" s="527">
        <v>4</v>
      </c>
      <c r="G110" s="527">
        <v>28</v>
      </c>
      <c r="H110" s="527">
        <v>1</v>
      </c>
      <c r="I110" s="527">
        <v>7</v>
      </c>
      <c r="J110" s="527">
        <v>10</v>
      </c>
      <c r="K110" s="527">
        <v>70</v>
      </c>
      <c r="L110" s="527">
        <v>2.5</v>
      </c>
      <c r="M110" s="527">
        <v>7</v>
      </c>
      <c r="N110" s="527"/>
      <c r="O110" s="527"/>
      <c r="P110" s="540"/>
      <c r="Q110" s="528"/>
    </row>
    <row r="111" spans="1:17" ht="14.4" customHeight="1" x14ac:dyDescent="0.3">
      <c r="A111" s="523" t="s">
        <v>2103</v>
      </c>
      <c r="B111" s="524" t="s">
        <v>2104</v>
      </c>
      <c r="C111" s="524" t="s">
        <v>1694</v>
      </c>
      <c r="D111" s="524" t="s">
        <v>2231</v>
      </c>
      <c r="E111" s="524" t="s">
        <v>2232</v>
      </c>
      <c r="F111" s="527">
        <v>3818</v>
      </c>
      <c r="G111" s="527">
        <v>271078</v>
      </c>
      <c r="H111" s="527">
        <v>1</v>
      </c>
      <c r="I111" s="527">
        <v>71</v>
      </c>
      <c r="J111" s="527">
        <v>3581</v>
      </c>
      <c r="K111" s="527">
        <v>254251</v>
      </c>
      <c r="L111" s="527">
        <v>0.93792561550550024</v>
      </c>
      <c r="M111" s="527">
        <v>71</v>
      </c>
      <c r="N111" s="527">
        <v>4786</v>
      </c>
      <c r="O111" s="527">
        <v>339806</v>
      </c>
      <c r="P111" s="540">
        <v>1.2535358826610792</v>
      </c>
      <c r="Q111" s="528">
        <v>71</v>
      </c>
    </row>
    <row r="112" spans="1:17" ht="14.4" customHeight="1" x14ac:dyDescent="0.3">
      <c r="A112" s="523" t="s">
        <v>2103</v>
      </c>
      <c r="B112" s="524" t="s">
        <v>2104</v>
      </c>
      <c r="C112" s="524" t="s">
        <v>1694</v>
      </c>
      <c r="D112" s="524" t="s">
        <v>2233</v>
      </c>
      <c r="E112" s="524" t="s">
        <v>2234</v>
      </c>
      <c r="F112" s="527">
        <v>171</v>
      </c>
      <c r="G112" s="527">
        <v>3249</v>
      </c>
      <c r="H112" s="527">
        <v>1</v>
      </c>
      <c r="I112" s="527">
        <v>19</v>
      </c>
      <c r="J112" s="527">
        <v>142</v>
      </c>
      <c r="K112" s="527">
        <v>2698</v>
      </c>
      <c r="L112" s="527">
        <v>0.83040935672514615</v>
      </c>
      <c r="M112" s="527">
        <v>19</v>
      </c>
      <c r="N112" s="527">
        <v>171</v>
      </c>
      <c r="O112" s="527">
        <v>3249</v>
      </c>
      <c r="P112" s="540">
        <v>1</v>
      </c>
      <c r="Q112" s="528">
        <v>19</v>
      </c>
    </row>
    <row r="113" spans="1:17" ht="14.4" customHeight="1" x14ac:dyDescent="0.3">
      <c r="A113" s="523" t="s">
        <v>2103</v>
      </c>
      <c r="B113" s="524" t="s">
        <v>2104</v>
      </c>
      <c r="C113" s="524" t="s">
        <v>1694</v>
      </c>
      <c r="D113" s="524" t="s">
        <v>2235</v>
      </c>
      <c r="E113" s="524" t="s">
        <v>2236</v>
      </c>
      <c r="F113" s="527">
        <v>67</v>
      </c>
      <c r="G113" s="527">
        <v>5226</v>
      </c>
      <c r="H113" s="527">
        <v>1</v>
      </c>
      <c r="I113" s="527">
        <v>78</v>
      </c>
      <c r="J113" s="527">
        <v>53</v>
      </c>
      <c r="K113" s="527">
        <v>4134</v>
      </c>
      <c r="L113" s="527">
        <v>0.79104477611940294</v>
      </c>
      <c r="M113" s="527">
        <v>78</v>
      </c>
      <c r="N113" s="527">
        <v>36</v>
      </c>
      <c r="O113" s="527">
        <v>2808</v>
      </c>
      <c r="P113" s="540">
        <v>0.53731343283582089</v>
      </c>
      <c r="Q113" s="528">
        <v>78</v>
      </c>
    </row>
    <row r="114" spans="1:17" ht="14.4" customHeight="1" x14ac:dyDescent="0.3">
      <c r="A114" s="523" t="s">
        <v>2103</v>
      </c>
      <c r="B114" s="524" t="s">
        <v>2104</v>
      </c>
      <c r="C114" s="524" t="s">
        <v>1694</v>
      </c>
      <c r="D114" s="524" t="s">
        <v>2237</v>
      </c>
      <c r="E114" s="524" t="s">
        <v>2238</v>
      </c>
      <c r="F114" s="527">
        <v>67</v>
      </c>
      <c r="G114" s="527">
        <v>1273</v>
      </c>
      <c r="H114" s="527">
        <v>1</v>
      </c>
      <c r="I114" s="527">
        <v>19</v>
      </c>
      <c r="J114" s="527">
        <v>61</v>
      </c>
      <c r="K114" s="527">
        <v>1159</v>
      </c>
      <c r="L114" s="527">
        <v>0.91044776119402981</v>
      </c>
      <c r="M114" s="527">
        <v>19</v>
      </c>
      <c r="N114" s="527">
        <v>65</v>
      </c>
      <c r="O114" s="527">
        <v>1235</v>
      </c>
      <c r="P114" s="540">
        <v>0.97014925373134331</v>
      </c>
      <c r="Q114" s="528">
        <v>19</v>
      </c>
    </row>
    <row r="115" spans="1:17" ht="14.4" customHeight="1" x14ac:dyDescent="0.3">
      <c r="A115" s="523" t="s">
        <v>2103</v>
      </c>
      <c r="B115" s="524" t="s">
        <v>2104</v>
      </c>
      <c r="C115" s="524" t="s">
        <v>1694</v>
      </c>
      <c r="D115" s="524" t="s">
        <v>2239</v>
      </c>
      <c r="E115" s="524" t="s">
        <v>2240</v>
      </c>
      <c r="F115" s="527">
        <v>14</v>
      </c>
      <c r="G115" s="527">
        <v>1470</v>
      </c>
      <c r="H115" s="527">
        <v>1</v>
      </c>
      <c r="I115" s="527">
        <v>105</v>
      </c>
      <c r="J115" s="527">
        <v>8</v>
      </c>
      <c r="K115" s="527">
        <v>840</v>
      </c>
      <c r="L115" s="527">
        <v>0.5714285714285714</v>
      </c>
      <c r="M115" s="527">
        <v>105</v>
      </c>
      <c r="N115" s="527">
        <v>8</v>
      </c>
      <c r="O115" s="527">
        <v>840</v>
      </c>
      <c r="P115" s="540">
        <v>0.5714285714285714</v>
      </c>
      <c r="Q115" s="528">
        <v>105</v>
      </c>
    </row>
    <row r="116" spans="1:17" ht="14.4" customHeight="1" x14ac:dyDescent="0.3">
      <c r="A116" s="523" t="s">
        <v>2103</v>
      </c>
      <c r="B116" s="524" t="s">
        <v>2104</v>
      </c>
      <c r="C116" s="524" t="s">
        <v>1694</v>
      </c>
      <c r="D116" s="524" t="s">
        <v>2241</v>
      </c>
      <c r="E116" s="524" t="s">
        <v>2242</v>
      </c>
      <c r="F116" s="527">
        <v>13</v>
      </c>
      <c r="G116" s="527">
        <v>7384</v>
      </c>
      <c r="H116" s="527">
        <v>1</v>
      </c>
      <c r="I116" s="527">
        <v>568</v>
      </c>
      <c r="J116" s="527">
        <v>2</v>
      </c>
      <c r="K116" s="527">
        <v>1136</v>
      </c>
      <c r="L116" s="527">
        <v>0.15384615384615385</v>
      </c>
      <c r="M116" s="527">
        <v>568</v>
      </c>
      <c r="N116" s="527">
        <v>9</v>
      </c>
      <c r="O116" s="527">
        <v>5112</v>
      </c>
      <c r="P116" s="540">
        <v>0.69230769230769229</v>
      </c>
      <c r="Q116" s="528">
        <v>568</v>
      </c>
    </row>
    <row r="117" spans="1:17" ht="14.4" customHeight="1" x14ac:dyDescent="0.3">
      <c r="A117" s="523" t="s">
        <v>2103</v>
      </c>
      <c r="B117" s="524" t="s">
        <v>2104</v>
      </c>
      <c r="C117" s="524" t="s">
        <v>1694</v>
      </c>
      <c r="D117" s="524" t="s">
        <v>2243</v>
      </c>
      <c r="E117" s="524" t="s">
        <v>2244</v>
      </c>
      <c r="F117" s="527"/>
      <c r="G117" s="527"/>
      <c r="H117" s="527"/>
      <c r="I117" s="527"/>
      <c r="J117" s="527"/>
      <c r="K117" s="527"/>
      <c r="L117" s="527"/>
      <c r="M117" s="527"/>
      <c r="N117" s="527">
        <v>2</v>
      </c>
      <c r="O117" s="527">
        <v>576</v>
      </c>
      <c r="P117" s="540"/>
      <c r="Q117" s="528">
        <v>288</v>
      </c>
    </row>
    <row r="118" spans="1:17" ht="14.4" customHeight="1" x14ac:dyDescent="0.3">
      <c r="A118" s="523" t="s">
        <v>2103</v>
      </c>
      <c r="B118" s="524" t="s">
        <v>2104</v>
      </c>
      <c r="C118" s="524" t="s">
        <v>1694</v>
      </c>
      <c r="D118" s="524" t="s">
        <v>2245</v>
      </c>
      <c r="E118" s="524" t="s">
        <v>2246</v>
      </c>
      <c r="F118" s="527">
        <v>1</v>
      </c>
      <c r="G118" s="527">
        <v>1746</v>
      </c>
      <c r="H118" s="527">
        <v>1</v>
      </c>
      <c r="I118" s="527">
        <v>1746</v>
      </c>
      <c r="J118" s="527"/>
      <c r="K118" s="527"/>
      <c r="L118" s="527"/>
      <c r="M118" s="527"/>
      <c r="N118" s="527"/>
      <c r="O118" s="527"/>
      <c r="P118" s="540"/>
      <c r="Q118" s="528"/>
    </row>
    <row r="119" spans="1:17" ht="14.4" customHeight="1" x14ac:dyDescent="0.3">
      <c r="A119" s="523" t="s">
        <v>2103</v>
      </c>
      <c r="B119" s="524" t="s">
        <v>2104</v>
      </c>
      <c r="C119" s="524" t="s">
        <v>1694</v>
      </c>
      <c r="D119" s="524" t="s">
        <v>2247</v>
      </c>
      <c r="E119" s="524" t="s">
        <v>2248</v>
      </c>
      <c r="F119" s="527">
        <v>2</v>
      </c>
      <c r="G119" s="527">
        <v>2882</v>
      </c>
      <c r="H119" s="527">
        <v>1</v>
      </c>
      <c r="I119" s="527">
        <v>1441</v>
      </c>
      <c r="J119" s="527"/>
      <c r="K119" s="527"/>
      <c r="L119" s="527"/>
      <c r="M119" s="527"/>
      <c r="N119" s="527"/>
      <c r="O119" s="527"/>
      <c r="P119" s="540"/>
      <c r="Q119" s="528"/>
    </row>
    <row r="120" spans="1:17" ht="14.4" customHeight="1" x14ac:dyDescent="0.3">
      <c r="A120" s="523" t="s">
        <v>2103</v>
      </c>
      <c r="B120" s="524" t="s">
        <v>2104</v>
      </c>
      <c r="C120" s="524" t="s">
        <v>1694</v>
      </c>
      <c r="D120" s="524" t="s">
        <v>2249</v>
      </c>
      <c r="E120" s="524" t="s">
        <v>2250</v>
      </c>
      <c r="F120" s="527"/>
      <c r="G120" s="527"/>
      <c r="H120" s="527"/>
      <c r="I120" s="527"/>
      <c r="J120" s="527">
        <v>1</v>
      </c>
      <c r="K120" s="527">
        <v>850</v>
      </c>
      <c r="L120" s="527"/>
      <c r="M120" s="527">
        <v>850</v>
      </c>
      <c r="N120" s="527"/>
      <c r="O120" s="527"/>
      <c r="P120" s="540"/>
      <c r="Q120" s="528"/>
    </row>
    <row r="121" spans="1:17" ht="14.4" customHeight="1" x14ac:dyDescent="0.3">
      <c r="A121" s="523" t="s">
        <v>2103</v>
      </c>
      <c r="B121" s="524" t="s">
        <v>2104</v>
      </c>
      <c r="C121" s="524" t="s">
        <v>1694</v>
      </c>
      <c r="D121" s="524" t="s">
        <v>2251</v>
      </c>
      <c r="E121" s="524" t="s">
        <v>2252</v>
      </c>
      <c r="F121" s="527">
        <v>1</v>
      </c>
      <c r="G121" s="527">
        <v>277</v>
      </c>
      <c r="H121" s="527">
        <v>1</v>
      </c>
      <c r="I121" s="527">
        <v>277</v>
      </c>
      <c r="J121" s="527">
        <v>3</v>
      </c>
      <c r="K121" s="527">
        <v>831</v>
      </c>
      <c r="L121" s="527">
        <v>3</v>
      </c>
      <c r="M121" s="527">
        <v>277</v>
      </c>
      <c r="N121" s="527">
        <v>4</v>
      </c>
      <c r="O121" s="527">
        <v>1108</v>
      </c>
      <c r="P121" s="540">
        <v>4</v>
      </c>
      <c r="Q121" s="528">
        <v>277</v>
      </c>
    </row>
    <row r="122" spans="1:17" ht="14.4" customHeight="1" x14ac:dyDescent="0.3">
      <c r="A122" s="523" t="s">
        <v>2103</v>
      </c>
      <c r="B122" s="524" t="s">
        <v>2104</v>
      </c>
      <c r="C122" s="524" t="s">
        <v>1694</v>
      </c>
      <c r="D122" s="524" t="s">
        <v>2253</v>
      </c>
      <c r="E122" s="524" t="s">
        <v>2254</v>
      </c>
      <c r="F122" s="527">
        <v>40</v>
      </c>
      <c r="G122" s="527">
        <v>18440</v>
      </c>
      <c r="H122" s="527">
        <v>1</v>
      </c>
      <c r="I122" s="527">
        <v>461</v>
      </c>
      <c r="J122" s="527">
        <v>24</v>
      </c>
      <c r="K122" s="527">
        <v>11064</v>
      </c>
      <c r="L122" s="527">
        <v>0.6</v>
      </c>
      <c r="M122" s="527">
        <v>461</v>
      </c>
      <c r="N122" s="527">
        <v>23</v>
      </c>
      <c r="O122" s="527">
        <v>10603</v>
      </c>
      <c r="P122" s="540">
        <v>0.57499999999999996</v>
      </c>
      <c r="Q122" s="528">
        <v>461</v>
      </c>
    </row>
    <row r="123" spans="1:17" ht="14.4" customHeight="1" x14ac:dyDescent="0.3">
      <c r="A123" s="523" t="s">
        <v>2103</v>
      </c>
      <c r="B123" s="524" t="s">
        <v>2104</v>
      </c>
      <c r="C123" s="524" t="s">
        <v>1694</v>
      </c>
      <c r="D123" s="524" t="s">
        <v>2255</v>
      </c>
      <c r="E123" s="524" t="s">
        <v>2256</v>
      </c>
      <c r="F123" s="527">
        <v>61</v>
      </c>
      <c r="G123" s="527">
        <v>19032</v>
      </c>
      <c r="H123" s="527">
        <v>1</v>
      </c>
      <c r="I123" s="527">
        <v>312</v>
      </c>
      <c r="J123" s="527">
        <v>51</v>
      </c>
      <c r="K123" s="527">
        <v>15912</v>
      </c>
      <c r="L123" s="527">
        <v>0.83606557377049184</v>
      </c>
      <c r="M123" s="527">
        <v>312</v>
      </c>
      <c r="N123" s="527">
        <v>35</v>
      </c>
      <c r="O123" s="527">
        <v>10920</v>
      </c>
      <c r="P123" s="540">
        <v>0.57377049180327866</v>
      </c>
      <c r="Q123" s="528">
        <v>312</v>
      </c>
    </row>
    <row r="124" spans="1:17" ht="14.4" customHeight="1" x14ac:dyDescent="0.3">
      <c r="A124" s="523" t="s">
        <v>2103</v>
      </c>
      <c r="B124" s="524" t="s">
        <v>2104</v>
      </c>
      <c r="C124" s="524" t="s">
        <v>1694</v>
      </c>
      <c r="D124" s="524" t="s">
        <v>2257</v>
      </c>
      <c r="E124" s="524" t="s">
        <v>2258</v>
      </c>
      <c r="F124" s="527"/>
      <c r="G124" s="527"/>
      <c r="H124" s="527"/>
      <c r="I124" s="527"/>
      <c r="J124" s="527"/>
      <c r="K124" s="527"/>
      <c r="L124" s="527"/>
      <c r="M124" s="527"/>
      <c r="N124" s="527">
        <v>1</v>
      </c>
      <c r="O124" s="527">
        <v>514</v>
      </c>
      <c r="P124" s="540"/>
      <c r="Q124" s="528">
        <v>514</v>
      </c>
    </row>
    <row r="125" spans="1:17" ht="14.4" customHeight="1" x14ac:dyDescent="0.3">
      <c r="A125" s="523" t="s">
        <v>2103</v>
      </c>
      <c r="B125" s="524" t="s">
        <v>2104</v>
      </c>
      <c r="C125" s="524" t="s">
        <v>1694</v>
      </c>
      <c r="D125" s="524" t="s">
        <v>2259</v>
      </c>
      <c r="E125" s="524" t="s">
        <v>2260</v>
      </c>
      <c r="F125" s="527"/>
      <c r="G125" s="527"/>
      <c r="H125" s="527"/>
      <c r="I125" s="527"/>
      <c r="J125" s="527">
        <v>3</v>
      </c>
      <c r="K125" s="527">
        <v>2550</v>
      </c>
      <c r="L125" s="527"/>
      <c r="M125" s="527">
        <v>850</v>
      </c>
      <c r="N125" s="527">
        <v>1</v>
      </c>
      <c r="O125" s="527">
        <v>851</v>
      </c>
      <c r="P125" s="540"/>
      <c r="Q125" s="528">
        <v>851</v>
      </c>
    </row>
    <row r="126" spans="1:17" ht="14.4" customHeight="1" x14ac:dyDescent="0.3">
      <c r="A126" s="523" t="s">
        <v>2103</v>
      </c>
      <c r="B126" s="524" t="s">
        <v>2104</v>
      </c>
      <c r="C126" s="524" t="s">
        <v>1694</v>
      </c>
      <c r="D126" s="524" t="s">
        <v>2261</v>
      </c>
      <c r="E126" s="524" t="s">
        <v>2262</v>
      </c>
      <c r="F126" s="527"/>
      <c r="G126" s="527"/>
      <c r="H126" s="527"/>
      <c r="I126" s="527"/>
      <c r="J126" s="527"/>
      <c r="K126" s="527"/>
      <c r="L126" s="527"/>
      <c r="M126" s="527"/>
      <c r="N126" s="527">
        <v>4</v>
      </c>
      <c r="O126" s="527">
        <v>404</v>
      </c>
      <c r="P126" s="540"/>
      <c r="Q126" s="528">
        <v>101</v>
      </c>
    </row>
    <row r="127" spans="1:17" ht="14.4" customHeight="1" x14ac:dyDescent="0.3">
      <c r="A127" s="523" t="s">
        <v>2103</v>
      </c>
      <c r="B127" s="524" t="s">
        <v>2104</v>
      </c>
      <c r="C127" s="524" t="s">
        <v>1694</v>
      </c>
      <c r="D127" s="524" t="s">
        <v>2263</v>
      </c>
      <c r="E127" s="524" t="s">
        <v>2264</v>
      </c>
      <c r="F127" s="527">
        <v>1772</v>
      </c>
      <c r="G127" s="527">
        <v>326048</v>
      </c>
      <c r="H127" s="527">
        <v>1</v>
      </c>
      <c r="I127" s="527">
        <v>184</v>
      </c>
      <c r="J127" s="527">
        <v>1679</v>
      </c>
      <c r="K127" s="527">
        <v>310615</v>
      </c>
      <c r="L127" s="527">
        <v>0.95266647855530473</v>
      </c>
      <c r="M127" s="527">
        <v>185</v>
      </c>
      <c r="N127" s="527">
        <v>1815</v>
      </c>
      <c r="O127" s="527">
        <v>335775</v>
      </c>
      <c r="P127" s="540">
        <v>1.0298330307194032</v>
      </c>
      <c r="Q127" s="528">
        <v>185</v>
      </c>
    </row>
    <row r="128" spans="1:17" ht="14.4" customHeight="1" x14ac:dyDescent="0.3">
      <c r="A128" s="523" t="s">
        <v>2103</v>
      </c>
      <c r="B128" s="524" t="s">
        <v>2104</v>
      </c>
      <c r="C128" s="524" t="s">
        <v>1694</v>
      </c>
      <c r="D128" s="524" t="s">
        <v>2265</v>
      </c>
      <c r="E128" s="524" t="s">
        <v>2264</v>
      </c>
      <c r="F128" s="527">
        <v>15</v>
      </c>
      <c r="G128" s="527">
        <v>2760</v>
      </c>
      <c r="H128" s="527">
        <v>1</v>
      </c>
      <c r="I128" s="527">
        <v>184</v>
      </c>
      <c r="J128" s="527">
        <v>5</v>
      </c>
      <c r="K128" s="527">
        <v>925</v>
      </c>
      <c r="L128" s="527">
        <v>0.33514492753623187</v>
      </c>
      <c r="M128" s="527">
        <v>185</v>
      </c>
      <c r="N128" s="527">
        <v>15</v>
      </c>
      <c r="O128" s="527">
        <v>2775</v>
      </c>
      <c r="P128" s="540">
        <v>1.0054347826086956</v>
      </c>
      <c r="Q128" s="528">
        <v>185</v>
      </c>
    </row>
    <row r="129" spans="1:17" ht="14.4" customHeight="1" x14ac:dyDescent="0.3">
      <c r="A129" s="523" t="s">
        <v>2103</v>
      </c>
      <c r="B129" s="524" t="s">
        <v>2104</v>
      </c>
      <c r="C129" s="524" t="s">
        <v>1694</v>
      </c>
      <c r="D129" s="524" t="s">
        <v>2266</v>
      </c>
      <c r="E129" s="524" t="s">
        <v>2267</v>
      </c>
      <c r="F129" s="527">
        <v>5</v>
      </c>
      <c r="G129" s="527">
        <v>625</v>
      </c>
      <c r="H129" s="527">
        <v>1</v>
      </c>
      <c r="I129" s="527">
        <v>125</v>
      </c>
      <c r="J129" s="527">
        <v>10</v>
      </c>
      <c r="K129" s="527">
        <v>1260</v>
      </c>
      <c r="L129" s="527">
        <v>2.016</v>
      </c>
      <c r="M129" s="527">
        <v>126</v>
      </c>
      <c r="N129" s="527"/>
      <c r="O129" s="527"/>
      <c r="P129" s="540"/>
      <c r="Q129" s="528"/>
    </row>
    <row r="130" spans="1:17" ht="14.4" customHeight="1" x14ac:dyDescent="0.3">
      <c r="A130" s="523" t="s">
        <v>2103</v>
      </c>
      <c r="B130" s="524" t="s">
        <v>2104</v>
      </c>
      <c r="C130" s="524" t="s">
        <v>1694</v>
      </c>
      <c r="D130" s="524" t="s">
        <v>2268</v>
      </c>
      <c r="E130" s="524" t="s">
        <v>2269</v>
      </c>
      <c r="F130" s="527">
        <v>5</v>
      </c>
      <c r="G130" s="527">
        <v>180</v>
      </c>
      <c r="H130" s="527">
        <v>1</v>
      </c>
      <c r="I130" s="527">
        <v>36</v>
      </c>
      <c r="J130" s="527">
        <v>7</v>
      </c>
      <c r="K130" s="527">
        <v>252</v>
      </c>
      <c r="L130" s="527">
        <v>1.4</v>
      </c>
      <c r="M130" s="527">
        <v>36</v>
      </c>
      <c r="N130" s="527"/>
      <c r="O130" s="527"/>
      <c r="P130" s="540"/>
      <c r="Q130" s="528"/>
    </row>
    <row r="131" spans="1:17" ht="14.4" customHeight="1" x14ac:dyDescent="0.3">
      <c r="A131" s="523" t="s">
        <v>2103</v>
      </c>
      <c r="B131" s="524" t="s">
        <v>2104</v>
      </c>
      <c r="C131" s="524" t="s">
        <v>1694</v>
      </c>
      <c r="D131" s="524" t="s">
        <v>2270</v>
      </c>
      <c r="E131" s="524" t="s">
        <v>2271</v>
      </c>
      <c r="F131" s="527">
        <v>10</v>
      </c>
      <c r="G131" s="527">
        <v>1690</v>
      </c>
      <c r="H131" s="527">
        <v>1</v>
      </c>
      <c r="I131" s="527">
        <v>169</v>
      </c>
      <c r="J131" s="527">
        <v>9</v>
      </c>
      <c r="K131" s="527">
        <v>1521</v>
      </c>
      <c r="L131" s="527">
        <v>0.9</v>
      </c>
      <c r="M131" s="527">
        <v>169</v>
      </c>
      <c r="N131" s="527">
        <v>10</v>
      </c>
      <c r="O131" s="527">
        <v>1690</v>
      </c>
      <c r="P131" s="540">
        <v>1</v>
      </c>
      <c r="Q131" s="528">
        <v>169</v>
      </c>
    </row>
    <row r="132" spans="1:17" ht="14.4" customHeight="1" x14ac:dyDescent="0.3">
      <c r="A132" s="523" t="s">
        <v>2103</v>
      </c>
      <c r="B132" s="524" t="s">
        <v>2104</v>
      </c>
      <c r="C132" s="524" t="s">
        <v>1694</v>
      </c>
      <c r="D132" s="524" t="s">
        <v>2272</v>
      </c>
      <c r="E132" s="524" t="s">
        <v>2273</v>
      </c>
      <c r="F132" s="527">
        <v>1</v>
      </c>
      <c r="G132" s="527">
        <v>166</v>
      </c>
      <c r="H132" s="527">
        <v>1</v>
      </c>
      <c r="I132" s="527">
        <v>166</v>
      </c>
      <c r="J132" s="527"/>
      <c r="K132" s="527"/>
      <c r="L132" s="527"/>
      <c r="M132" s="527"/>
      <c r="N132" s="527"/>
      <c r="O132" s="527"/>
      <c r="P132" s="540"/>
      <c r="Q132" s="528"/>
    </row>
    <row r="133" spans="1:17" ht="14.4" customHeight="1" x14ac:dyDescent="0.3">
      <c r="A133" s="523" t="s">
        <v>2103</v>
      </c>
      <c r="B133" s="524" t="s">
        <v>2104</v>
      </c>
      <c r="C133" s="524" t="s">
        <v>1694</v>
      </c>
      <c r="D133" s="524" t="s">
        <v>2274</v>
      </c>
      <c r="E133" s="524" t="s">
        <v>2275</v>
      </c>
      <c r="F133" s="527">
        <v>1</v>
      </c>
      <c r="G133" s="527">
        <v>172</v>
      </c>
      <c r="H133" s="527">
        <v>1</v>
      </c>
      <c r="I133" s="527">
        <v>172</v>
      </c>
      <c r="J133" s="527"/>
      <c r="K133" s="527"/>
      <c r="L133" s="527"/>
      <c r="M133" s="527"/>
      <c r="N133" s="527"/>
      <c r="O133" s="527"/>
      <c r="P133" s="540"/>
      <c r="Q133" s="528"/>
    </row>
    <row r="134" spans="1:17" ht="14.4" customHeight="1" x14ac:dyDescent="0.3">
      <c r="A134" s="523" t="s">
        <v>2103</v>
      </c>
      <c r="B134" s="524" t="s">
        <v>2104</v>
      </c>
      <c r="C134" s="524" t="s">
        <v>1694</v>
      </c>
      <c r="D134" s="524" t="s">
        <v>2276</v>
      </c>
      <c r="E134" s="524" t="s">
        <v>2277</v>
      </c>
      <c r="F134" s="527"/>
      <c r="G134" s="527"/>
      <c r="H134" s="527"/>
      <c r="I134" s="527"/>
      <c r="J134" s="527">
        <v>1</v>
      </c>
      <c r="K134" s="527">
        <v>176</v>
      </c>
      <c r="L134" s="527"/>
      <c r="M134" s="527">
        <v>176</v>
      </c>
      <c r="N134" s="527"/>
      <c r="O134" s="527"/>
      <c r="P134" s="540"/>
      <c r="Q134" s="528"/>
    </row>
    <row r="135" spans="1:17" ht="14.4" customHeight="1" x14ac:dyDescent="0.3">
      <c r="A135" s="523" t="s">
        <v>2103</v>
      </c>
      <c r="B135" s="524" t="s">
        <v>2104</v>
      </c>
      <c r="C135" s="524" t="s">
        <v>1694</v>
      </c>
      <c r="D135" s="524" t="s">
        <v>2278</v>
      </c>
      <c r="E135" s="524" t="s">
        <v>2279</v>
      </c>
      <c r="F135" s="527">
        <v>1</v>
      </c>
      <c r="G135" s="527">
        <v>166</v>
      </c>
      <c r="H135" s="527">
        <v>1</v>
      </c>
      <c r="I135" s="527">
        <v>166</v>
      </c>
      <c r="J135" s="527"/>
      <c r="K135" s="527"/>
      <c r="L135" s="527"/>
      <c r="M135" s="527"/>
      <c r="N135" s="527"/>
      <c r="O135" s="527"/>
      <c r="P135" s="540"/>
      <c r="Q135" s="528"/>
    </row>
    <row r="136" spans="1:17" ht="14.4" customHeight="1" x14ac:dyDescent="0.3">
      <c r="A136" s="523" t="s">
        <v>2103</v>
      </c>
      <c r="B136" s="524" t="s">
        <v>2104</v>
      </c>
      <c r="C136" s="524" t="s">
        <v>1694</v>
      </c>
      <c r="D136" s="524" t="s">
        <v>2280</v>
      </c>
      <c r="E136" s="524" t="s">
        <v>2281</v>
      </c>
      <c r="F136" s="527">
        <v>1645</v>
      </c>
      <c r="G136" s="527">
        <v>241815</v>
      </c>
      <c r="H136" s="527">
        <v>1</v>
      </c>
      <c r="I136" s="527">
        <v>147</v>
      </c>
      <c r="J136" s="527">
        <v>1362</v>
      </c>
      <c r="K136" s="527">
        <v>200214</v>
      </c>
      <c r="L136" s="527">
        <v>0.8279635258358663</v>
      </c>
      <c r="M136" s="527">
        <v>147</v>
      </c>
      <c r="N136" s="527">
        <v>1284</v>
      </c>
      <c r="O136" s="527">
        <v>188748</v>
      </c>
      <c r="P136" s="540">
        <v>0.78054711246200603</v>
      </c>
      <c r="Q136" s="528">
        <v>147</v>
      </c>
    </row>
    <row r="137" spans="1:17" ht="14.4" customHeight="1" x14ac:dyDescent="0.3">
      <c r="A137" s="523" t="s">
        <v>2103</v>
      </c>
      <c r="B137" s="524" t="s">
        <v>2104</v>
      </c>
      <c r="C137" s="524" t="s">
        <v>1694</v>
      </c>
      <c r="D137" s="524" t="s">
        <v>2282</v>
      </c>
      <c r="E137" s="524" t="s">
        <v>2283</v>
      </c>
      <c r="F137" s="527"/>
      <c r="G137" s="527"/>
      <c r="H137" s="527"/>
      <c r="I137" s="527"/>
      <c r="J137" s="527">
        <v>3</v>
      </c>
      <c r="K137" s="527">
        <v>1047</v>
      </c>
      <c r="L137" s="527"/>
      <c r="M137" s="527">
        <v>349</v>
      </c>
      <c r="N137" s="527"/>
      <c r="O137" s="527"/>
      <c r="P137" s="540"/>
      <c r="Q137" s="528"/>
    </row>
    <row r="138" spans="1:17" ht="14.4" customHeight="1" x14ac:dyDescent="0.3">
      <c r="A138" s="523" t="s">
        <v>2103</v>
      </c>
      <c r="B138" s="524" t="s">
        <v>2104</v>
      </c>
      <c r="C138" s="524" t="s">
        <v>1694</v>
      </c>
      <c r="D138" s="524" t="s">
        <v>2284</v>
      </c>
      <c r="E138" s="524" t="s">
        <v>2285</v>
      </c>
      <c r="F138" s="527"/>
      <c r="G138" s="527"/>
      <c r="H138" s="527"/>
      <c r="I138" s="527"/>
      <c r="J138" s="527">
        <v>3</v>
      </c>
      <c r="K138" s="527">
        <v>972</v>
      </c>
      <c r="L138" s="527"/>
      <c r="M138" s="527">
        <v>324</v>
      </c>
      <c r="N138" s="527"/>
      <c r="O138" s="527"/>
      <c r="P138" s="540"/>
      <c r="Q138" s="528"/>
    </row>
    <row r="139" spans="1:17" ht="14.4" customHeight="1" x14ac:dyDescent="0.3">
      <c r="A139" s="523" t="s">
        <v>2103</v>
      </c>
      <c r="B139" s="524" t="s">
        <v>2104</v>
      </c>
      <c r="C139" s="524" t="s">
        <v>1694</v>
      </c>
      <c r="D139" s="524" t="s">
        <v>2286</v>
      </c>
      <c r="E139" s="524" t="s">
        <v>2287</v>
      </c>
      <c r="F139" s="527"/>
      <c r="G139" s="527"/>
      <c r="H139" s="527"/>
      <c r="I139" s="527"/>
      <c r="J139" s="527">
        <v>3</v>
      </c>
      <c r="K139" s="527">
        <v>1047</v>
      </c>
      <c r="L139" s="527"/>
      <c r="M139" s="527">
        <v>349</v>
      </c>
      <c r="N139" s="527"/>
      <c r="O139" s="527"/>
      <c r="P139" s="540"/>
      <c r="Q139" s="528"/>
    </row>
    <row r="140" spans="1:17" ht="14.4" customHeight="1" x14ac:dyDescent="0.3">
      <c r="A140" s="523" t="s">
        <v>2103</v>
      </c>
      <c r="B140" s="524" t="s">
        <v>2104</v>
      </c>
      <c r="C140" s="524" t="s">
        <v>1694</v>
      </c>
      <c r="D140" s="524" t="s">
        <v>2288</v>
      </c>
      <c r="E140" s="524" t="s">
        <v>2289</v>
      </c>
      <c r="F140" s="527"/>
      <c r="G140" s="527"/>
      <c r="H140" s="527"/>
      <c r="I140" s="527"/>
      <c r="J140" s="527"/>
      <c r="K140" s="527"/>
      <c r="L140" s="527"/>
      <c r="M140" s="527"/>
      <c r="N140" s="527">
        <v>1</v>
      </c>
      <c r="O140" s="527">
        <v>266</v>
      </c>
      <c r="P140" s="540"/>
      <c r="Q140" s="528">
        <v>266</v>
      </c>
    </row>
    <row r="141" spans="1:17" ht="14.4" customHeight="1" x14ac:dyDescent="0.3">
      <c r="A141" s="523" t="s">
        <v>2103</v>
      </c>
      <c r="B141" s="524" t="s">
        <v>2104</v>
      </c>
      <c r="C141" s="524" t="s">
        <v>1694</v>
      </c>
      <c r="D141" s="524" t="s">
        <v>2290</v>
      </c>
      <c r="E141" s="524" t="s">
        <v>2291</v>
      </c>
      <c r="F141" s="527">
        <v>4</v>
      </c>
      <c r="G141" s="527">
        <v>4820</v>
      </c>
      <c r="H141" s="527">
        <v>1</v>
      </c>
      <c r="I141" s="527">
        <v>1205</v>
      </c>
      <c r="J141" s="527">
        <v>3</v>
      </c>
      <c r="K141" s="527">
        <v>3621</v>
      </c>
      <c r="L141" s="527">
        <v>0.75124481327800829</v>
      </c>
      <c r="M141" s="527">
        <v>1207</v>
      </c>
      <c r="N141" s="527">
        <v>8</v>
      </c>
      <c r="O141" s="527">
        <v>9680</v>
      </c>
      <c r="P141" s="540">
        <v>2.008298755186722</v>
      </c>
      <c r="Q141" s="528">
        <v>1210</v>
      </c>
    </row>
    <row r="142" spans="1:17" ht="14.4" customHeight="1" x14ac:dyDescent="0.3">
      <c r="A142" s="523" t="s">
        <v>2103</v>
      </c>
      <c r="B142" s="524" t="s">
        <v>2104</v>
      </c>
      <c r="C142" s="524" t="s">
        <v>1694</v>
      </c>
      <c r="D142" s="524" t="s">
        <v>2292</v>
      </c>
      <c r="E142" s="524" t="s">
        <v>2293</v>
      </c>
      <c r="F142" s="527">
        <v>233</v>
      </c>
      <c r="G142" s="527">
        <v>181973</v>
      </c>
      <c r="H142" s="527">
        <v>1</v>
      </c>
      <c r="I142" s="527">
        <v>781</v>
      </c>
      <c r="J142" s="527">
        <v>180</v>
      </c>
      <c r="K142" s="527">
        <v>140760</v>
      </c>
      <c r="L142" s="527">
        <v>0.77352134657339278</v>
      </c>
      <c r="M142" s="527">
        <v>782</v>
      </c>
      <c r="N142" s="527">
        <v>16</v>
      </c>
      <c r="O142" s="527">
        <v>12528</v>
      </c>
      <c r="P142" s="540">
        <v>6.8845378160496337E-2</v>
      </c>
      <c r="Q142" s="528">
        <v>783</v>
      </c>
    </row>
    <row r="143" spans="1:17" ht="14.4" customHeight="1" x14ac:dyDescent="0.3">
      <c r="A143" s="523" t="s">
        <v>2103</v>
      </c>
      <c r="B143" s="524" t="s">
        <v>2104</v>
      </c>
      <c r="C143" s="524" t="s">
        <v>1694</v>
      </c>
      <c r="D143" s="524" t="s">
        <v>2294</v>
      </c>
      <c r="E143" s="524" t="s">
        <v>2295</v>
      </c>
      <c r="F143" s="527">
        <v>1</v>
      </c>
      <c r="G143" s="527">
        <v>248</v>
      </c>
      <c r="H143" s="527">
        <v>1</v>
      </c>
      <c r="I143" s="527">
        <v>248</v>
      </c>
      <c r="J143" s="527"/>
      <c r="K143" s="527"/>
      <c r="L143" s="527"/>
      <c r="M143" s="527"/>
      <c r="N143" s="527"/>
      <c r="O143" s="527"/>
      <c r="P143" s="540"/>
      <c r="Q143" s="528"/>
    </row>
    <row r="144" spans="1:17" ht="14.4" customHeight="1" x14ac:dyDescent="0.3">
      <c r="A144" s="523" t="s">
        <v>2103</v>
      </c>
      <c r="B144" s="524" t="s">
        <v>2104</v>
      </c>
      <c r="C144" s="524" t="s">
        <v>1694</v>
      </c>
      <c r="D144" s="524" t="s">
        <v>2296</v>
      </c>
      <c r="E144" s="524" t="s">
        <v>2297</v>
      </c>
      <c r="F144" s="527"/>
      <c r="G144" s="527"/>
      <c r="H144" s="527"/>
      <c r="I144" s="527"/>
      <c r="J144" s="527"/>
      <c r="K144" s="527"/>
      <c r="L144" s="527"/>
      <c r="M144" s="527"/>
      <c r="N144" s="527">
        <v>2</v>
      </c>
      <c r="O144" s="527">
        <v>340</v>
      </c>
      <c r="P144" s="540"/>
      <c r="Q144" s="528">
        <v>170</v>
      </c>
    </row>
    <row r="145" spans="1:17" ht="14.4" customHeight="1" x14ac:dyDescent="0.3">
      <c r="A145" s="523" t="s">
        <v>2103</v>
      </c>
      <c r="B145" s="524" t="s">
        <v>2104</v>
      </c>
      <c r="C145" s="524" t="s">
        <v>1694</v>
      </c>
      <c r="D145" s="524" t="s">
        <v>2298</v>
      </c>
      <c r="E145" s="524" t="s">
        <v>2299</v>
      </c>
      <c r="F145" s="527">
        <v>1</v>
      </c>
      <c r="G145" s="527">
        <v>160</v>
      </c>
      <c r="H145" s="527">
        <v>1</v>
      </c>
      <c r="I145" s="527">
        <v>160</v>
      </c>
      <c r="J145" s="527">
        <v>1</v>
      </c>
      <c r="K145" s="527">
        <v>160</v>
      </c>
      <c r="L145" s="527">
        <v>1</v>
      </c>
      <c r="M145" s="527">
        <v>160</v>
      </c>
      <c r="N145" s="527">
        <v>2</v>
      </c>
      <c r="O145" s="527">
        <v>322</v>
      </c>
      <c r="P145" s="540">
        <v>2.0125000000000002</v>
      </c>
      <c r="Q145" s="528">
        <v>161</v>
      </c>
    </row>
    <row r="146" spans="1:17" ht="14.4" customHeight="1" x14ac:dyDescent="0.3">
      <c r="A146" s="523" t="s">
        <v>2103</v>
      </c>
      <c r="B146" s="524" t="s">
        <v>2104</v>
      </c>
      <c r="C146" s="524" t="s">
        <v>1694</v>
      </c>
      <c r="D146" s="524" t="s">
        <v>2300</v>
      </c>
      <c r="E146" s="524" t="s">
        <v>2301</v>
      </c>
      <c r="F146" s="527"/>
      <c r="G146" s="527"/>
      <c r="H146" s="527"/>
      <c r="I146" s="527"/>
      <c r="J146" s="527">
        <v>1</v>
      </c>
      <c r="K146" s="527">
        <v>186</v>
      </c>
      <c r="L146" s="527"/>
      <c r="M146" s="527">
        <v>186</v>
      </c>
      <c r="N146" s="527">
        <v>3</v>
      </c>
      <c r="O146" s="527">
        <v>558</v>
      </c>
      <c r="P146" s="540"/>
      <c r="Q146" s="528">
        <v>186</v>
      </c>
    </row>
    <row r="147" spans="1:17" ht="14.4" customHeight="1" x14ac:dyDescent="0.3">
      <c r="A147" s="523" t="s">
        <v>2103</v>
      </c>
      <c r="B147" s="524" t="s">
        <v>2104</v>
      </c>
      <c r="C147" s="524" t="s">
        <v>1694</v>
      </c>
      <c r="D147" s="524" t="s">
        <v>2302</v>
      </c>
      <c r="E147" s="524" t="s">
        <v>2303</v>
      </c>
      <c r="F147" s="527">
        <v>1</v>
      </c>
      <c r="G147" s="527">
        <v>160</v>
      </c>
      <c r="H147" s="527">
        <v>1</v>
      </c>
      <c r="I147" s="527">
        <v>160</v>
      </c>
      <c r="J147" s="527">
        <v>1</v>
      </c>
      <c r="K147" s="527">
        <v>160</v>
      </c>
      <c r="L147" s="527">
        <v>1</v>
      </c>
      <c r="M147" s="527">
        <v>160</v>
      </c>
      <c r="N147" s="527">
        <v>1</v>
      </c>
      <c r="O147" s="527">
        <v>161</v>
      </c>
      <c r="P147" s="540">
        <v>1.0062500000000001</v>
      </c>
      <c r="Q147" s="528">
        <v>161</v>
      </c>
    </row>
    <row r="148" spans="1:17" ht="14.4" customHeight="1" x14ac:dyDescent="0.3">
      <c r="A148" s="523" t="s">
        <v>2103</v>
      </c>
      <c r="B148" s="524" t="s">
        <v>2104</v>
      </c>
      <c r="C148" s="524" t="s">
        <v>1694</v>
      </c>
      <c r="D148" s="524" t="s">
        <v>2304</v>
      </c>
      <c r="E148" s="524" t="s">
        <v>2305</v>
      </c>
      <c r="F148" s="527"/>
      <c r="G148" s="527"/>
      <c r="H148" s="527"/>
      <c r="I148" s="527"/>
      <c r="J148" s="527">
        <v>1</v>
      </c>
      <c r="K148" s="527">
        <v>291</v>
      </c>
      <c r="L148" s="527"/>
      <c r="M148" s="527">
        <v>291</v>
      </c>
      <c r="N148" s="527">
        <v>1</v>
      </c>
      <c r="O148" s="527">
        <v>291</v>
      </c>
      <c r="P148" s="540"/>
      <c r="Q148" s="528">
        <v>291</v>
      </c>
    </row>
    <row r="149" spans="1:17" ht="14.4" customHeight="1" x14ac:dyDescent="0.3">
      <c r="A149" s="523" t="s">
        <v>2103</v>
      </c>
      <c r="B149" s="524" t="s">
        <v>2104</v>
      </c>
      <c r="C149" s="524" t="s">
        <v>1694</v>
      </c>
      <c r="D149" s="524" t="s">
        <v>2306</v>
      </c>
      <c r="E149" s="524" t="s">
        <v>2307</v>
      </c>
      <c r="F149" s="527">
        <v>1</v>
      </c>
      <c r="G149" s="527">
        <v>361</v>
      </c>
      <c r="H149" s="527">
        <v>1</v>
      </c>
      <c r="I149" s="527">
        <v>361</v>
      </c>
      <c r="J149" s="527"/>
      <c r="K149" s="527"/>
      <c r="L149" s="527"/>
      <c r="M149" s="527"/>
      <c r="N149" s="527"/>
      <c r="O149" s="527"/>
      <c r="P149" s="540"/>
      <c r="Q149" s="528"/>
    </row>
    <row r="150" spans="1:17" ht="14.4" customHeight="1" x14ac:dyDescent="0.3">
      <c r="A150" s="523" t="s">
        <v>2103</v>
      </c>
      <c r="B150" s="524" t="s">
        <v>2104</v>
      </c>
      <c r="C150" s="524" t="s">
        <v>1694</v>
      </c>
      <c r="D150" s="524" t="s">
        <v>2308</v>
      </c>
      <c r="E150" s="524" t="s">
        <v>2309</v>
      </c>
      <c r="F150" s="527"/>
      <c r="G150" s="527"/>
      <c r="H150" s="527"/>
      <c r="I150" s="527"/>
      <c r="J150" s="527">
        <v>1</v>
      </c>
      <c r="K150" s="527">
        <v>189</v>
      </c>
      <c r="L150" s="527"/>
      <c r="M150" s="527">
        <v>189</v>
      </c>
      <c r="N150" s="527"/>
      <c r="O150" s="527"/>
      <c r="P150" s="540"/>
      <c r="Q150" s="528"/>
    </row>
    <row r="151" spans="1:17" ht="14.4" customHeight="1" x14ac:dyDescent="0.3">
      <c r="A151" s="523" t="s">
        <v>2103</v>
      </c>
      <c r="B151" s="524" t="s">
        <v>2104</v>
      </c>
      <c r="C151" s="524" t="s">
        <v>1694</v>
      </c>
      <c r="D151" s="524" t="s">
        <v>2310</v>
      </c>
      <c r="E151" s="524" t="s">
        <v>2311</v>
      </c>
      <c r="F151" s="527">
        <v>1</v>
      </c>
      <c r="G151" s="527">
        <v>196</v>
      </c>
      <c r="H151" s="527">
        <v>1</v>
      </c>
      <c r="I151" s="527">
        <v>196</v>
      </c>
      <c r="J151" s="527"/>
      <c r="K151" s="527"/>
      <c r="L151" s="527"/>
      <c r="M151" s="527"/>
      <c r="N151" s="527">
        <v>1</v>
      </c>
      <c r="O151" s="527">
        <v>197</v>
      </c>
      <c r="P151" s="540">
        <v>1.0051020408163265</v>
      </c>
      <c r="Q151" s="528">
        <v>197</v>
      </c>
    </row>
    <row r="152" spans="1:17" ht="14.4" customHeight="1" x14ac:dyDescent="0.3">
      <c r="A152" s="523" t="s">
        <v>2103</v>
      </c>
      <c r="B152" s="524" t="s">
        <v>2104</v>
      </c>
      <c r="C152" s="524" t="s">
        <v>1694</v>
      </c>
      <c r="D152" s="524" t="s">
        <v>2312</v>
      </c>
      <c r="E152" s="524" t="s">
        <v>2313</v>
      </c>
      <c r="F152" s="527">
        <v>71</v>
      </c>
      <c r="G152" s="527">
        <v>16046</v>
      </c>
      <c r="H152" s="527">
        <v>1</v>
      </c>
      <c r="I152" s="527">
        <v>226</v>
      </c>
      <c r="J152" s="527">
        <v>66</v>
      </c>
      <c r="K152" s="527">
        <v>14916</v>
      </c>
      <c r="L152" s="527">
        <v>0.92957746478873238</v>
      </c>
      <c r="M152" s="527">
        <v>226</v>
      </c>
      <c r="N152" s="527">
        <v>72</v>
      </c>
      <c r="O152" s="527">
        <v>16344</v>
      </c>
      <c r="P152" s="540">
        <v>1.018571606630936</v>
      </c>
      <c r="Q152" s="528">
        <v>227</v>
      </c>
    </row>
    <row r="153" spans="1:17" ht="14.4" customHeight="1" x14ac:dyDescent="0.3">
      <c r="A153" s="523" t="s">
        <v>2103</v>
      </c>
      <c r="B153" s="524" t="s">
        <v>2104</v>
      </c>
      <c r="C153" s="524" t="s">
        <v>1694</v>
      </c>
      <c r="D153" s="524" t="s">
        <v>2314</v>
      </c>
      <c r="E153" s="524" t="s">
        <v>2315</v>
      </c>
      <c r="F153" s="527"/>
      <c r="G153" s="527"/>
      <c r="H153" s="527"/>
      <c r="I153" s="527"/>
      <c r="J153" s="527">
        <v>2</v>
      </c>
      <c r="K153" s="527">
        <v>370</v>
      </c>
      <c r="L153" s="527"/>
      <c r="M153" s="527">
        <v>185</v>
      </c>
      <c r="N153" s="527"/>
      <c r="O153" s="527"/>
      <c r="P153" s="540"/>
      <c r="Q153" s="528"/>
    </row>
    <row r="154" spans="1:17" ht="14.4" customHeight="1" x14ac:dyDescent="0.3">
      <c r="A154" s="523" t="s">
        <v>2103</v>
      </c>
      <c r="B154" s="524" t="s">
        <v>2104</v>
      </c>
      <c r="C154" s="524" t="s">
        <v>1694</v>
      </c>
      <c r="D154" s="524" t="s">
        <v>2316</v>
      </c>
      <c r="E154" s="524" t="s">
        <v>2317</v>
      </c>
      <c r="F154" s="527"/>
      <c r="G154" s="527"/>
      <c r="H154" s="527"/>
      <c r="I154" s="527"/>
      <c r="J154" s="527">
        <v>1</v>
      </c>
      <c r="K154" s="527">
        <v>156</v>
      </c>
      <c r="L154" s="527"/>
      <c r="M154" s="527">
        <v>156</v>
      </c>
      <c r="N154" s="527"/>
      <c r="O154" s="527"/>
      <c r="P154" s="540"/>
      <c r="Q154" s="528"/>
    </row>
    <row r="155" spans="1:17" ht="14.4" customHeight="1" x14ac:dyDescent="0.3">
      <c r="A155" s="523" t="s">
        <v>2103</v>
      </c>
      <c r="B155" s="524" t="s">
        <v>2104</v>
      </c>
      <c r="C155" s="524" t="s">
        <v>1694</v>
      </c>
      <c r="D155" s="524" t="s">
        <v>2318</v>
      </c>
      <c r="E155" s="524" t="s">
        <v>2319</v>
      </c>
      <c r="F155" s="527">
        <v>2</v>
      </c>
      <c r="G155" s="527">
        <v>1118</v>
      </c>
      <c r="H155" s="527">
        <v>1</v>
      </c>
      <c r="I155" s="527">
        <v>559</v>
      </c>
      <c r="J155" s="527">
        <v>2</v>
      </c>
      <c r="K155" s="527">
        <v>1118</v>
      </c>
      <c r="L155" s="527">
        <v>1</v>
      </c>
      <c r="M155" s="527">
        <v>559</v>
      </c>
      <c r="N155" s="527">
        <v>6</v>
      </c>
      <c r="O155" s="527">
        <v>3360</v>
      </c>
      <c r="P155" s="540">
        <v>3.005366726296959</v>
      </c>
      <c r="Q155" s="528">
        <v>560</v>
      </c>
    </row>
    <row r="156" spans="1:17" ht="14.4" customHeight="1" x14ac:dyDescent="0.3">
      <c r="A156" s="523" t="s">
        <v>2103</v>
      </c>
      <c r="B156" s="524" t="s">
        <v>2104</v>
      </c>
      <c r="C156" s="524" t="s">
        <v>1694</v>
      </c>
      <c r="D156" s="524" t="s">
        <v>2320</v>
      </c>
      <c r="E156" s="524" t="s">
        <v>2321</v>
      </c>
      <c r="F156" s="527">
        <v>2</v>
      </c>
      <c r="G156" s="527">
        <v>362</v>
      </c>
      <c r="H156" s="527">
        <v>1</v>
      </c>
      <c r="I156" s="527">
        <v>181</v>
      </c>
      <c r="J156" s="527">
        <v>8</v>
      </c>
      <c r="K156" s="527">
        <v>1448</v>
      </c>
      <c r="L156" s="527">
        <v>4</v>
      </c>
      <c r="M156" s="527">
        <v>181</v>
      </c>
      <c r="N156" s="527">
        <v>3</v>
      </c>
      <c r="O156" s="527">
        <v>546</v>
      </c>
      <c r="P156" s="540">
        <v>1.5082872928176796</v>
      </c>
      <c r="Q156" s="528">
        <v>182</v>
      </c>
    </row>
    <row r="157" spans="1:17" ht="14.4" customHeight="1" x14ac:dyDescent="0.3">
      <c r="A157" s="523" t="s">
        <v>2103</v>
      </c>
      <c r="B157" s="524" t="s">
        <v>2104</v>
      </c>
      <c r="C157" s="524" t="s">
        <v>1694</v>
      </c>
      <c r="D157" s="524" t="s">
        <v>2322</v>
      </c>
      <c r="E157" s="524" t="s">
        <v>2323</v>
      </c>
      <c r="F157" s="527"/>
      <c r="G157" s="527"/>
      <c r="H157" s="527"/>
      <c r="I157" s="527"/>
      <c r="J157" s="527">
        <v>1</v>
      </c>
      <c r="K157" s="527">
        <v>169</v>
      </c>
      <c r="L157" s="527"/>
      <c r="M157" s="527">
        <v>169</v>
      </c>
      <c r="N157" s="527"/>
      <c r="O157" s="527"/>
      <c r="P157" s="540"/>
      <c r="Q157" s="528"/>
    </row>
    <row r="158" spans="1:17" ht="14.4" customHeight="1" x14ac:dyDescent="0.3">
      <c r="A158" s="523" t="s">
        <v>2103</v>
      </c>
      <c r="B158" s="524" t="s">
        <v>2104</v>
      </c>
      <c r="C158" s="524" t="s">
        <v>1694</v>
      </c>
      <c r="D158" s="524" t="s">
        <v>2324</v>
      </c>
      <c r="E158" s="524" t="s">
        <v>2325</v>
      </c>
      <c r="F158" s="527"/>
      <c r="G158" s="527"/>
      <c r="H158" s="527"/>
      <c r="I158" s="527"/>
      <c r="J158" s="527"/>
      <c r="K158" s="527"/>
      <c r="L158" s="527"/>
      <c r="M158" s="527"/>
      <c r="N158" s="527">
        <v>2</v>
      </c>
      <c r="O158" s="527">
        <v>702</v>
      </c>
      <c r="P158" s="540"/>
      <c r="Q158" s="528">
        <v>351</v>
      </c>
    </row>
    <row r="159" spans="1:17" ht="14.4" customHeight="1" x14ac:dyDescent="0.3">
      <c r="A159" s="523" t="s">
        <v>2103</v>
      </c>
      <c r="B159" s="524" t="s">
        <v>2104</v>
      </c>
      <c r="C159" s="524" t="s">
        <v>1694</v>
      </c>
      <c r="D159" s="524" t="s">
        <v>2326</v>
      </c>
      <c r="E159" s="524" t="s">
        <v>2327</v>
      </c>
      <c r="F159" s="527">
        <v>1</v>
      </c>
      <c r="G159" s="527">
        <v>130</v>
      </c>
      <c r="H159" s="527">
        <v>1</v>
      </c>
      <c r="I159" s="527">
        <v>130</v>
      </c>
      <c r="J159" s="527"/>
      <c r="K159" s="527"/>
      <c r="L159" s="527"/>
      <c r="M159" s="527"/>
      <c r="N159" s="527">
        <v>3</v>
      </c>
      <c r="O159" s="527">
        <v>393</v>
      </c>
      <c r="P159" s="540">
        <v>3.023076923076923</v>
      </c>
      <c r="Q159" s="528">
        <v>131</v>
      </c>
    </row>
    <row r="160" spans="1:17" ht="14.4" customHeight="1" x14ac:dyDescent="0.3">
      <c r="A160" s="523" t="s">
        <v>2103</v>
      </c>
      <c r="B160" s="524" t="s">
        <v>2104</v>
      </c>
      <c r="C160" s="524" t="s">
        <v>1694</v>
      </c>
      <c r="D160" s="524" t="s">
        <v>2328</v>
      </c>
      <c r="E160" s="524" t="s">
        <v>2329</v>
      </c>
      <c r="F160" s="527">
        <v>1</v>
      </c>
      <c r="G160" s="527">
        <v>130</v>
      </c>
      <c r="H160" s="527">
        <v>1</v>
      </c>
      <c r="I160" s="527">
        <v>130</v>
      </c>
      <c r="J160" s="527"/>
      <c r="K160" s="527"/>
      <c r="L160" s="527"/>
      <c r="M160" s="527"/>
      <c r="N160" s="527">
        <v>3</v>
      </c>
      <c r="O160" s="527">
        <v>393</v>
      </c>
      <c r="P160" s="540">
        <v>3.023076923076923</v>
      </c>
      <c r="Q160" s="528">
        <v>131</v>
      </c>
    </row>
    <row r="161" spans="1:17" ht="14.4" customHeight="1" x14ac:dyDescent="0.3">
      <c r="A161" s="523" t="s">
        <v>2103</v>
      </c>
      <c r="B161" s="524" t="s">
        <v>2104</v>
      </c>
      <c r="C161" s="524" t="s">
        <v>1694</v>
      </c>
      <c r="D161" s="524" t="s">
        <v>2330</v>
      </c>
      <c r="E161" s="524" t="s">
        <v>2331</v>
      </c>
      <c r="F161" s="527"/>
      <c r="G161" s="527"/>
      <c r="H161" s="527"/>
      <c r="I161" s="527"/>
      <c r="J161" s="527"/>
      <c r="K161" s="527"/>
      <c r="L161" s="527"/>
      <c r="M161" s="527"/>
      <c r="N161" s="527">
        <v>8</v>
      </c>
      <c r="O161" s="527">
        <v>1448</v>
      </c>
      <c r="P161" s="540"/>
      <c r="Q161" s="528">
        <v>181</v>
      </c>
    </row>
    <row r="162" spans="1:17" ht="14.4" customHeight="1" x14ac:dyDescent="0.3">
      <c r="A162" s="523" t="s">
        <v>2103</v>
      </c>
      <c r="B162" s="524" t="s">
        <v>2104</v>
      </c>
      <c r="C162" s="524" t="s">
        <v>1694</v>
      </c>
      <c r="D162" s="524" t="s">
        <v>2332</v>
      </c>
      <c r="E162" s="524" t="s">
        <v>2333</v>
      </c>
      <c r="F162" s="527"/>
      <c r="G162" s="527"/>
      <c r="H162" s="527"/>
      <c r="I162" s="527"/>
      <c r="J162" s="527"/>
      <c r="K162" s="527"/>
      <c r="L162" s="527"/>
      <c r="M162" s="527"/>
      <c r="N162" s="527">
        <v>1</v>
      </c>
      <c r="O162" s="527">
        <v>177</v>
      </c>
      <c r="P162" s="540"/>
      <c r="Q162" s="528">
        <v>177</v>
      </c>
    </row>
    <row r="163" spans="1:17" ht="14.4" customHeight="1" x14ac:dyDescent="0.3">
      <c r="A163" s="523" t="s">
        <v>2103</v>
      </c>
      <c r="B163" s="524" t="s">
        <v>2104</v>
      </c>
      <c r="C163" s="524" t="s">
        <v>1694</v>
      </c>
      <c r="D163" s="524" t="s">
        <v>2334</v>
      </c>
      <c r="E163" s="524" t="s">
        <v>2335</v>
      </c>
      <c r="F163" s="527">
        <v>1</v>
      </c>
      <c r="G163" s="527">
        <v>173</v>
      </c>
      <c r="H163" s="527">
        <v>1</v>
      </c>
      <c r="I163" s="527">
        <v>173</v>
      </c>
      <c r="J163" s="527"/>
      <c r="K163" s="527"/>
      <c r="L163" s="527"/>
      <c r="M163" s="527"/>
      <c r="N163" s="527">
        <v>10</v>
      </c>
      <c r="O163" s="527">
        <v>1740</v>
      </c>
      <c r="P163" s="540">
        <v>10.057803468208093</v>
      </c>
      <c r="Q163" s="528">
        <v>174</v>
      </c>
    </row>
    <row r="164" spans="1:17" ht="14.4" customHeight="1" x14ac:dyDescent="0.3">
      <c r="A164" s="523" t="s">
        <v>2103</v>
      </c>
      <c r="B164" s="524" t="s">
        <v>2104</v>
      </c>
      <c r="C164" s="524" t="s">
        <v>1694</v>
      </c>
      <c r="D164" s="524" t="s">
        <v>2336</v>
      </c>
      <c r="E164" s="524" t="s">
        <v>2337</v>
      </c>
      <c r="F164" s="527"/>
      <c r="G164" s="527"/>
      <c r="H164" s="527"/>
      <c r="I164" s="527"/>
      <c r="J164" s="527"/>
      <c r="K164" s="527"/>
      <c r="L164" s="527"/>
      <c r="M164" s="527"/>
      <c r="N164" s="527">
        <v>4</v>
      </c>
      <c r="O164" s="527">
        <v>1052</v>
      </c>
      <c r="P164" s="540"/>
      <c r="Q164" s="528">
        <v>263</v>
      </c>
    </row>
    <row r="165" spans="1:17" ht="14.4" customHeight="1" x14ac:dyDescent="0.3">
      <c r="A165" s="523" t="s">
        <v>2103</v>
      </c>
      <c r="B165" s="524" t="s">
        <v>2104</v>
      </c>
      <c r="C165" s="524" t="s">
        <v>1694</v>
      </c>
      <c r="D165" s="524" t="s">
        <v>2338</v>
      </c>
      <c r="E165" s="524" t="s">
        <v>2339</v>
      </c>
      <c r="F165" s="527">
        <v>2</v>
      </c>
      <c r="G165" s="527">
        <v>498</v>
      </c>
      <c r="H165" s="527">
        <v>1</v>
      </c>
      <c r="I165" s="527">
        <v>249</v>
      </c>
      <c r="J165" s="527"/>
      <c r="K165" s="527"/>
      <c r="L165" s="527"/>
      <c r="M165" s="527"/>
      <c r="N165" s="527"/>
      <c r="O165" s="527"/>
      <c r="P165" s="540"/>
      <c r="Q165" s="528"/>
    </row>
    <row r="166" spans="1:17" ht="14.4" customHeight="1" x14ac:dyDescent="0.3">
      <c r="A166" s="523" t="s">
        <v>2103</v>
      </c>
      <c r="B166" s="524" t="s">
        <v>2104</v>
      </c>
      <c r="C166" s="524" t="s">
        <v>1694</v>
      </c>
      <c r="D166" s="524" t="s">
        <v>2340</v>
      </c>
      <c r="E166" s="524" t="s">
        <v>2341</v>
      </c>
      <c r="F166" s="527"/>
      <c r="G166" s="527"/>
      <c r="H166" s="527"/>
      <c r="I166" s="527"/>
      <c r="J166" s="527"/>
      <c r="K166" s="527"/>
      <c r="L166" s="527"/>
      <c r="M166" s="527"/>
      <c r="N166" s="527">
        <v>1</v>
      </c>
      <c r="O166" s="527">
        <v>184</v>
      </c>
      <c r="P166" s="540"/>
      <c r="Q166" s="528">
        <v>184</v>
      </c>
    </row>
    <row r="167" spans="1:17" ht="14.4" customHeight="1" x14ac:dyDescent="0.3">
      <c r="A167" s="523" t="s">
        <v>2103</v>
      </c>
      <c r="B167" s="524" t="s">
        <v>2104</v>
      </c>
      <c r="C167" s="524" t="s">
        <v>1694</v>
      </c>
      <c r="D167" s="524" t="s">
        <v>2342</v>
      </c>
      <c r="E167" s="524" t="s">
        <v>2343</v>
      </c>
      <c r="F167" s="527"/>
      <c r="G167" s="527"/>
      <c r="H167" s="527"/>
      <c r="I167" s="527"/>
      <c r="J167" s="527"/>
      <c r="K167" s="527"/>
      <c r="L167" s="527"/>
      <c r="M167" s="527"/>
      <c r="N167" s="527">
        <v>3</v>
      </c>
      <c r="O167" s="527">
        <v>1236</v>
      </c>
      <c r="P167" s="540"/>
      <c r="Q167" s="528">
        <v>412</v>
      </c>
    </row>
    <row r="168" spans="1:17" ht="14.4" customHeight="1" x14ac:dyDescent="0.3">
      <c r="A168" s="523" t="s">
        <v>2103</v>
      </c>
      <c r="B168" s="524" t="s">
        <v>2104</v>
      </c>
      <c r="C168" s="524" t="s">
        <v>1694</v>
      </c>
      <c r="D168" s="524" t="s">
        <v>2344</v>
      </c>
      <c r="E168" s="524" t="s">
        <v>2345</v>
      </c>
      <c r="F168" s="527"/>
      <c r="G168" s="527"/>
      <c r="H168" s="527"/>
      <c r="I168" s="527"/>
      <c r="J168" s="527"/>
      <c r="K168" s="527"/>
      <c r="L168" s="527"/>
      <c r="M168" s="527"/>
      <c r="N168" s="527">
        <v>2</v>
      </c>
      <c r="O168" s="527">
        <v>788</v>
      </c>
      <c r="P168" s="540"/>
      <c r="Q168" s="528">
        <v>394</v>
      </c>
    </row>
    <row r="169" spans="1:17" ht="14.4" customHeight="1" x14ac:dyDescent="0.3">
      <c r="A169" s="523" t="s">
        <v>2103</v>
      </c>
      <c r="B169" s="524" t="s">
        <v>2104</v>
      </c>
      <c r="C169" s="524" t="s">
        <v>1694</v>
      </c>
      <c r="D169" s="524" t="s">
        <v>2346</v>
      </c>
      <c r="E169" s="524" t="s">
        <v>2347</v>
      </c>
      <c r="F169" s="527"/>
      <c r="G169" s="527"/>
      <c r="H169" s="527"/>
      <c r="I169" s="527"/>
      <c r="J169" s="527"/>
      <c r="K169" s="527"/>
      <c r="L169" s="527"/>
      <c r="M169" s="527"/>
      <c r="N169" s="527">
        <v>2</v>
      </c>
      <c r="O169" s="527">
        <v>1172</v>
      </c>
      <c r="P169" s="540"/>
      <c r="Q169" s="528">
        <v>586</v>
      </c>
    </row>
    <row r="170" spans="1:17" ht="14.4" customHeight="1" x14ac:dyDescent="0.3">
      <c r="A170" s="523" t="s">
        <v>2103</v>
      </c>
      <c r="B170" s="524" t="s">
        <v>2104</v>
      </c>
      <c r="C170" s="524" t="s">
        <v>1694</v>
      </c>
      <c r="D170" s="524" t="s">
        <v>2348</v>
      </c>
      <c r="E170" s="524" t="s">
        <v>2349</v>
      </c>
      <c r="F170" s="527"/>
      <c r="G170" s="527"/>
      <c r="H170" s="527"/>
      <c r="I170" s="527"/>
      <c r="J170" s="527"/>
      <c r="K170" s="527"/>
      <c r="L170" s="527"/>
      <c r="M170" s="527"/>
      <c r="N170" s="527">
        <v>5</v>
      </c>
      <c r="O170" s="527">
        <v>910</v>
      </c>
      <c r="P170" s="540"/>
      <c r="Q170" s="528">
        <v>182</v>
      </c>
    </row>
    <row r="171" spans="1:17" ht="14.4" customHeight="1" x14ac:dyDescent="0.3">
      <c r="A171" s="523" t="s">
        <v>2103</v>
      </c>
      <c r="B171" s="524" t="s">
        <v>2104</v>
      </c>
      <c r="C171" s="524" t="s">
        <v>1694</v>
      </c>
      <c r="D171" s="524" t="s">
        <v>2350</v>
      </c>
      <c r="E171" s="524" t="s">
        <v>2351</v>
      </c>
      <c r="F171" s="527">
        <v>1</v>
      </c>
      <c r="G171" s="527">
        <v>572</v>
      </c>
      <c r="H171" s="527">
        <v>1</v>
      </c>
      <c r="I171" s="527">
        <v>572</v>
      </c>
      <c r="J171" s="527"/>
      <c r="K171" s="527"/>
      <c r="L171" s="527"/>
      <c r="M171" s="527"/>
      <c r="N171" s="527"/>
      <c r="O171" s="527"/>
      <c r="P171" s="540"/>
      <c r="Q171" s="528"/>
    </row>
    <row r="172" spans="1:17" ht="14.4" customHeight="1" x14ac:dyDescent="0.3">
      <c r="A172" s="523" t="s">
        <v>2103</v>
      </c>
      <c r="B172" s="524" t="s">
        <v>2104</v>
      </c>
      <c r="C172" s="524" t="s">
        <v>1694</v>
      </c>
      <c r="D172" s="524" t="s">
        <v>2029</v>
      </c>
      <c r="E172" s="524" t="s">
        <v>2030</v>
      </c>
      <c r="F172" s="527"/>
      <c r="G172" s="527"/>
      <c r="H172" s="527"/>
      <c r="I172" s="527"/>
      <c r="J172" s="527"/>
      <c r="K172" s="527"/>
      <c r="L172" s="527"/>
      <c r="M172" s="527"/>
      <c r="N172" s="527">
        <v>2</v>
      </c>
      <c r="O172" s="527">
        <v>2490</v>
      </c>
      <c r="P172" s="540"/>
      <c r="Q172" s="528">
        <v>1245</v>
      </c>
    </row>
    <row r="173" spans="1:17" ht="14.4" customHeight="1" x14ac:dyDescent="0.3">
      <c r="A173" s="523" t="s">
        <v>2103</v>
      </c>
      <c r="B173" s="524" t="s">
        <v>2104</v>
      </c>
      <c r="C173" s="524" t="s">
        <v>1694</v>
      </c>
      <c r="D173" s="524" t="s">
        <v>2352</v>
      </c>
      <c r="E173" s="524" t="s">
        <v>2353</v>
      </c>
      <c r="F173" s="527">
        <v>24</v>
      </c>
      <c r="G173" s="527">
        <v>13416</v>
      </c>
      <c r="H173" s="527">
        <v>1</v>
      </c>
      <c r="I173" s="527">
        <v>559</v>
      </c>
      <c r="J173" s="527">
        <v>15</v>
      </c>
      <c r="K173" s="527">
        <v>8430</v>
      </c>
      <c r="L173" s="527">
        <v>0.62835420393559926</v>
      </c>
      <c r="M173" s="527">
        <v>562</v>
      </c>
      <c r="N173" s="527">
        <v>3</v>
      </c>
      <c r="O173" s="527">
        <v>1692</v>
      </c>
      <c r="P173" s="540">
        <v>0.12611806797853309</v>
      </c>
      <c r="Q173" s="528">
        <v>564</v>
      </c>
    </row>
    <row r="174" spans="1:17" ht="14.4" customHeight="1" x14ac:dyDescent="0.3">
      <c r="A174" s="523" t="s">
        <v>2103</v>
      </c>
      <c r="B174" s="524" t="s">
        <v>2104</v>
      </c>
      <c r="C174" s="524" t="s">
        <v>1694</v>
      </c>
      <c r="D174" s="524" t="s">
        <v>2354</v>
      </c>
      <c r="E174" s="524" t="s">
        <v>2355</v>
      </c>
      <c r="F174" s="527">
        <v>1</v>
      </c>
      <c r="G174" s="527">
        <v>363</v>
      </c>
      <c r="H174" s="527">
        <v>1</v>
      </c>
      <c r="I174" s="527">
        <v>363</v>
      </c>
      <c r="J174" s="527"/>
      <c r="K174" s="527"/>
      <c r="L174" s="527"/>
      <c r="M174" s="527"/>
      <c r="N174" s="527">
        <v>1</v>
      </c>
      <c r="O174" s="527">
        <v>366</v>
      </c>
      <c r="P174" s="540">
        <v>1.0082644628099173</v>
      </c>
      <c r="Q174" s="528">
        <v>366</v>
      </c>
    </row>
    <row r="175" spans="1:17" ht="14.4" customHeight="1" x14ac:dyDescent="0.3">
      <c r="A175" s="523" t="s">
        <v>2103</v>
      </c>
      <c r="B175" s="524" t="s">
        <v>2104</v>
      </c>
      <c r="C175" s="524" t="s">
        <v>1694</v>
      </c>
      <c r="D175" s="524" t="s">
        <v>2039</v>
      </c>
      <c r="E175" s="524" t="s">
        <v>2040</v>
      </c>
      <c r="F175" s="527">
        <v>24</v>
      </c>
      <c r="G175" s="527">
        <v>23952</v>
      </c>
      <c r="H175" s="527">
        <v>1</v>
      </c>
      <c r="I175" s="527">
        <v>998</v>
      </c>
      <c r="J175" s="527">
        <v>15</v>
      </c>
      <c r="K175" s="527">
        <v>15000</v>
      </c>
      <c r="L175" s="527">
        <v>0.62625250501002006</v>
      </c>
      <c r="M175" s="527">
        <v>1000</v>
      </c>
      <c r="N175" s="527">
        <v>3</v>
      </c>
      <c r="O175" s="527">
        <v>3006</v>
      </c>
      <c r="P175" s="540">
        <v>0.12550100200400802</v>
      </c>
      <c r="Q175" s="528">
        <v>1002</v>
      </c>
    </row>
    <row r="176" spans="1:17" ht="14.4" customHeight="1" x14ac:dyDescent="0.3">
      <c r="A176" s="523" t="s">
        <v>2103</v>
      </c>
      <c r="B176" s="524" t="s">
        <v>2104</v>
      </c>
      <c r="C176" s="524" t="s">
        <v>1694</v>
      </c>
      <c r="D176" s="524" t="s">
        <v>2073</v>
      </c>
      <c r="E176" s="524" t="s">
        <v>2074</v>
      </c>
      <c r="F176" s="527">
        <v>1</v>
      </c>
      <c r="G176" s="527">
        <v>23</v>
      </c>
      <c r="H176" s="527">
        <v>1</v>
      </c>
      <c r="I176" s="527">
        <v>23</v>
      </c>
      <c r="J176" s="527"/>
      <c r="K176" s="527"/>
      <c r="L176" s="527"/>
      <c r="M176" s="527"/>
      <c r="N176" s="527"/>
      <c r="O176" s="527"/>
      <c r="P176" s="540"/>
      <c r="Q176" s="528"/>
    </row>
    <row r="177" spans="1:17" ht="14.4" customHeight="1" x14ac:dyDescent="0.3">
      <c r="A177" s="523" t="s">
        <v>2103</v>
      </c>
      <c r="B177" s="524" t="s">
        <v>2104</v>
      </c>
      <c r="C177" s="524" t="s">
        <v>1694</v>
      </c>
      <c r="D177" s="524" t="s">
        <v>2089</v>
      </c>
      <c r="E177" s="524" t="s">
        <v>2090</v>
      </c>
      <c r="F177" s="527">
        <v>5</v>
      </c>
      <c r="G177" s="527">
        <v>110</v>
      </c>
      <c r="H177" s="527">
        <v>1</v>
      </c>
      <c r="I177" s="527">
        <v>22</v>
      </c>
      <c r="J177" s="527">
        <v>10</v>
      </c>
      <c r="K177" s="527">
        <v>220</v>
      </c>
      <c r="L177" s="527">
        <v>2</v>
      </c>
      <c r="M177" s="527">
        <v>22</v>
      </c>
      <c r="N177" s="527"/>
      <c r="O177" s="527"/>
      <c r="P177" s="540"/>
      <c r="Q177" s="528"/>
    </row>
    <row r="178" spans="1:17" ht="14.4" customHeight="1" x14ac:dyDescent="0.3">
      <c r="A178" s="523" t="s">
        <v>2103</v>
      </c>
      <c r="B178" s="524" t="s">
        <v>2356</v>
      </c>
      <c r="C178" s="524" t="s">
        <v>1694</v>
      </c>
      <c r="D178" s="524" t="s">
        <v>2357</v>
      </c>
      <c r="E178" s="524" t="s">
        <v>2358</v>
      </c>
      <c r="F178" s="527">
        <v>542</v>
      </c>
      <c r="G178" s="527">
        <v>560428</v>
      </c>
      <c r="H178" s="527">
        <v>1</v>
      </c>
      <c r="I178" s="527">
        <v>1034</v>
      </c>
      <c r="J178" s="527">
        <v>425</v>
      </c>
      <c r="K178" s="527">
        <v>439875</v>
      </c>
      <c r="L178" s="527">
        <v>0.7848911903045529</v>
      </c>
      <c r="M178" s="527">
        <v>1035</v>
      </c>
      <c r="N178" s="527">
        <v>393</v>
      </c>
      <c r="O178" s="527">
        <v>406755</v>
      </c>
      <c r="P178" s="540">
        <v>0.72579350068162185</v>
      </c>
      <c r="Q178" s="528">
        <v>1035</v>
      </c>
    </row>
    <row r="179" spans="1:17" ht="14.4" customHeight="1" x14ac:dyDescent="0.3">
      <c r="A179" s="523" t="s">
        <v>2103</v>
      </c>
      <c r="B179" s="524" t="s">
        <v>2356</v>
      </c>
      <c r="C179" s="524" t="s">
        <v>1694</v>
      </c>
      <c r="D179" s="524" t="s">
        <v>2029</v>
      </c>
      <c r="E179" s="524" t="s">
        <v>2030</v>
      </c>
      <c r="F179" s="527">
        <v>20</v>
      </c>
      <c r="G179" s="527">
        <v>24560</v>
      </c>
      <c r="H179" s="527">
        <v>1</v>
      </c>
      <c r="I179" s="527">
        <v>1228</v>
      </c>
      <c r="J179" s="527">
        <v>13</v>
      </c>
      <c r="K179" s="527">
        <v>16068</v>
      </c>
      <c r="L179" s="527">
        <v>0.6542345276872964</v>
      </c>
      <c r="M179" s="527">
        <v>1236</v>
      </c>
      <c r="N179" s="527">
        <v>1</v>
      </c>
      <c r="O179" s="527">
        <v>1245</v>
      </c>
      <c r="P179" s="540">
        <v>5.0692182410423454E-2</v>
      </c>
      <c r="Q179" s="528">
        <v>1245</v>
      </c>
    </row>
    <row r="180" spans="1:17" ht="14.4" customHeight="1" x14ac:dyDescent="0.3">
      <c r="A180" s="523" t="s">
        <v>2359</v>
      </c>
      <c r="B180" s="524" t="s">
        <v>2360</v>
      </c>
      <c r="C180" s="524" t="s">
        <v>1703</v>
      </c>
      <c r="D180" s="524" t="s">
        <v>2361</v>
      </c>
      <c r="E180" s="524" t="s">
        <v>2362</v>
      </c>
      <c r="F180" s="527"/>
      <c r="G180" s="527"/>
      <c r="H180" s="527"/>
      <c r="I180" s="527"/>
      <c r="J180" s="527"/>
      <c r="K180" s="527"/>
      <c r="L180" s="527"/>
      <c r="M180" s="527"/>
      <c r="N180" s="527">
        <v>1</v>
      </c>
      <c r="O180" s="527">
        <v>489.03</v>
      </c>
      <c r="P180" s="540"/>
      <c r="Q180" s="528">
        <v>489.03</v>
      </c>
    </row>
    <row r="181" spans="1:17" ht="14.4" customHeight="1" x14ac:dyDescent="0.3">
      <c r="A181" s="523" t="s">
        <v>2359</v>
      </c>
      <c r="B181" s="524" t="s">
        <v>2360</v>
      </c>
      <c r="C181" s="524" t="s">
        <v>1703</v>
      </c>
      <c r="D181" s="524" t="s">
        <v>2363</v>
      </c>
      <c r="E181" s="524" t="s">
        <v>2364</v>
      </c>
      <c r="F181" s="527">
        <v>0.05</v>
      </c>
      <c r="G181" s="527">
        <v>810.3</v>
      </c>
      <c r="H181" s="527">
        <v>1</v>
      </c>
      <c r="I181" s="527">
        <v>16205.999999999998</v>
      </c>
      <c r="J181" s="527"/>
      <c r="K181" s="527"/>
      <c r="L181" s="527"/>
      <c r="M181" s="527"/>
      <c r="N181" s="527">
        <v>0.02</v>
      </c>
      <c r="O181" s="527">
        <v>230.46</v>
      </c>
      <c r="P181" s="540">
        <v>0.28441318030359131</v>
      </c>
      <c r="Q181" s="528">
        <v>11523</v>
      </c>
    </row>
    <row r="182" spans="1:17" ht="14.4" customHeight="1" x14ac:dyDescent="0.3">
      <c r="A182" s="523" t="s">
        <v>2359</v>
      </c>
      <c r="B182" s="524" t="s">
        <v>2360</v>
      </c>
      <c r="C182" s="524" t="s">
        <v>1703</v>
      </c>
      <c r="D182" s="524" t="s">
        <v>2365</v>
      </c>
      <c r="E182" s="524" t="s">
        <v>2366</v>
      </c>
      <c r="F182" s="527">
        <v>0.2</v>
      </c>
      <c r="G182" s="527">
        <v>186.38</v>
      </c>
      <c r="H182" s="527">
        <v>1</v>
      </c>
      <c r="I182" s="527">
        <v>931.9</v>
      </c>
      <c r="J182" s="527">
        <v>0.2</v>
      </c>
      <c r="K182" s="527">
        <v>193.34</v>
      </c>
      <c r="L182" s="527">
        <v>1.0373430625603606</v>
      </c>
      <c r="M182" s="527">
        <v>966.69999999999993</v>
      </c>
      <c r="N182" s="527">
        <v>0.1</v>
      </c>
      <c r="O182" s="527">
        <v>97.52</v>
      </c>
      <c r="P182" s="540">
        <v>0.52323210644918983</v>
      </c>
      <c r="Q182" s="528">
        <v>975.19999999999993</v>
      </c>
    </row>
    <row r="183" spans="1:17" ht="14.4" customHeight="1" x14ac:dyDescent="0.3">
      <c r="A183" s="523" t="s">
        <v>2359</v>
      </c>
      <c r="B183" s="524" t="s">
        <v>2360</v>
      </c>
      <c r="C183" s="524" t="s">
        <v>1703</v>
      </c>
      <c r="D183" s="524" t="s">
        <v>2367</v>
      </c>
      <c r="E183" s="524" t="s">
        <v>2368</v>
      </c>
      <c r="F183" s="527"/>
      <c r="G183" s="527"/>
      <c r="H183" s="527"/>
      <c r="I183" s="527"/>
      <c r="J183" s="527">
        <v>1</v>
      </c>
      <c r="K183" s="527">
        <v>5653.55</v>
      </c>
      <c r="L183" s="527"/>
      <c r="M183" s="527">
        <v>5653.55</v>
      </c>
      <c r="N183" s="527"/>
      <c r="O183" s="527"/>
      <c r="P183" s="540"/>
      <c r="Q183" s="528"/>
    </row>
    <row r="184" spans="1:17" ht="14.4" customHeight="1" x14ac:dyDescent="0.3">
      <c r="A184" s="523" t="s">
        <v>2359</v>
      </c>
      <c r="B184" s="524" t="s">
        <v>2360</v>
      </c>
      <c r="C184" s="524" t="s">
        <v>1703</v>
      </c>
      <c r="D184" s="524" t="s">
        <v>2369</v>
      </c>
      <c r="E184" s="524" t="s">
        <v>2370</v>
      </c>
      <c r="F184" s="527">
        <v>0.12000000000000001</v>
      </c>
      <c r="G184" s="527">
        <v>626.70000000000005</v>
      </c>
      <c r="H184" s="527">
        <v>1</v>
      </c>
      <c r="I184" s="527">
        <v>5222.5</v>
      </c>
      <c r="J184" s="527">
        <v>0.11</v>
      </c>
      <c r="K184" s="527">
        <v>595.45000000000005</v>
      </c>
      <c r="L184" s="527">
        <v>0.950135631083453</v>
      </c>
      <c r="M184" s="527">
        <v>5413.1818181818189</v>
      </c>
      <c r="N184" s="527"/>
      <c r="O184" s="527"/>
      <c r="P184" s="540"/>
      <c r="Q184" s="528"/>
    </row>
    <row r="185" spans="1:17" ht="14.4" customHeight="1" x14ac:dyDescent="0.3">
      <c r="A185" s="523" t="s">
        <v>2359</v>
      </c>
      <c r="B185" s="524" t="s">
        <v>2360</v>
      </c>
      <c r="C185" s="524" t="s">
        <v>1703</v>
      </c>
      <c r="D185" s="524" t="s">
        <v>2371</v>
      </c>
      <c r="E185" s="524" t="s">
        <v>2370</v>
      </c>
      <c r="F185" s="527">
        <v>6.0000000000000005E-2</v>
      </c>
      <c r="G185" s="527">
        <v>646.15</v>
      </c>
      <c r="H185" s="527">
        <v>1</v>
      </c>
      <c r="I185" s="527">
        <v>10769.166666666666</v>
      </c>
      <c r="J185" s="527"/>
      <c r="K185" s="527"/>
      <c r="L185" s="527"/>
      <c r="M185" s="527"/>
      <c r="N185" s="527">
        <v>0.33999999999999997</v>
      </c>
      <c r="O185" s="527">
        <v>3696.2200000000003</v>
      </c>
      <c r="P185" s="540">
        <v>5.7203745260388459</v>
      </c>
      <c r="Q185" s="528">
        <v>10871.235294117649</v>
      </c>
    </row>
    <row r="186" spans="1:17" ht="14.4" customHeight="1" x14ac:dyDescent="0.3">
      <c r="A186" s="523" t="s">
        <v>2359</v>
      </c>
      <c r="B186" s="524" t="s">
        <v>2360</v>
      </c>
      <c r="C186" s="524" t="s">
        <v>1703</v>
      </c>
      <c r="D186" s="524" t="s">
        <v>2372</v>
      </c>
      <c r="E186" s="524" t="s">
        <v>2373</v>
      </c>
      <c r="F186" s="527">
        <v>0.31000000000000005</v>
      </c>
      <c r="G186" s="527">
        <v>819.43000000000006</v>
      </c>
      <c r="H186" s="527">
        <v>1</v>
      </c>
      <c r="I186" s="527">
        <v>2643.322580645161</v>
      </c>
      <c r="J186" s="527">
        <v>0.34</v>
      </c>
      <c r="K186" s="527">
        <v>649.58000000000004</v>
      </c>
      <c r="L186" s="527">
        <v>0.79272177001086119</v>
      </c>
      <c r="M186" s="527">
        <v>1910.5294117647059</v>
      </c>
      <c r="N186" s="527">
        <v>0.30000000000000004</v>
      </c>
      <c r="O186" s="527">
        <v>585.97</v>
      </c>
      <c r="P186" s="540">
        <v>0.71509463895634773</v>
      </c>
      <c r="Q186" s="528">
        <v>1953.2333333333331</v>
      </c>
    </row>
    <row r="187" spans="1:17" ht="14.4" customHeight="1" x14ac:dyDescent="0.3">
      <c r="A187" s="523" t="s">
        <v>2359</v>
      </c>
      <c r="B187" s="524" t="s">
        <v>2360</v>
      </c>
      <c r="C187" s="524" t="s">
        <v>1817</v>
      </c>
      <c r="D187" s="524" t="s">
        <v>2374</v>
      </c>
      <c r="E187" s="524" t="s">
        <v>2375</v>
      </c>
      <c r="F187" s="527">
        <v>0.01</v>
      </c>
      <c r="G187" s="527">
        <v>7.51</v>
      </c>
      <c r="H187" s="527">
        <v>1</v>
      </c>
      <c r="I187" s="527">
        <v>751</v>
      </c>
      <c r="J187" s="527"/>
      <c r="K187" s="527"/>
      <c r="L187" s="527"/>
      <c r="M187" s="527"/>
      <c r="N187" s="527"/>
      <c r="O187" s="527"/>
      <c r="P187" s="540"/>
      <c r="Q187" s="528"/>
    </row>
    <row r="188" spans="1:17" ht="14.4" customHeight="1" x14ac:dyDescent="0.3">
      <c r="A188" s="523" t="s">
        <v>2359</v>
      </c>
      <c r="B188" s="524" t="s">
        <v>2360</v>
      </c>
      <c r="C188" s="524" t="s">
        <v>1694</v>
      </c>
      <c r="D188" s="524" t="s">
        <v>2376</v>
      </c>
      <c r="E188" s="524" t="s">
        <v>2377</v>
      </c>
      <c r="F188" s="527"/>
      <c r="G188" s="527"/>
      <c r="H188" s="527"/>
      <c r="I188" s="527"/>
      <c r="J188" s="527">
        <v>1</v>
      </c>
      <c r="K188" s="527">
        <v>149</v>
      </c>
      <c r="L188" s="527"/>
      <c r="M188" s="527">
        <v>149</v>
      </c>
      <c r="N188" s="527">
        <v>3</v>
      </c>
      <c r="O188" s="527">
        <v>450</v>
      </c>
      <c r="P188" s="540"/>
      <c r="Q188" s="528">
        <v>150</v>
      </c>
    </row>
    <row r="189" spans="1:17" ht="14.4" customHeight="1" x14ac:dyDescent="0.3">
      <c r="A189" s="523" t="s">
        <v>2359</v>
      </c>
      <c r="B189" s="524" t="s">
        <v>2360</v>
      </c>
      <c r="C189" s="524" t="s">
        <v>1694</v>
      </c>
      <c r="D189" s="524" t="s">
        <v>2378</v>
      </c>
      <c r="E189" s="524" t="s">
        <v>2379</v>
      </c>
      <c r="F189" s="527">
        <v>1</v>
      </c>
      <c r="G189" s="527">
        <v>157</v>
      </c>
      <c r="H189" s="527">
        <v>1</v>
      </c>
      <c r="I189" s="527">
        <v>157</v>
      </c>
      <c r="J189" s="527">
        <v>2</v>
      </c>
      <c r="K189" s="527">
        <v>314</v>
      </c>
      <c r="L189" s="527">
        <v>2</v>
      </c>
      <c r="M189" s="527">
        <v>157</v>
      </c>
      <c r="N189" s="527">
        <v>2</v>
      </c>
      <c r="O189" s="527">
        <v>316</v>
      </c>
      <c r="P189" s="540">
        <v>2.0127388535031847</v>
      </c>
      <c r="Q189" s="528">
        <v>158</v>
      </c>
    </row>
    <row r="190" spans="1:17" ht="14.4" customHeight="1" x14ac:dyDescent="0.3">
      <c r="A190" s="523" t="s">
        <v>2359</v>
      </c>
      <c r="B190" s="524" t="s">
        <v>2360</v>
      </c>
      <c r="C190" s="524" t="s">
        <v>1694</v>
      </c>
      <c r="D190" s="524" t="s">
        <v>2380</v>
      </c>
      <c r="E190" s="524" t="s">
        <v>2381</v>
      </c>
      <c r="F190" s="527">
        <v>1</v>
      </c>
      <c r="G190" s="527">
        <v>181</v>
      </c>
      <c r="H190" s="527">
        <v>1</v>
      </c>
      <c r="I190" s="527">
        <v>181</v>
      </c>
      <c r="J190" s="527"/>
      <c r="K190" s="527"/>
      <c r="L190" s="527"/>
      <c r="M190" s="527"/>
      <c r="N190" s="527"/>
      <c r="O190" s="527"/>
      <c r="P190" s="540"/>
      <c r="Q190" s="528"/>
    </row>
    <row r="191" spans="1:17" ht="14.4" customHeight="1" x14ac:dyDescent="0.3">
      <c r="A191" s="523" t="s">
        <v>2359</v>
      </c>
      <c r="B191" s="524" t="s">
        <v>2360</v>
      </c>
      <c r="C191" s="524" t="s">
        <v>1694</v>
      </c>
      <c r="D191" s="524" t="s">
        <v>2382</v>
      </c>
      <c r="E191" s="524" t="s">
        <v>2383</v>
      </c>
      <c r="F191" s="527">
        <v>1</v>
      </c>
      <c r="G191" s="527">
        <v>192</v>
      </c>
      <c r="H191" s="527">
        <v>1</v>
      </c>
      <c r="I191" s="527">
        <v>192</v>
      </c>
      <c r="J191" s="527">
        <v>4</v>
      </c>
      <c r="K191" s="527">
        <v>768</v>
      </c>
      <c r="L191" s="527">
        <v>4</v>
      </c>
      <c r="M191" s="527">
        <v>192</v>
      </c>
      <c r="N191" s="527">
        <v>1</v>
      </c>
      <c r="O191" s="527">
        <v>193</v>
      </c>
      <c r="P191" s="540">
        <v>1.0052083333333333</v>
      </c>
      <c r="Q191" s="528">
        <v>193</v>
      </c>
    </row>
    <row r="192" spans="1:17" ht="14.4" customHeight="1" x14ac:dyDescent="0.3">
      <c r="A192" s="523" t="s">
        <v>2359</v>
      </c>
      <c r="B192" s="524" t="s">
        <v>2360</v>
      </c>
      <c r="C192" s="524" t="s">
        <v>1694</v>
      </c>
      <c r="D192" s="524" t="s">
        <v>2384</v>
      </c>
      <c r="E192" s="524" t="s">
        <v>2385</v>
      </c>
      <c r="F192" s="527">
        <v>43</v>
      </c>
      <c r="G192" s="527">
        <v>9288</v>
      </c>
      <c r="H192" s="527">
        <v>1</v>
      </c>
      <c r="I192" s="527">
        <v>216</v>
      </c>
      <c r="J192" s="527">
        <v>29</v>
      </c>
      <c r="K192" s="527">
        <v>6264</v>
      </c>
      <c r="L192" s="527">
        <v>0.67441860465116277</v>
      </c>
      <c r="M192" s="527">
        <v>216</v>
      </c>
      <c r="N192" s="527">
        <v>46</v>
      </c>
      <c r="O192" s="527">
        <v>9982</v>
      </c>
      <c r="P192" s="540">
        <v>1.0747200689061154</v>
      </c>
      <c r="Q192" s="528">
        <v>217</v>
      </c>
    </row>
    <row r="193" spans="1:17" ht="14.4" customHeight="1" x14ac:dyDescent="0.3">
      <c r="A193" s="523" t="s">
        <v>2359</v>
      </c>
      <c r="B193" s="524" t="s">
        <v>2360</v>
      </c>
      <c r="C193" s="524" t="s">
        <v>1694</v>
      </c>
      <c r="D193" s="524" t="s">
        <v>2386</v>
      </c>
      <c r="E193" s="524" t="s">
        <v>2387</v>
      </c>
      <c r="F193" s="527"/>
      <c r="G193" s="527"/>
      <c r="H193" s="527"/>
      <c r="I193" s="527"/>
      <c r="J193" s="527">
        <v>1</v>
      </c>
      <c r="K193" s="527">
        <v>216</v>
      </c>
      <c r="L193" s="527"/>
      <c r="M193" s="527">
        <v>216</v>
      </c>
      <c r="N193" s="527"/>
      <c r="O193" s="527"/>
      <c r="P193" s="540"/>
      <c r="Q193" s="528"/>
    </row>
    <row r="194" spans="1:17" ht="14.4" customHeight="1" x14ac:dyDescent="0.3">
      <c r="A194" s="523" t="s">
        <v>2359</v>
      </c>
      <c r="B194" s="524" t="s">
        <v>2360</v>
      </c>
      <c r="C194" s="524" t="s">
        <v>1694</v>
      </c>
      <c r="D194" s="524" t="s">
        <v>2388</v>
      </c>
      <c r="E194" s="524" t="s">
        <v>2389</v>
      </c>
      <c r="F194" s="527">
        <v>427</v>
      </c>
      <c r="G194" s="527">
        <v>73444</v>
      </c>
      <c r="H194" s="527">
        <v>1</v>
      </c>
      <c r="I194" s="527">
        <v>172</v>
      </c>
      <c r="J194" s="527">
        <v>335</v>
      </c>
      <c r="K194" s="527">
        <v>57620</v>
      </c>
      <c r="L194" s="527">
        <v>0.78454332552693207</v>
      </c>
      <c r="M194" s="527">
        <v>172</v>
      </c>
      <c r="N194" s="527">
        <v>365</v>
      </c>
      <c r="O194" s="527">
        <v>63145</v>
      </c>
      <c r="P194" s="540">
        <v>0.85977070965633684</v>
      </c>
      <c r="Q194" s="528">
        <v>173</v>
      </c>
    </row>
    <row r="195" spans="1:17" ht="14.4" customHeight="1" x14ac:dyDescent="0.3">
      <c r="A195" s="523" t="s">
        <v>2359</v>
      </c>
      <c r="B195" s="524" t="s">
        <v>2360</v>
      </c>
      <c r="C195" s="524" t="s">
        <v>1694</v>
      </c>
      <c r="D195" s="524" t="s">
        <v>2390</v>
      </c>
      <c r="E195" s="524" t="s">
        <v>2391</v>
      </c>
      <c r="F195" s="527">
        <v>40</v>
      </c>
      <c r="G195" s="527">
        <v>8720</v>
      </c>
      <c r="H195" s="527">
        <v>1</v>
      </c>
      <c r="I195" s="527">
        <v>218</v>
      </c>
      <c r="J195" s="527">
        <v>14</v>
      </c>
      <c r="K195" s="527">
        <v>3052</v>
      </c>
      <c r="L195" s="527">
        <v>0.35</v>
      </c>
      <c r="M195" s="527">
        <v>218</v>
      </c>
      <c r="N195" s="527">
        <v>28</v>
      </c>
      <c r="O195" s="527">
        <v>6132</v>
      </c>
      <c r="P195" s="540">
        <v>0.7032110091743119</v>
      </c>
      <c r="Q195" s="528">
        <v>219</v>
      </c>
    </row>
    <row r="196" spans="1:17" ht="14.4" customHeight="1" x14ac:dyDescent="0.3">
      <c r="A196" s="523" t="s">
        <v>2359</v>
      </c>
      <c r="B196" s="524" t="s">
        <v>2360</v>
      </c>
      <c r="C196" s="524" t="s">
        <v>1694</v>
      </c>
      <c r="D196" s="524" t="s">
        <v>2392</v>
      </c>
      <c r="E196" s="524" t="s">
        <v>2393</v>
      </c>
      <c r="F196" s="527">
        <v>5</v>
      </c>
      <c r="G196" s="527">
        <v>2070</v>
      </c>
      <c r="H196" s="527">
        <v>1</v>
      </c>
      <c r="I196" s="527">
        <v>414</v>
      </c>
      <c r="J196" s="527">
        <v>1</v>
      </c>
      <c r="K196" s="527">
        <v>414</v>
      </c>
      <c r="L196" s="527">
        <v>0.2</v>
      </c>
      <c r="M196" s="527">
        <v>414</v>
      </c>
      <c r="N196" s="527">
        <v>1</v>
      </c>
      <c r="O196" s="527">
        <v>415</v>
      </c>
      <c r="P196" s="540">
        <v>0.20048309178743962</v>
      </c>
      <c r="Q196" s="528">
        <v>415</v>
      </c>
    </row>
    <row r="197" spans="1:17" ht="14.4" customHeight="1" x14ac:dyDescent="0.3">
      <c r="A197" s="523" t="s">
        <v>2359</v>
      </c>
      <c r="B197" s="524" t="s">
        <v>2360</v>
      </c>
      <c r="C197" s="524" t="s">
        <v>1694</v>
      </c>
      <c r="D197" s="524" t="s">
        <v>2394</v>
      </c>
      <c r="E197" s="524" t="s">
        <v>2395</v>
      </c>
      <c r="F197" s="527">
        <v>1</v>
      </c>
      <c r="G197" s="527">
        <v>606</v>
      </c>
      <c r="H197" s="527">
        <v>1</v>
      </c>
      <c r="I197" s="527">
        <v>606</v>
      </c>
      <c r="J197" s="527"/>
      <c r="K197" s="527"/>
      <c r="L197" s="527"/>
      <c r="M197" s="527"/>
      <c r="N197" s="527"/>
      <c r="O197" s="527"/>
      <c r="P197" s="540"/>
      <c r="Q197" s="528"/>
    </row>
    <row r="198" spans="1:17" ht="14.4" customHeight="1" x14ac:dyDescent="0.3">
      <c r="A198" s="523" t="s">
        <v>2359</v>
      </c>
      <c r="B198" s="524" t="s">
        <v>2360</v>
      </c>
      <c r="C198" s="524" t="s">
        <v>1694</v>
      </c>
      <c r="D198" s="524" t="s">
        <v>2396</v>
      </c>
      <c r="E198" s="524" t="s">
        <v>2397</v>
      </c>
      <c r="F198" s="527">
        <v>6</v>
      </c>
      <c r="G198" s="527">
        <v>3930</v>
      </c>
      <c r="H198" s="527">
        <v>1</v>
      </c>
      <c r="I198" s="527">
        <v>655</v>
      </c>
      <c r="J198" s="527">
        <v>2</v>
      </c>
      <c r="K198" s="527">
        <v>1314</v>
      </c>
      <c r="L198" s="527">
        <v>0.33435114503816793</v>
      </c>
      <c r="M198" s="527">
        <v>657</v>
      </c>
      <c r="N198" s="527">
        <v>8</v>
      </c>
      <c r="O198" s="527">
        <v>5264</v>
      </c>
      <c r="P198" s="540">
        <v>1.3394402035623409</v>
      </c>
      <c r="Q198" s="528">
        <v>658</v>
      </c>
    </row>
    <row r="199" spans="1:17" ht="14.4" customHeight="1" x14ac:dyDescent="0.3">
      <c r="A199" s="523" t="s">
        <v>2359</v>
      </c>
      <c r="B199" s="524" t="s">
        <v>2360</v>
      </c>
      <c r="C199" s="524" t="s">
        <v>1694</v>
      </c>
      <c r="D199" s="524" t="s">
        <v>2398</v>
      </c>
      <c r="E199" s="524" t="s">
        <v>2399</v>
      </c>
      <c r="F199" s="527">
        <v>2</v>
      </c>
      <c r="G199" s="527">
        <v>1816</v>
      </c>
      <c r="H199" s="527">
        <v>1</v>
      </c>
      <c r="I199" s="527">
        <v>908</v>
      </c>
      <c r="J199" s="527">
        <v>3</v>
      </c>
      <c r="K199" s="527">
        <v>2730</v>
      </c>
      <c r="L199" s="527">
        <v>1.5033039647577093</v>
      </c>
      <c r="M199" s="527">
        <v>910</v>
      </c>
      <c r="N199" s="527">
        <v>4</v>
      </c>
      <c r="O199" s="527">
        <v>3648</v>
      </c>
      <c r="P199" s="540">
        <v>2.0088105726872247</v>
      </c>
      <c r="Q199" s="528">
        <v>912</v>
      </c>
    </row>
    <row r="200" spans="1:17" ht="14.4" customHeight="1" x14ac:dyDescent="0.3">
      <c r="A200" s="523" t="s">
        <v>2359</v>
      </c>
      <c r="B200" s="524" t="s">
        <v>2360</v>
      </c>
      <c r="C200" s="524" t="s">
        <v>1694</v>
      </c>
      <c r="D200" s="524" t="s">
        <v>2400</v>
      </c>
      <c r="E200" s="524" t="s">
        <v>2401</v>
      </c>
      <c r="F200" s="527">
        <v>1</v>
      </c>
      <c r="G200" s="527">
        <v>424</v>
      </c>
      <c r="H200" s="527">
        <v>1</v>
      </c>
      <c r="I200" s="527">
        <v>424</v>
      </c>
      <c r="J200" s="527"/>
      <c r="K200" s="527"/>
      <c r="L200" s="527"/>
      <c r="M200" s="527"/>
      <c r="N200" s="527"/>
      <c r="O200" s="527"/>
      <c r="P200" s="540"/>
      <c r="Q200" s="528"/>
    </row>
    <row r="201" spans="1:17" ht="14.4" customHeight="1" x14ac:dyDescent="0.3">
      <c r="A201" s="523" t="s">
        <v>2359</v>
      </c>
      <c r="B201" s="524" t="s">
        <v>2360</v>
      </c>
      <c r="C201" s="524" t="s">
        <v>1694</v>
      </c>
      <c r="D201" s="524" t="s">
        <v>2402</v>
      </c>
      <c r="E201" s="524" t="s">
        <v>2403</v>
      </c>
      <c r="F201" s="527"/>
      <c r="G201" s="527"/>
      <c r="H201" s="527"/>
      <c r="I201" s="527"/>
      <c r="J201" s="527">
        <v>2</v>
      </c>
      <c r="K201" s="527">
        <v>896</v>
      </c>
      <c r="L201" s="527"/>
      <c r="M201" s="527">
        <v>448</v>
      </c>
      <c r="N201" s="527">
        <v>2</v>
      </c>
      <c r="O201" s="527">
        <v>898</v>
      </c>
      <c r="P201" s="540"/>
      <c r="Q201" s="528">
        <v>449</v>
      </c>
    </row>
    <row r="202" spans="1:17" ht="14.4" customHeight="1" x14ac:dyDescent="0.3">
      <c r="A202" s="523" t="s">
        <v>2359</v>
      </c>
      <c r="B202" s="524" t="s">
        <v>2360</v>
      </c>
      <c r="C202" s="524" t="s">
        <v>1694</v>
      </c>
      <c r="D202" s="524" t="s">
        <v>2023</v>
      </c>
      <c r="E202" s="524" t="s">
        <v>2024</v>
      </c>
      <c r="F202" s="527"/>
      <c r="G202" s="527"/>
      <c r="H202" s="527"/>
      <c r="I202" s="527"/>
      <c r="J202" s="527">
        <v>2</v>
      </c>
      <c r="K202" s="527">
        <v>1108</v>
      </c>
      <c r="L202" s="527"/>
      <c r="M202" s="527">
        <v>554</v>
      </c>
      <c r="N202" s="527">
        <v>2</v>
      </c>
      <c r="O202" s="527">
        <v>1110</v>
      </c>
      <c r="P202" s="540"/>
      <c r="Q202" s="528">
        <v>555</v>
      </c>
    </row>
    <row r="203" spans="1:17" ht="14.4" customHeight="1" x14ac:dyDescent="0.3">
      <c r="A203" s="523" t="s">
        <v>2359</v>
      </c>
      <c r="B203" s="524" t="s">
        <v>2360</v>
      </c>
      <c r="C203" s="524" t="s">
        <v>1694</v>
      </c>
      <c r="D203" s="524" t="s">
        <v>2404</v>
      </c>
      <c r="E203" s="524" t="s">
        <v>2405</v>
      </c>
      <c r="F203" s="527"/>
      <c r="G203" s="527"/>
      <c r="H203" s="527"/>
      <c r="I203" s="527"/>
      <c r="J203" s="527"/>
      <c r="K203" s="527"/>
      <c r="L203" s="527"/>
      <c r="M203" s="527"/>
      <c r="N203" s="527">
        <v>2</v>
      </c>
      <c r="O203" s="527">
        <v>396</v>
      </c>
      <c r="P203" s="540"/>
      <c r="Q203" s="528">
        <v>198</v>
      </c>
    </row>
    <row r="204" spans="1:17" ht="14.4" customHeight="1" x14ac:dyDescent="0.3">
      <c r="A204" s="523" t="s">
        <v>2359</v>
      </c>
      <c r="B204" s="524" t="s">
        <v>2360</v>
      </c>
      <c r="C204" s="524" t="s">
        <v>1694</v>
      </c>
      <c r="D204" s="524" t="s">
        <v>2406</v>
      </c>
      <c r="E204" s="524" t="s">
        <v>2407</v>
      </c>
      <c r="F204" s="527">
        <v>1</v>
      </c>
      <c r="G204" s="527">
        <v>1042</v>
      </c>
      <c r="H204" s="527">
        <v>1</v>
      </c>
      <c r="I204" s="527">
        <v>1042</v>
      </c>
      <c r="J204" s="527"/>
      <c r="K204" s="527"/>
      <c r="L204" s="527"/>
      <c r="M204" s="527"/>
      <c r="N204" s="527"/>
      <c r="O204" s="527"/>
      <c r="P204" s="540"/>
      <c r="Q204" s="528"/>
    </row>
    <row r="205" spans="1:17" ht="14.4" customHeight="1" x14ac:dyDescent="0.3">
      <c r="A205" s="523" t="s">
        <v>2359</v>
      </c>
      <c r="B205" s="524" t="s">
        <v>2360</v>
      </c>
      <c r="C205" s="524" t="s">
        <v>1694</v>
      </c>
      <c r="D205" s="524" t="s">
        <v>2408</v>
      </c>
      <c r="E205" s="524" t="s">
        <v>2409</v>
      </c>
      <c r="F205" s="527">
        <v>1</v>
      </c>
      <c r="G205" s="527">
        <v>1992</v>
      </c>
      <c r="H205" s="527">
        <v>1</v>
      </c>
      <c r="I205" s="527">
        <v>1992</v>
      </c>
      <c r="J205" s="527">
        <v>2</v>
      </c>
      <c r="K205" s="527">
        <v>3988</v>
      </c>
      <c r="L205" s="527">
        <v>2.0020080321285141</v>
      </c>
      <c r="M205" s="527">
        <v>1994</v>
      </c>
      <c r="N205" s="527">
        <v>1</v>
      </c>
      <c r="O205" s="527">
        <v>1996</v>
      </c>
      <c r="P205" s="540">
        <v>1.0020080321285141</v>
      </c>
      <c r="Q205" s="528">
        <v>1996</v>
      </c>
    </row>
    <row r="206" spans="1:17" ht="14.4" customHeight="1" x14ac:dyDescent="0.3">
      <c r="A206" s="523" t="s">
        <v>2359</v>
      </c>
      <c r="B206" s="524" t="s">
        <v>2360</v>
      </c>
      <c r="C206" s="524" t="s">
        <v>1694</v>
      </c>
      <c r="D206" s="524" t="s">
        <v>2410</v>
      </c>
      <c r="E206" s="524" t="s">
        <v>2411</v>
      </c>
      <c r="F206" s="527"/>
      <c r="G206" s="527"/>
      <c r="H206" s="527"/>
      <c r="I206" s="527"/>
      <c r="J206" s="527"/>
      <c r="K206" s="527"/>
      <c r="L206" s="527"/>
      <c r="M206" s="527"/>
      <c r="N206" s="527">
        <v>1</v>
      </c>
      <c r="O206" s="527">
        <v>1277</v>
      </c>
      <c r="P206" s="540"/>
      <c r="Q206" s="528">
        <v>1277</v>
      </c>
    </row>
    <row r="207" spans="1:17" ht="14.4" customHeight="1" x14ac:dyDescent="0.3">
      <c r="A207" s="523" t="s">
        <v>2359</v>
      </c>
      <c r="B207" s="524" t="s">
        <v>2360</v>
      </c>
      <c r="C207" s="524" t="s">
        <v>1694</v>
      </c>
      <c r="D207" s="524" t="s">
        <v>2412</v>
      </c>
      <c r="E207" s="524" t="s">
        <v>2413</v>
      </c>
      <c r="F207" s="527"/>
      <c r="G207" s="527"/>
      <c r="H207" s="527"/>
      <c r="I207" s="527"/>
      <c r="J207" s="527"/>
      <c r="K207" s="527"/>
      <c r="L207" s="527"/>
      <c r="M207" s="527"/>
      <c r="N207" s="527">
        <v>1</v>
      </c>
      <c r="O207" s="527">
        <v>1164</v>
      </c>
      <c r="P207" s="540"/>
      <c r="Q207" s="528">
        <v>1164</v>
      </c>
    </row>
    <row r="208" spans="1:17" ht="14.4" customHeight="1" x14ac:dyDescent="0.3">
      <c r="A208" s="523" t="s">
        <v>2359</v>
      </c>
      <c r="B208" s="524" t="s">
        <v>2360</v>
      </c>
      <c r="C208" s="524" t="s">
        <v>1694</v>
      </c>
      <c r="D208" s="524" t="s">
        <v>2414</v>
      </c>
      <c r="E208" s="524" t="s">
        <v>2415</v>
      </c>
      <c r="F208" s="527">
        <v>20</v>
      </c>
      <c r="G208" s="527">
        <v>101260</v>
      </c>
      <c r="H208" s="527">
        <v>1</v>
      </c>
      <c r="I208" s="527">
        <v>5063</v>
      </c>
      <c r="J208" s="527">
        <v>17</v>
      </c>
      <c r="K208" s="527">
        <v>86105</v>
      </c>
      <c r="L208" s="527">
        <v>0.85033576930673516</v>
      </c>
      <c r="M208" s="527">
        <v>5065</v>
      </c>
      <c r="N208" s="527">
        <v>20</v>
      </c>
      <c r="O208" s="527">
        <v>101360</v>
      </c>
      <c r="P208" s="540">
        <v>1.000987556784515</v>
      </c>
      <c r="Q208" s="528">
        <v>5068</v>
      </c>
    </row>
    <row r="209" spans="1:17" ht="14.4" customHeight="1" x14ac:dyDescent="0.3">
      <c r="A209" s="523" t="s">
        <v>2359</v>
      </c>
      <c r="B209" s="524" t="s">
        <v>2360</v>
      </c>
      <c r="C209" s="524" t="s">
        <v>1694</v>
      </c>
      <c r="D209" s="524" t="s">
        <v>2416</v>
      </c>
      <c r="E209" s="524" t="s">
        <v>2417</v>
      </c>
      <c r="F209" s="527">
        <v>1</v>
      </c>
      <c r="G209" s="527">
        <v>5175</v>
      </c>
      <c r="H209" s="527">
        <v>1</v>
      </c>
      <c r="I209" s="527">
        <v>5175</v>
      </c>
      <c r="J209" s="527">
        <v>2</v>
      </c>
      <c r="K209" s="527">
        <v>10354</v>
      </c>
      <c r="L209" s="527">
        <v>2.0007729468599034</v>
      </c>
      <c r="M209" s="527">
        <v>5177</v>
      </c>
      <c r="N209" s="527">
        <v>3</v>
      </c>
      <c r="O209" s="527">
        <v>15540</v>
      </c>
      <c r="P209" s="540">
        <v>3.0028985507246375</v>
      </c>
      <c r="Q209" s="528">
        <v>5180</v>
      </c>
    </row>
    <row r="210" spans="1:17" ht="14.4" customHeight="1" x14ac:dyDescent="0.3">
      <c r="A210" s="523" t="s">
        <v>2359</v>
      </c>
      <c r="B210" s="524" t="s">
        <v>2360</v>
      </c>
      <c r="C210" s="524" t="s">
        <v>1694</v>
      </c>
      <c r="D210" s="524" t="s">
        <v>2418</v>
      </c>
      <c r="E210" s="524" t="s">
        <v>2419</v>
      </c>
      <c r="F210" s="527">
        <v>3</v>
      </c>
      <c r="G210" s="527">
        <v>16509</v>
      </c>
      <c r="H210" s="527">
        <v>1</v>
      </c>
      <c r="I210" s="527">
        <v>5503</v>
      </c>
      <c r="J210" s="527">
        <v>2</v>
      </c>
      <c r="K210" s="527">
        <v>11010</v>
      </c>
      <c r="L210" s="527">
        <v>0.66690895874977285</v>
      </c>
      <c r="M210" s="527">
        <v>5505</v>
      </c>
      <c r="N210" s="527">
        <v>2</v>
      </c>
      <c r="O210" s="527">
        <v>11016</v>
      </c>
      <c r="P210" s="540">
        <v>0.66727239687443218</v>
      </c>
      <c r="Q210" s="528">
        <v>5508</v>
      </c>
    </row>
    <row r="211" spans="1:17" ht="14.4" customHeight="1" x14ac:dyDescent="0.3">
      <c r="A211" s="523" t="s">
        <v>2359</v>
      </c>
      <c r="B211" s="524" t="s">
        <v>2360</v>
      </c>
      <c r="C211" s="524" t="s">
        <v>1694</v>
      </c>
      <c r="D211" s="524" t="s">
        <v>2420</v>
      </c>
      <c r="E211" s="524" t="s">
        <v>2421</v>
      </c>
      <c r="F211" s="527">
        <v>18</v>
      </c>
      <c r="G211" s="527">
        <v>48402</v>
      </c>
      <c r="H211" s="527">
        <v>1</v>
      </c>
      <c r="I211" s="527">
        <v>2689</v>
      </c>
      <c r="J211" s="527">
        <v>14</v>
      </c>
      <c r="K211" s="527">
        <v>37674</v>
      </c>
      <c r="L211" s="527">
        <v>0.77835626626998888</v>
      </c>
      <c r="M211" s="527">
        <v>2691</v>
      </c>
      <c r="N211" s="527">
        <v>17</v>
      </c>
      <c r="O211" s="527">
        <v>45764</v>
      </c>
      <c r="P211" s="540">
        <v>0.94549811991240029</v>
      </c>
      <c r="Q211" s="528">
        <v>2692</v>
      </c>
    </row>
    <row r="212" spans="1:17" ht="14.4" customHeight="1" x14ac:dyDescent="0.3">
      <c r="A212" s="523" t="s">
        <v>2422</v>
      </c>
      <c r="B212" s="524" t="s">
        <v>2423</v>
      </c>
      <c r="C212" s="524" t="s">
        <v>1694</v>
      </c>
      <c r="D212" s="524" t="s">
        <v>2424</v>
      </c>
      <c r="E212" s="524" t="s">
        <v>2425</v>
      </c>
      <c r="F212" s="527">
        <v>1</v>
      </c>
      <c r="G212" s="527">
        <v>259</v>
      </c>
      <c r="H212" s="527">
        <v>1</v>
      </c>
      <c r="I212" s="527">
        <v>259</v>
      </c>
      <c r="J212" s="527"/>
      <c r="K212" s="527"/>
      <c r="L212" s="527"/>
      <c r="M212" s="527"/>
      <c r="N212" s="527"/>
      <c r="O212" s="527"/>
      <c r="P212" s="540"/>
      <c r="Q212" s="528"/>
    </row>
    <row r="213" spans="1:17" ht="14.4" customHeight="1" x14ac:dyDescent="0.3">
      <c r="A213" s="523" t="s">
        <v>2422</v>
      </c>
      <c r="B213" s="524" t="s">
        <v>2423</v>
      </c>
      <c r="C213" s="524" t="s">
        <v>1694</v>
      </c>
      <c r="D213" s="524" t="s">
        <v>2426</v>
      </c>
      <c r="E213" s="524" t="s">
        <v>2427</v>
      </c>
      <c r="F213" s="527">
        <v>28</v>
      </c>
      <c r="G213" s="527">
        <v>4452</v>
      </c>
      <c r="H213" s="527">
        <v>1</v>
      </c>
      <c r="I213" s="527">
        <v>159</v>
      </c>
      <c r="J213" s="527">
        <v>50</v>
      </c>
      <c r="K213" s="527">
        <v>7950</v>
      </c>
      <c r="L213" s="527">
        <v>1.7857142857142858</v>
      </c>
      <c r="M213" s="527">
        <v>159</v>
      </c>
      <c r="N213" s="527">
        <v>34</v>
      </c>
      <c r="O213" s="527">
        <v>5440</v>
      </c>
      <c r="P213" s="540">
        <v>1.2219227313566936</v>
      </c>
      <c r="Q213" s="528">
        <v>160</v>
      </c>
    </row>
    <row r="214" spans="1:17" ht="14.4" customHeight="1" x14ac:dyDescent="0.3">
      <c r="A214" s="523" t="s">
        <v>2422</v>
      </c>
      <c r="B214" s="524" t="s">
        <v>2423</v>
      </c>
      <c r="C214" s="524" t="s">
        <v>1694</v>
      </c>
      <c r="D214" s="524" t="s">
        <v>2428</v>
      </c>
      <c r="E214" s="524" t="s">
        <v>2429</v>
      </c>
      <c r="F214" s="527">
        <v>752</v>
      </c>
      <c r="G214" s="527">
        <v>107536</v>
      </c>
      <c r="H214" s="527">
        <v>1</v>
      </c>
      <c r="I214" s="527">
        <v>143</v>
      </c>
      <c r="J214" s="527">
        <v>722</v>
      </c>
      <c r="K214" s="527">
        <v>103246</v>
      </c>
      <c r="L214" s="527">
        <v>0.96010638297872342</v>
      </c>
      <c r="M214" s="527">
        <v>143</v>
      </c>
      <c r="N214" s="527">
        <v>809</v>
      </c>
      <c r="O214" s="527">
        <v>116496</v>
      </c>
      <c r="P214" s="540">
        <v>1.0833209343847641</v>
      </c>
      <c r="Q214" s="528">
        <v>144</v>
      </c>
    </row>
    <row r="215" spans="1:17" ht="14.4" customHeight="1" x14ac:dyDescent="0.3">
      <c r="A215" s="523" t="s">
        <v>2422</v>
      </c>
      <c r="B215" s="524" t="s">
        <v>2423</v>
      </c>
      <c r="C215" s="524" t="s">
        <v>1694</v>
      </c>
      <c r="D215" s="524" t="s">
        <v>2430</v>
      </c>
      <c r="E215" s="524" t="s">
        <v>2431</v>
      </c>
      <c r="F215" s="527">
        <v>112</v>
      </c>
      <c r="G215" s="527">
        <v>7840</v>
      </c>
      <c r="H215" s="527">
        <v>1</v>
      </c>
      <c r="I215" s="527">
        <v>70</v>
      </c>
      <c r="J215" s="527">
        <v>100</v>
      </c>
      <c r="K215" s="527">
        <v>7000</v>
      </c>
      <c r="L215" s="527">
        <v>0.8928571428571429</v>
      </c>
      <c r="M215" s="527">
        <v>70</v>
      </c>
      <c r="N215" s="527">
        <v>98</v>
      </c>
      <c r="O215" s="527">
        <v>6860</v>
      </c>
      <c r="P215" s="540">
        <v>0.875</v>
      </c>
      <c r="Q215" s="528">
        <v>70</v>
      </c>
    </row>
    <row r="216" spans="1:17" ht="14.4" customHeight="1" x14ac:dyDescent="0.3">
      <c r="A216" s="523" t="s">
        <v>2422</v>
      </c>
      <c r="B216" s="524" t="s">
        <v>2423</v>
      </c>
      <c r="C216" s="524" t="s">
        <v>1694</v>
      </c>
      <c r="D216" s="524" t="s">
        <v>2432</v>
      </c>
      <c r="E216" s="524" t="s">
        <v>2431</v>
      </c>
      <c r="F216" s="527">
        <v>31</v>
      </c>
      <c r="G216" s="527">
        <v>6262</v>
      </c>
      <c r="H216" s="527">
        <v>1</v>
      </c>
      <c r="I216" s="527">
        <v>202</v>
      </c>
      <c r="J216" s="527">
        <v>19</v>
      </c>
      <c r="K216" s="527">
        <v>3838</v>
      </c>
      <c r="L216" s="527">
        <v>0.61290322580645162</v>
      </c>
      <c r="M216" s="527">
        <v>202</v>
      </c>
      <c r="N216" s="527">
        <v>27</v>
      </c>
      <c r="O216" s="527">
        <v>5481</v>
      </c>
      <c r="P216" s="540">
        <v>0.87527946343021401</v>
      </c>
      <c r="Q216" s="528">
        <v>203</v>
      </c>
    </row>
    <row r="217" spans="1:17" ht="14.4" customHeight="1" x14ac:dyDescent="0.3">
      <c r="A217" s="523" t="s">
        <v>2422</v>
      </c>
      <c r="B217" s="524" t="s">
        <v>2423</v>
      </c>
      <c r="C217" s="524" t="s">
        <v>1694</v>
      </c>
      <c r="D217" s="524" t="s">
        <v>2433</v>
      </c>
      <c r="E217" s="524" t="s">
        <v>2434</v>
      </c>
      <c r="F217" s="527">
        <v>18</v>
      </c>
      <c r="G217" s="527">
        <v>5238</v>
      </c>
      <c r="H217" s="527">
        <v>1</v>
      </c>
      <c r="I217" s="527">
        <v>291</v>
      </c>
      <c r="J217" s="527">
        <v>67</v>
      </c>
      <c r="K217" s="527">
        <v>19497</v>
      </c>
      <c r="L217" s="527">
        <v>3.7222222222222223</v>
      </c>
      <c r="M217" s="527">
        <v>291</v>
      </c>
      <c r="N217" s="527">
        <v>51</v>
      </c>
      <c r="O217" s="527">
        <v>14892</v>
      </c>
      <c r="P217" s="540">
        <v>2.8430698739977092</v>
      </c>
      <c r="Q217" s="528">
        <v>292</v>
      </c>
    </row>
    <row r="218" spans="1:17" ht="14.4" customHeight="1" x14ac:dyDescent="0.3">
      <c r="A218" s="523" t="s">
        <v>2422</v>
      </c>
      <c r="B218" s="524" t="s">
        <v>2423</v>
      </c>
      <c r="C218" s="524" t="s">
        <v>1694</v>
      </c>
      <c r="D218" s="524" t="s">
        <v>2435</v>
      </c>
      <c r="E218" s="524" t="s">
        <v>2436</v>
      </c>
      <c r="F218" s="527">
        <v>337</v>
      </c>
      <c r="G218" s="527">
        <v>36059</v>
      </c>
      <c r="H218" s="527">
        <v>1</v>
      </c>
      <c r="I218" s="527">
        <v>107</v>
      </c>
      <c r="J218" s="527">
        <v>326</v>
      </c>
      <c r="K218" s="527">
        <v>34882</v>
      </c>
      <c r="L218" s="527">
        <v>0.96735905044510384</v>
      </c>
      <c r="M218" s="527">
        <v>107</v>
      </c>
      <c r="N218" s="527">
        <v>336</v>
      </c>
      <c r="O218" s="527">
        <v>36288</v>
      </c>
      <c r="P218" s="540">
        <v>1.006350703014504</v>
      </c>
      <c r="Q218" s="528">
        <v>108</v>
      </c>
    </row>
    <row r="219" spans="1:17" ht="14.4" customHeight="1" x14ac:dyDescent="0.3">
      <c r="A219" s="523" t="s">
        <v>2422</v>
      </c>
      <c r="B219" s="524" t="s">
        <v>2423</v>
      </c>
      <c r="C219" s="524" t="s">
        <v>1694</v>
      </c>
      <c r="D219" s="524" t="s">
        <v>820</v>
      </c>
      <c r="E219" s="524" t="s">
        <v>2437</v>
      </c>
      <c r="F219" s="527"/>
      <c r="G219" s="527"/>
      <c r="H219" s="527"/>
      <c r="I219" s="527"/>
      <c r="J219" s="527">
        <v>12</v>
      </c>
      <c r="K219" s="527">
        <v>1104</v>
      </c>
      <c r="L219" s="527"/>
      <c r="M219" s="527">
        <v>92</v>
      </c>
      <c r="N219" s="527">
        <v>24</v>
      </c>
      <c r="O219" s="527">
        <v>2232</v>
      </c>
      <c r="P219" s="540"/>
      <c r="Q219" s="528">
        <v>93</v>
      </c>
    </row>
    <row r="220" spans="1:17" ht="14.4" customHeight="1" x14ac:dyDescent="0.3">
      <c r="A220" s="523" t="s">
        <v>2422</v>
      </c>
      <c r="B220" s="524" t="s">
        <v>2423</v>
      </c>
      <c r="C220" s="524" t="s">
        <v>1694</v>
      </c>
      <c r="D220" s="524" t="s">
        <v>2438</v>
      </c>
      <c r="E220" s="524" t="s">
        <v>2439</v>
      </c>
      <c r="F220" s="527"/>
      <c r="G220" s="527"/>
      <c r="H220" s="527"/>
      <c r="I220" s="527"/>
      <c r="J220" s="527">
        <v>4</v>
      </c>
      <c r="K220" s="527">
        <v>876</v>
      </c>
      <c r="L220" s="527"/>
      <c r="M220" s="527">
        <v>219</v>
      </c>
      <c r="N220" s="527">
        <v>5</v>
      </c>
      <c r="O220" s="527">
        <v>1100</v>
      </c>
      <c r="P220" s="540"/>
      <c r="Q220" s="528">
        <v>220</v>
      </c>
    </row>
    <row r="221" spans="1:17" ht="14.4" customHeight="1" x14ac:dyDescent="0.3">
      <c r="A221" s="523" t="s">
        <v>2422</v>
      </c>
      <c r="B221" s="524" t="s">
        <v>2423</v>
      </c>
      <c r="C221" s="524" t="s">
        <v>1694</v>
      </c>
      <c r="D221" s="524" t="s">
        <v>2440</v>
      </c>
      <c r="E221" s="524" t="s">
        <v>2441</v>
      </c>
      <c r="F221" s="527"/>
      <c r="G221" s="527"/>
      <c r="H221" s="527"/>
      <c r="I221" s="527"/>
      <c r="J221" s="527">
        <v>1</v>
      </c>
      <c r="K221" s="527">
        <v>302</v>
      </c>
      <c r="L221" s="527"/>
      <c r="M221" s="527">
        <v>302</v>
      </c>
      <c r="N221" s="527"/>
      <c r="O221" s="527"/>
      <c r="P221" s="540"/>
      <c r="Q221" s="528"/>
    </row>
    <row r="222" spans="1:17" ht="14.4" customHeight="1" x14ac:dyDescent="0.3">
      <c r="A222" s="523" t="s">
        <v>2422</v>
      </c>
      <c r="B222" s="524" t="s">
        <v>2423</v>
      </c>
      <c r="C222" s="524" t="s">
        <v>1694</v>
      </c>
      <c r="D222" s="524" t="s">
        <v>2442</v>
      </c>
      <c r="E222" s="524" t="s">
        <v>2443</v>
      </c>
      <c r="F222" s="527">
        <v>19</v>
      </c>
      <c r="G222" s="527">
        <v>2527</v>
      </c>
      <c r="H222" s="527">
        <v>1</v>
      </c>
      <c r="I222" s="527">
        <v>133</v>
      </c>
      <c r="J222" s="527">
        <v>18</v>
      </c>
      <c r="K222" s="527">
        <v>2394</v>
      </c>
      <c r="L222" s="527">
        <v>0.94736842105263153</v>
      </c>
      <c r="M222" s="527">
        <v>133</v>
      </c>
      <c r="N222" s="527">
        <v>26</v>
      </c>
      <c r="O222" s="527">
        <v>3484</v>
      </c>
      <c r="P222" s="540">
        <v>1.3787099327265533</v>
      </c>
      <c r="Q222" s="528">
        <v>134</v>
      </c>
    </row>
    <row r="223" spans="1:17" ht="14.4" customHeight="1" x14ac:dyDescent="0.3">
      <c r="A223" s="523" t="s">
        <v>2422</v>
      </c>
      <c r="B223" s="524" t="s">
        <v>2423</v>
      </c>
      <c r="C223" s="524" t="s">
        <v>1694</v>
      </c>
      <c r="D223" s="524" t="s">
        <v>2444</v>
      </c>
      <c r="E223" s="524" t="s">
        <v>2445</v>
      </c>
      <c r="F223" s="527"/>
      <c r="G223" s="527"/>
      <c r="H223" s="527"/>
      <c r="I223" s="527"/>
      <c r="J223" s="527">
        <v>1</v>
      </c>
      <c r="K223" s="527">
        <v>140</v>
      </c>
      <c r="L223" s="527"/>
      <c r="M223" s="527">
        <v>140</v>
      </c>
      <c r="N223" s="527"/>
      <c r="O223" s="527"/>
      <c r="P223" s="540"/>
      <c r="Q223" s="528"/>
    </row>
    <row r="224" spans="1:17" ht="14.4" customHeight="1" x14ac:dyDescent="0.3">
      <c r="A224" s="523" t="s">
        <v>2422</v>
      </c>
      <c r="B224" s="524" t="s">
        <v>2423</v>
      </c>
      <c r="C224" s="524" t="s">
        <v>1694</v>
      </c>
      <c r="D224" s="524" t="s">
        <v>2446</v>
      </c>
      <c r="E224" s="524" t="s">
        <v>2445</v>
      </c>
      <c r="F224" s="527">
        <v>19</v>
      </c>
      <c r="G224" s="527">
        <v>1482</v>
      </c>
      <c r="H224" s="527">
        <v>1</v>
      </c>
      <c r="I224" s="527">
        <v>78</v>
      </c>
      <c r="J224" s="527">
        <v>18</v>
      </c>
      <c r="K224" s="527">
        <v>1404</v>
      </c>
      <c r="L224" s="527">
        <v>0.94736842105263153</v>
      </c>
      <c r="M224" s="527">
        <v>78</v>
      </c>
      <c r="N224" s="527">
        <v>26</v>
      </c>
      <c r="O224" s="527">
        <v>2028</v>
      </c>
      <c r="P224" s="540">
        <v>1.368421052631579</v>
      </c>
      <c r="Q224" s="528">
        <v>78</v>
      </c>
    </row>
    <row r="225" spans="1:17" ht="14.4" customHeight="1" x14ac:dyDescent="0.3">
      <c r="A225" s="523" t="s">
        <v>2422</v>
      </c>
      <c r="B225" s="524" t="s">
        <v>2423</v>
      </c>
      <c r="C225" s="524" t="s">
        <v>1694</v>
      </c>
      <c r="D225" s="524" t="s">
        <v>2447</v>
      </c>
      <c r="E225" s="524" t="s">
        <v>2448</v>
      </c>
      <c r="F225" s="527">
        <v>2</v>
      </c>
      <c r="G225" s="527">
        <v>578</v>
      </c>
      <c r="H225" s="527">
        <v>1</v>
      </c>
      <c r="I225" s="527">
        <v>289</v>
      </c>
      <c r="J225" s="527">
        <v>4</v>
      </c>
      <c r="K225" s="527">
        <v>1160</v>
      </c>
      <c r="L225" s="527">
        <v>2.0069204152249136</v>
      </c>
      <c r="M225" s="527">
        <v>290</v>
      </c>
      <c r="N225" s="527">
        <v>4</v>
      </c>
      <c r="O225" s="527">
        <v>1164</v>
      </c>
      <c r="P225" s="540">
        <v>2.0138408304498272</v>
      </c>
      <c r="Q225" s="528">
        <v>291</v>
      </c>
    </row>
    <row r="226" spans="1:17" ht="14.4" customHeight="1" x14ac:dyDescent="0.3">
      <c r="A226" s="523" t="s">
        <v>2422</v>
      </c>
      <c r="B226" s="524" t="s">
        <v>2423</v>
      </c>
      <c r="C226" s="524" t="s">
        <v>1694</v>
      </c>
      <c r="D226" s="524" t="s">
        <v>2449</v>
      </c>
      <c r="E226" s="524" t="s">
        <v>2450</v>
      </c>
      <c r="F226" s="527">
        <v>10</v>
      </c>
      <c r="G226" s="527">
        <v>2760</v>
      </c>
      <c r="H226" s="527">
        <v>1</v>
      </c>
      <c r="I226" s="527">
        <v>276</v>
      </c>
      <c r="J226" s="527">
        <v>6</v>
      </c>
      <c r="K226" s="527">
        <v>1668</v>
      </c>
      <c r="L226" s="527">
        <v>0.60434782608695647</v>
      </c>
      <c r="M226" s="527">
        <v>278</v>
      </c>
      <c r="N226" s="527">
        <v>15</v>
      </c>
      <c r="O226" s="527">
        <v>4200</v>
      </c>
      <c r="P226" s="540">
        <v>1.5217391304347827</v>
      </c>
      <c r="Q226" s="528">
        <v>280</v>
      </c>
    </row>
    <row r="227" spans="1:17" ht="14.4" customHeight="1" x14ac:dyDescent="0.3">
      <c r="A227" s="523" t="s">
        <v>2422</v>
      </c>
      <c r="B227" s="524" t="s">
        <v>2423</v>
      </c>
      <c r="C227" s="524" t="s">
        <v>1694</v>
      </c>
      <c r="D227" s="524" t="s">
        <v>2451</v>
      </c>
      <c r="E227" s="524" t="s">
        <v>2452</v>
      </c>
      <c r="F227" s="527"/>
      <c r="G227" s="527"/>
      <c r="H227" s="527"/>
      <c r="I227" s="527"/>
      <c r="J227" s="527"/>
      <c r="K227" s="527"/>
      <c r="L227" s="527"/>
      <c r="M227" s="527"/>
      <c r="N227" s="527">
        <v>1</v>
      </c>
      <c r="O227" s="527">
        <v>612</v>
      </c>
      <c r="P227" s="540"/>
      <c r="Q227" s="528">
        <v>612</v>
      </c>
    </row>
    <row r="228" spans="1:17" ht="14.4" customHeight="1" x14ac:dyDescent="0.3">
      <c r="A228" s="523" t="s">
        <v>2422</v>
      </c>
      <c r="B228" s="524" t="s">
        <v>2423</v>
      </c>
      <c r="C228" s="524" t="s">
        <v>1694</v>
      </c>
      <c r="D228" s="524" t="s">
        <v>2453</v>
      </c>
      <c r="E228" s="524" t="s">
        <v>2454</v>
      </c>
      <c r="F228" s="527"/>
      <c r="G228" s="527"/>
      <c r="H228" s="527"/>
      <c r="I228" s="527"/>
      <c r="J228" s="527"/>
      <c r="K228" s="527"/>
      <c r="L228" s="527"/>
      <c r="M228" s="527"/>
      <c r="N228" s="527">
        <v>4</v>
      </c>
      <c r="O228" s="527">
        <v>2896</v>
      </c>
      <c r="P228" s="540"/>
      <c r="Q228" s="528">
        <v>724</v>
      </c>
    </row>
    <row r="229" spans="1:17" ht="14.4" customHeight="1" x14ac:dyDescent="0.3">
      <c r="A229" s="523" t="s">
        <v>2422</v>
      </c>
      <c r="B229" s="524" t="s">
        <v>2423</v>
      </c>
      <c r="C229" s="524" t="s">
        <v>1694</v>
      </c>
      <c r="D229" s="524" t="s">
        <v>2455</v>
      </c>
      <c r="E229" s="524" t="s">
        <v>2456</v>
      </c>
      <c r="F229" s="527"/>
      <c r="G229" s="527"/>
      <c r="H229" s="527"/>
      <c r="I229" s="527"/>
      <c r="J229" s="527"/>
      <c r="K229" s="527"/>
      <c r="L229" s="527"/>
      <c r="M229" s="527"/>
      <c r="N229" s="527">
        <v>1</v>
      </c>
      <c r="O229" s="527">
        <v>1020</v>
      </c>
      <c r="P229" s="540"/>
      <c r="Q229" s="528">
        <v>1020</v>
      </c>
    </row>
    <row r="230" spans="1:17" ht="14.4" customHeight="1" x14ac:dyDescent="0.3">
      <c r="A230" s="523" t="s">
        <v>2422</v>
      </c>
      <c r="B230" s="524" t="s">
        <v>2423</v>
      </c>
      <c r="C230" s="524" t="s">
        <v>1694</v>
      </c>
      <c r="D230" s="524" t="s">
        <v>2457</v>
      </c>
      <c r="E230" s="524" t="s">
        <v>2458</v>
      </c>
      <c r="F230" s="527">
        <v>1</v>
      </c>
      <c r="G230" s="527">
        <v>1184</v>
      </c>
      <c r="H230" s="527">
        <v>1</v>
      </c>
      <c r="I230" s="527">
        <v>1184</v>
      </c>
      <c r="J230" s="527">
        <v>7</v>
      </c>
      <c r="K230" s="527">
        <v>8302</v>
      </c>
      <c r="L230" s="527">
        <v>7.0118243243243246</v>
      </c>
      <c r="M230" s="527">
        <v>1186</v>
      </c>
      <c r="N230" s="527">
        <v>8</v>
      </c>
      <c r="O230" s="527">
        <v>9512</v>
      </c>
      <c r="P230" s="540">
        <v>8.0337837837837842</v>
      </c>
      <c r="Q230" s="528">
        <v>1189</v>
      </c>
    </row>
    <row r="231" spans="1:17" ht="14.4" customHeight="1" x14ac:dyDescent="0.3">
      <c r="A231" s="523" t="s">
        <v>2422</v>
      </c>
      <c r="B231" s="524" t="s">
        <v>2423</v>
      </c>
      <c r="C231" s="524" t="s">
        <v>1694</v>
      </c>
      <c r="D231" s="524" t="s">
        <v>2459</v>
      </c>
      <c r="E231" s="524" t="s">
        <v>2460</v>
      </c>
      <c r="F231" s="527">
        <v>9</v>
      </c>
      <c r="G231" s="527">
        <v>1422</v>
      </c>
      <c r="H231" s="527">
        <v>1</v>
      </c>
      <c r="I231" s="527">
        <v>158</v>
      </c>
      <c r="J231" s="527">
        <v>16</v>
      </c>
      <c r="K231" s="527">
        <v>2528</v>
      </c>
      <c r="L231" s="527">
        <v>1.7777777777777777</v>
      </c>
      <c r="M231" s="527">
        <v>158</v>
      </c>
      <c r="N231" s="527">
        <v>21</v>
      </c>
      <c r="O231" s="527">
        <v>3339</v>
      </c>
      <c r="P231" s="540">
        <v>2.3481012658227849</v>
      </c>
      <c r="Q231" s="528">
        <v>159</v>
      </c>
    </row>
    <row r="232" spans="1:17" ht="14.4" customHeight="1" x14ac:dyDescent="0.3">
      <c r="A232" s="523" t="s">
        <v>2422</v>
      </c>
      <c r="B232" s="524" t="s">
        <v>2423</v>
      </c>
      <c r="C232" s="524" t="s">
        <v>1694</v>
      </c>
      <c r="D232" s="524" t="s">
        <v>2461</v>
      </c>
      <c r="E232" s="524" t="s">
        <v>2462</v>
      </c>
      <c r="F232" s="527">
        <v>1</v>
      </c>
      <c r="G232" s="527">
        <v>316</v>
      </c>
      <c r="H232" s="527">
        <v>1</v>
      </c>
      <c r="I232" s="527">
        <v>316</v>
      </c>
      <c r="J232" s="527"/>
      <c r="K232" s="527"/>
      <c r="L232" s="527"/>
      <c r="M232" s="527"/>
      <c r="N232" s="527">
        <v>2</v>
      </c>
      <c r="O232" s="527">
        <v>638</v>
      </c>
      <c r="P232" s="540">
        <v>2.018987341772152</v>
      </c>
      <c r="Q232" s="528">
        <v>319</v>
      </c>
    </row>
    <row r="233" spans="1:17" ht="14.4" customHeight="1" x14ac:dyDescent="0.3">
      <c r="A233" s="523" t="s">
        <v>2422</v>
      </c>
      <c r="B233" s="524" t="s">
        <v>2423</v>
      </c>
      <c r="C233" s="524" t="s">
        <v>1694</v>
      </c>
      <c r="D233" s="524" t="s">
        <v>2463</v>
      </c>
      <c r="E233" s="524" t="s">
        <v>2464</v>
      </c>
      <c r="F233" s="527">
        <v>1490</v>
      </c>
      <c r="G233" s="527">
        <v>724140</v>
      </c>
      <c r="H233" s="527">
        <v>1</v>
      </c>
      <c r="I233" s="527">
        <v>486</v>
      </c>
      <c r="J233" s="527">
        <v>1520</v>
      </c>
      <c r="K233" s="527">
        <v>738720</v>
      </c>
      <c r="L233" s="527">
        <v>1.0201342281879195</v>
      </c>
      <c r="M233" s="527">
        <v>486</v>
      </c>
      <c r="N233" s="527">
        <v>1688</v>
      </c>
      <c r="O233" s="527">
        <v>820368</v>
      </c>
      <c r="P233" s="540">
        <v>1.1328859060402685</v>
      </c>
      <c r="Q233" s="528">
        <v>486</v>
      </c>
    </row>
    <row r="234" spans="1:17" ht="14.4" customHeight="1" x14ac:dyDescent="0.3">
      <c r="A234" s="523" t="s">
        <v>2465</v>
      </c>
      <c r="B234" s="524" t="s">
        <v>2466</v>
      </c>
      <c r="C234" s="524" t="s">
        <v>1694</v>
      </c>
      <c r="D234" s="524" t="s">
        <v>2467</v>
      </c>
      <c r="E234" s="524" t="s">
        <v>2468</v>
      </c>
      <c r="F234" s="527">
        <v>30</v>
      </c>
      <c r="G234" s="527">
        <v>1590</v>
      </c>
      <c r="H234" s="527">
        <v>1</v>
      </c>
      <c r="I234" s="527">
        <v>53</v>
      </c>
      <c r="J234" s="527">
        <v>12</v>
      </c>
      <c r="K234" s="527">
        <v>636</v>
      </c>
      <c r="L234" s="527">
        <v>0.4</v>
      </c>
      <c r="M234" s="527">
        <v>53</v>
      </c>
      <c r="N234" s="527">
        <v>10</v>
      </c>
      <c r="O234" s="527">
        <v>530</v>
      </c>
      <c r="P234" s="540">
        <v>0.33333333333333331</v>
      </c>
      <c r="Q234" s="528">
        <v>53</v>
      </c>
    </row>
    <row r="235" spans="1:17" ht="14.4" customHeight="1" x14ac:dyDescent="0.3">
      <c r="A235" s="523" t="s">
        <v>2465</v>
      </c>
      <c r="B235" s="524" t="s">
        <v>2466</v>
      </c>
      <c r="C235" s="524" t="s">
        <v>1694</v>
      </c>
      <c r="D235" s="524" t="s">
        <v>2469</v>
      </c>
      <c r="E235" s="524" t="s">
        <v>2470</v>
      </c>
      <c r="F235" s="527">
        <v>22</v>
      </c>
      <c r="G235" s="527">
        <v>2640</v>
      </c>
      <c r="H235" s="527">
        <v>1</v>
      </c>
      <c r="I235" s="527">
        <v>120</v>
      </c>
      <c r="J235" s="527">
        <v>8</v>
      </c>
      <c r="K235" s="527">
        <v>960</v>
      </c>
      <c r="L235" s="527">
        <v>0.36363636363636365</v>
      </c>
      <c r="M235" s="527">
        <v>120</v>
      </c>
      <c r="N235" s="527">
        <v>22</v>
      </c>
      <c r="O235" s="527">
        <v>2662</v>
      </c>
      <c r="P235" s="540">
        <v>1.0083333333333333</v>
      </c>
      <c r="Q235" s="528">
        <v>121</v>
      </c>
    </row>
    <row r="236" spans="1:17" ht="14.4" customHeight="1" x14ac:dyDescent="0.3">
      <c r="A236" s="523" t="s">
        <v>2465</v>
      </c>
      <c r="B236" s="524" t="s">
        <v>2466</v>
      </c>
      <c r="C236" s="524" t="s">
        <v>1694</v>
      </c>
      <c r="D236" s="524" t="s">
        <v>2471</v>
      </c>
      <c r="E236" s="524" t="s">
        <v>2472</v>
      </c>
      <c r="F236" s="527">
        <v>3</v>
      </c>
      <c r="G236" s="527">
        <v>1131</v>
      </c>
      <c r="H236" s="527">
        <v>1</v>
      </c>
      <c r="I236" s="527">
        <v>377</v>
      </c>
      <c r="J236" s="527">
        <v>1</v>
      </c>
      <c r="K236" s="527">
        <v>379</v>
      </c>
      <c r="L236" s="527">
        <v>0.33510167992926615</v>
      </c>
      <c r="M236" s="527">
        <v>379</v>
      </c>
      <c r="N236" s="527"/>
      <c r="O236" s="527"/>
      <c r="P236" s="540"/>
      <c r="Q236" s="528"/>
    </row>
    <row r="237" spans="1:17" ht="14.4" customHeight="1" x14ac:dyDescent="0.3">
      <c r="A237" s="523" t="s">
        <v>2465</v>
      </c>
      <c r="B237" s="524" t="s">
        <v>2466</v>
      </c>
      <c r="C237" s="524" t="s">
        <v>1694</v>
      </c>
      <c r="D237" s="524" t="s">
        <v>2473</v>
      </c>
      <c r="E237" s="524" t="s">
        <v>2474</v>
      </c>
      <c r="F237" s="527">
        <v>168</v>
      </c>
      <c r="G237" s="527">
        <v>27216</v>
      </c>
      <c r="H237" s="527">
        <v>1</v>
      </c>
      <c r="I237" s="527">
        <v>162</v>
      </c>
      <c r="J237" s="527">
        <v>83</v>
      </c>
      <c r="K237" s="527">
        <v>13612</v>
      </c>
      <c r="L237" s="527">
        <v>0.50014697236919459</v>
      </c>
      <c r="M237" s="527">
        <v>164</v>
      </c>
      <c r="N237" s="527">
        <v>174</v>
      </c>
      <c r="O237" s="527">
        <v>28710</v>
      </c>
      <c r="P237" s="540">
        <v>1.05489417989418</v>
      </c>
      <c r="Q237" s="528">
        <v>165</v>
      </c>
    </row>
    <row r="238" spans="1:17" ht="14.4" customHeight="1" x14ac:dyDescent="0.3">
      <c r="A238" s="523" t="s">
        <v>2465</v>
      </c>
      <c r="B238" s="524" t="s">
        <v>2466</v>
      </c>
      <c r="C238" s="524" t="s">
        <v>1694</v>
      </c>
      <c r="D238" s="524" t="s">
        <v>2475</v>
      </c>
      <c r="E238" s="524" t="s">
        <v>2476</v>
      </c>
      <c r="F238" s="527">
        <v>22</v>
      </c>
      <c r="G238" s="527">
        <v>3630</v>
      </c>
      <c r="H238" s="527">
        <v>1</v>
      </c>
      <c r="I238" s="527">
        <v>165</v>
      </c>
      <c r="J238" s="527">
        <v>3</v>
      </c>
      <c r="K238" s="527">
        <v>501</v>
      </c>
      <c r="L238" s="527">
        <v>0.13801652892561983</v>
      </c>
      <c r="M238" s="527">
        <v>167</v>
      </c>
      <c r="N238" s="527">
        <v>14</v>
      </c>
      <c r="O238" s="527">
        <v>2352</v>
      </c>
      <c r="P238" s="540">
        <v>0.64793388429752063</v>
      </c>
      <c r="Q238" s="528">
        <v>168</v>
      </c>
    </row>
    <row r="239" spans="1:17" ht="14.4" customHeight="1" x14ac:dyDescent="0.3">
      <c r="A239" s="523" t="s">
        <v>2465</v>
      </c>
      <c r="B239" s="524" t="s">
        <v>2466</v>
      </c>
      <c r="C239" s="524" t="s">
        <v>1694</v>
      </c>
      <c r="D239" s="524" t="s">
        <v>2477</v>
      </c>
      <c r="E239" s="524" t="s">
        <v>2478</v>
      </c>
      <c r="F239" s="527">
        <v>5</v>
      </c>
      <c r="G239" s="527">
        <v>790</v>
      </c>
      <c r="H239" s="527">
        <v>1</v>
      </c>
      <c r="I239" s="527">
        <v>158</v>
      </c>
      <c r="J239" s="527">
        <v>4</v>
      </c>
      <c r="K239" s="527">
        <v>636</v>
      </c>
      <c r="L239" s="527">
        <v>0.80506329113924047</v>
      </c>
      <c r="M239" s="527">
        <v>159</v>
      </c>
      <c r="N239" s="527">
        <v>2</v>
      </c>
      <c r="O239" s="527">
        <v>320</v>
      </c>
      <c r="P239" s="540">
        <v>0.4050632911392405</v>
      </c>
      <c r="Q239" s="528">
        <v>160</v>
      </c>
    </row>
    <row r="240" spans="1:17" ht="14.4" customHeight="1" x14ac:dyDescent="0.3">
      <c r="A240" s="523" t="s">
        <v>2465</v>
      </c>
      <c r="B240" s="524" t="s">
        <v>2466</v>
      </c>
      <c r="C240" s="524" t="s">
        <v>1694</v>
      </c>
      <c r="D240" s="524" t="s">
        <v>2479</v>
      </c>
      <c r="E240" s="524" t="s">
        <v>2480</v>
      </c>
      <c r="F240" s="527">
        <v>4</v>
      </c>
      <c r="G240" s="527">
        <v>1244</v>
      </c>
      <c r="H240" s="527">
        <v>1</v>
      </c>
      <c r="I240" s="527">
        <v>311</v>
      </c>
      <c r="J240" s="527">
        <v>2</v>
      </c>
      <c r="K240" s="527">
        <v>626</v>
      </c>
      <c r="L240" s="527">
        <v>0.50321543408360125</v>
      </c>
      <c r="M240" s="527">
        <v>313</v>
      </c>
      <c r="N240" s="527">
        <v>2</v>
      </c>
      <c r="O240" s="527">
        <v>632</v>
      </c>
      <c r="P240" s="540">
        <v>0.50803858520900325</v>
      </c>
      <c r="Q240" s="528">
        <v>316</v>
      </c>
    </row>
    <row r="241" spans="1:17" ht="14.4" customHeight="1" x14ac:dyDescent="0.3">
      <c r="A241" s="523" t="s">
        <v>2465</v>
      </c>
      <c r="B241" s="524" t="s">
        <v>2466</v>
      </c>
      <c r="C241" s="524" t="s">
        <v>1694</v>
      </c>
      <c r="D241" s="524" t="s">
        <v>2481</v>
      </c>
      <c r="E241" s="524" t="s">
        <v>2482</v>
      </c>
      <c r="F241" s="527">
        <v>9</v>
      </c>
      <c r="G241" s="527">
        <v>3807</v>
      </c>
      <c r="H241" s="527">
        <v>1</v>
      </c>
      <c r="I241" s="527">
        <v>423</v>
      </c>
      <c r="J241" s="527">
        <v>2</v>
      </c>
      <c r="K241" s="527">
        <v>850</v>
      </c>
      <c r="L241" s="527">
        <v>0.22327291830837931</v>
      </c>
      <c r="M241" s="527">
        <v>425</v>
      </c>
      <c r="N241" s="527">
        <v>1</v>
      </c>
      <c r="O241" s="527">
        <v>429</v>
      </c>
      <c r="P241" s="540">
        <v>0.11268715524034673</v>
      </c>
      <c r="Q241" s="528">
        <v>429</v>
      </c>
    </row>
    <row r="242" spans="1:17" ht="14.4" customHeight="1" x14ac:dyDescent="0.3">
      <c r="A242" s="523" t="s">
        <v>2465</v>
      </c>
      <c r="B242" s="524" t="s">
        <v>2466</v>
      </c>
      <c r="C242" s="524" t="s">
        <v>1694</v>
      </c>
      <c r="D242" s="524" t="s">
        <v>2483</v>
      </c>
      <c r="E242" s="524" t="s">
        <v>2484</v>
      </c>
      <c r="F242" s="527"/>
      <c r="G242" s="527"/>
      <c r="H242" s="527"/>
      <c r="I242" s="527"/>
      <c r="J242" s="527"/>
      <c r="K242" s="527"/>
      <c r="L242" s="527"/>
      <c r="M242" s="527"/>
      <c r="N242" s="527">
        <v>1</v>
      </c>
      <c r="O242" s="527">
        <v>435</v>
      </c>
      <c r="P242" s="540"/>
      <c r="Q242" s="528">
        <v>435</v>
      </c>
    </row>
    <row r="243" spans="1:17" ht="14.4" customHeight="1" x14ac:dyDescent="0.3">
      <c r="A243" s="523" t="s">
        <v>2465</v>
      </c>
      <c r="B243" s="524" t="s">
        <v>2466</v>
      </c>
      <c r="C243" s="524" t="s">
        <v>1694</v>
      </c>
      <c r="D243" s="524" t="s">
        <v>2485</v>
      </c>
      <c r="E243" s="524" t="s">
        <v>2486</v>
      </c>
      <c r="F243" s="527">
        <v>10</v>
      </c>
      <c r="G243" s="527">
        <v>3370</v>
      </c>
      <c r="H243" s="527">
        <v>1</v>
      </c>
      <c r="I243" s="527">
        <v>337</v>
      </c>
      <c r="J243" s="527">
        <v>12</v>
      </c>
      <c r="K243" s="527">
        <v>4044</v>
      </c>
      <c r="L243" s="527">
        <v>1.2</v>
      </c>
      <c r="M243" s="527">
        <v>337</v>
      </c>
      <c r="N243" s="527">
        <v>3</v>
      </c>
      <c r="O243" s="527">
        <v>1014</v>
      </c>
      <c r="P243" s="540">
        <v>0.30089020771513353</v>
      </c>
      <c r="Q243" s="528">
        <v>338</v>
      </c>
    </row>
    <row r="244" spans="1:17" ht="14.4" customHeight="1" x14ac:dyDescent="0.3">
      <c r="A244" s="523" t="s">
        <v>2465</v>
      </c>
      <c r="B244" s="524" t="s">
        <v>2466</v>
      </c>
      <c r="C244" s="524" t="s">
        <v>1694</v>
      </c>
      <c r="D244" s="524" t="s">
        <v>2487</v>
      </c>
      <c r="E244" s="524" t="s">
        <v>2488</v>
      </c>
      <c r="F244" s="527"/>
      <c r="G244" s="527"/>
      <c r="H244" s="527"/>
      <c r="I244" s="527"/>
      <c r="J244" s="527"/>
      <c r="K244" s="527"/>
      <c r="L244" s="527"/>
      <c r="M244" s="527"/>
      <c r="N244" s="527">
        <v>1</v>
      </c>
      <c r="O244" s="527">
        <v>103</v>
      </c>
      <c r="P244" s="540"/>
      <c r="Q244" s="528">
        <v>103</v>
      </c>
    </row>
    <row r="245" spans="1:17" ht="14.4" customHeight="1" x14ac:dyDescent="0.3">
      <c r="A245" s="523" t="s">
        <v>2465</v>
      </c>
      <c r="B245" s="524" t="s">
        <v>2466</v>
      </c>
      <c r="C245" s="524" t="s">
        <v>1694</v>
      </c>
      <c r="D245" s="524" t="s">
        <v>2489</v>
      </c>
      <c r="E245" s="524" t="s">
        <v>2490</v>
      </c>
      <c r="F245" s="527">
        <v>1</v>
      </c>
      <c r="G245" s="527">
        <v>222</v>
      </c>
      <c r="H245" s="527">
        <v>1</v>
      </c>
      <c r="I245" s="527">
        <v>222</v>
      </c>
      <c r="J245" s="527">
        <v>1</v>
      </c>
      <c r="K245" s="527">
        <v>222</v>
      </c>
      <c r="L245" s="527">
        <v>1</v>
      </c>
      <c r="M245" s="527">
        <v>222</v>
      </c>
      <c r="N245" s="527"/>
      <c r="O245" s="527"/>
      <c r="P245" s="540"/>
      <c r="Q245" s="528"/>
    </row>
    <row r="246" spans="1:17" ht="14.4" customHeight="1" x14ac:dyDescent="0.3">
      <c r="A246" s="523" t="s">
        <v>2465</v>
      </c>
      <c r="B246" s="524" t="s">
        <v>2466</v>
      </c>
      <c r="C246" s="524" t="s">
        <v>1694</v>
      </c>
      <c r="D246" s="524" t="s">
        <v>2491</v>
      </c>
      <c r="E246" s="524" t="s">
        <v>2492</v>
      </c>
      <c r="F246" s="527">
        <v>1</v>
      </c>
      <c r="G246" s="527">
        <v>107</v>
      </c>
      <c r="H246" s="527">
        <v>1</v>
      </c>
      <c r="I246" s="527">
        <v>107</v>
      </c>
      <c r="J246" s="527">
        <v>1</v>
      </c>
      <c r="K246" s="527">
        <v>107</v>
      </c>
      <c r="L246" s="527">
        <v>1</v>
      </c>
      <c r="M246" s="527">
        <v>107</v>
      </c>
      <c r="N246" s="527"/>
      <c r="O246" s="527"/>
      <c r="P246" s="540"/>
      <c r="Q246" s="528"/>
    </row>
    <row r="247" spans="1:17" ht="14.4" customHeight="1" x14ac:dyDescent="0.3">
      <c r="A247" s="523" t="s">
        <v>2465</v>
      </c>
      <c r="B247" s="524" t="s">
        <v>2466</v>
      </c>
      <c r="C247" s="524" t="s">
        <v>1694</v>
      </c>
      <c r="D247" s="524" t="s">
        <v>2493</v>
      </c>
      <c r="E247" s="524" t="s">
        <v>2494</v>
      </c>
      <c r="F247" s="527">
        <v>1</v>
      </c>
      <c r="G247" s="527">
        <v>27</v>
      </c>
      <c r="H247" s="527">
        <v>1</v>
      </c>
      <c r="I247" s="527">
        <v>27</v>
      </c>
      <c r="J247" s="527"/>
      <c r="K247" s="527"/>
      <c r="L247" s="527"/>
      <c r="M247" s="527"/>
      <c r="N247" s="527"/>
      <c r="O247" s="527"/>
      <c r="P247" s="540"/>
      <c r="Q247" s="528"/>
    </row>
    <row r="248" spans="1:17" ht="14.4" customHeight="1" x14ac:dyDescent="0.3">
      <c r="A248" s="523" t="s">
        <v>2465</v>
      </c>
      <c r="B248" s="524" t="s">
        <v>2466</v>
      </c>
      <c r="C248" s="524" t="s">
        <v>1694</v>
      </c>
      <c r="D248" s="524" t="s">
        <v>2495</v>
      </c>
      <c r="E248" s="524" t="s">
        <v>2496</v>
      </c>
      <c r="F248" s="527">
        <v>1</v>
      </c>
      <c r="G248" s="527">
        <v>357</v>
      </c>
      <c r="H248" s="527">
        <v>1</v>
      </c>
      <c r="I248" s="527">
        <v>357</v>
      </c>
      <c r="J248" s="527"/>
      <c r="K248" s="527"/>
      <c r="L248" s="527"/>
      <c r="M248" s="527"/>
      <c r="N248" s="527"/>
      <c r="O248" s="527"/>
      <c r="P248" s="540"/>
      <c r="Q248" s="528"/>
    </row>
    <row r="249" spans="1:17" ht="14.4" customHeight="1" x14ac:dyDescent="0.3">
      <c r="A249" s="523" t="s">
        <v>2465</v>
      </c>
      <c r="B249" s="524" t="s">
        <v>2466</v>
      </c>
      <c r="C249" s="524" t="s">
        <v>1694</v>
      </c>
      <c r="D249" s="524" t="s">
        <v>2268</v>
      </c>
      <c r="E249" s="524" t="s">
        <v>2269</v>
      </c>
      <c r="F249" s="527">
        <v>2</v>
      </c>
      <c r="G249" s="527">
        <v>72</v>
      </c>
      <c r="H249" s="527">
        <v>1</v>
      </c>
      <c r="I249" s="527">
        <v>36</v>
      </c>
      <c r="J249" s="527">
        <v>1</v>
      </c>
      <c r="K249" s="527">
        <v>36</v>
      </c>
      <c r="L249" s="527">
        <v>0.5</v>
      </c>
      <c r="M249" s="527">
        <v>36</v>
      </c>
      <c r="N249" s="527"/>
      <c r="O249" s="527"/>
      <c r="P249" s="540"/>
      <c r="Q249" s="528"/>
    </row>
    <row r="250" spans="1:17" ht="14.4" customHeight="1" x14ac:dyDescent="0.3">
      <c r="A250" s="523" t="s">
        <v>2465</v>
      </c>
      <c r="B250" s="524" t="s">
        <v>2466</v>
      </c>
      <c r="C250" s="524" t="s">
        <v>1694</v>
      </c>
      <c r="D250" s="524" t="s">
        <v>2497</v>
      </c>
      <c r="E250" s="524" t="s">
        <v>2498</v>
      </c>
      <c r="F250" s="527">
        <v>1</v>
      </c>
      <c r="G250" s="527">
        <v>656</v>
      </c>
      <c r="H250" s="527">
        <v>1</v>
      </c>
      <c r="I250" s="527">
        <v>656</v>
      </c>
      <c r="J250" s="527"/>
      <c r="K250" s="527"/>
      <c r="L250" s="527"/>
      <c r="M250" s="527"/>
      <c r="N250" s="527"/>
      <c r="O250" s="527"/>
      <c r="P250" s="540"/>
      <c r="Q250" s="528"/>
    </row>
    <row r="251" spans="1:17" ht="14.4" customHeight="1" x14ac:dyDescent="0.3">
      <c r="A251" s="523" t="s">
        <v>2465</v>
      </c>
      <c r="B251" s="524" t="s">
        <v>2466</v>
      </c>
      <c r="C251" s="524" t="s">
        <v>1694</v>
      </c>
      <c r="D251" s="524" t="s">
        <v>2499</v>
      </c>
      <c r="E251" s="524" t="s">
        <v>2500</v>
      </c>
      <c r="F251" s="527">
        <v>3</v>
      </c>
      <c r="G251" s="527">
        <v>234</v>
      </c>
      <c r="H251" s="527">
        <v>1</v>
      </c>
      <c r="I251" s="527">
        <v>78</v>
      </c>
      <c r="J251" s="527"/>
      <c r="K251" s="527"/>
      <c r="L251" s="527"/>
      <c r="M251" s="527"/>
      <c r="N251" s="527"/>
      <c r="O251" s="527"/>
      <c r="P251" s="540"/>
      <c r="Q251" s="528"/>
    </row>
    <row r="252" spans="1:17" ht="14.4" customHeight="1" x14ac:dyDescent="0.3">
      <c r="A252" s="523" t="s">
        <v>2465</v>
      </c>
      <c r="B252" s="524" t="s">
        <v>2466</v>
      </c>
      <c r="C252" s="524" t="s">
        <v>1694</v>
      </c>
      <c r="D252" s="524" t="s">
        <v>2501</v>
      </c>
      <c r="E252" s="524" t="s">
        <v>2502</v>
      </c>
      <c r="F252" s="527">
        <v>4</v>
      </c>
      <c r="G252" s="527">
        <v>456</v>
      </c>
      <c r="H252" s="527">
        <v>1</v>
      </c>
      <c r="I252" s="527">
        <v>114</v>
      </c>
      <c r="J252" s="527">
        <v>1</v>
      </c>
      <c r="K252" s="527">
        <v>115</v>
      </c>
      <c r="L252" s="527">
        <v>0.25219298245614036</v>
      </c>
      <c r="M252" s="527">
        <v>115</v>
      </c>
      <c r="N252" s="527">
        <v>1</v>
      </c>
      <c r="O252" s="527">
        <v>115</v>
      </c>
      <c r="P252" s="540">
        <v>0.25219298245614036</v>
      </c>
      <c r="Q252" s="528">
        <v>115</v>
      </c>
    </row>
    <row r="253" spans="1:17" ht="14.4" customHeight="1" x14ac:dyDescent="0.3">
      <c r="A253" s="523" t="s">
        <v>2465</v>
      </c>
      <c r="B253" s="524" t="s">
        <v>2466</v>
      </c>
      <c r="C253" s="524" t="s">
        <v>1694</v>
      </c>
      <c r="D253" s="524" t="s">
        <v>2503</v>
      </c>
      <c r="E253" s="524" t="s">
        <v>2504</v>
      </c>
      <c r="F253" s="527">
        <v>18</v>
      </c>
      <c r="G253" s="527">
        <v>5004</v>
      </c>
      <c r="H253" s="527">
        <v>1</v>
      </c>
      <c r="I253" s="527">
        <v>278</v>
      </c>
      <c r="J253" s="527">
        <v>8</v>
      </c>
      <c r="K253" s="527">
        <v>2240</v>
      </c>
      <c r="L253" s="527">
        <v>0.44764188649080733</v>
      </c>
      <c r="M253" s="527">
        <v>280</v>
      </c>
      <c r="N253" s="527">
        <v>13</v>
      </c>
      <c r="O253" s="527">
        <v>3653</v>
      </c>
      <c r="P253" s="540">
        <v>0.73001598721023186</v>
      </c>
      <c r="Q253" s="528">
        <v>281</v>
      </c>
    </row>
    <row r="254" spans="1:17" ht="14.4" customHeight="1" x14ac:dyDescent="0.3">
      <c r="A254" s="523" t="s">
        <v>2465</v>
      </c>
      <c r="B254" s="524" t="s">
        <v>2466</v>
      </c>
      <c r="C254" s="524" t="s">
        <v>1694</v>
      </c>
      <c r="D254" s="524" t="s">
        <v>2505</v>
      </c>
      <c r="E254" s="524" t="s">
        <v>2506</v>
      </c>
      <c r="F254" s="527">
        <v>1</v>
      </c>
      <c r="G254" s="527">
        <v>240</v>
      </c>
      <c r="H254" s="527">
        <v>1</v>
      </c>
      <c r="I254" s="527">
        <v>240</v>
      </c>
      <c r="J254" s="527"/>
      <c r="K254" s="527"/>
      <c r="L254" s="527"/>
      <c r="M254" s="527"/>
      <c r="N254" s="527"/>
      <c r="O254" s="527"/>
      <c r="P254" s="540"/>
      <c r="Q254" s="528"/>
    </row>
    <row r="255" spans="1:17" ht="14.4" customHeight="1" x14ac:dyDescent="0.3">
      <c r="A255" s="523" t="s">
        <v>2465</v>
      </c>
      <c r="B255" s="524" t="s">
        <v>2466</v>
      </c>
      <c r="C255" s="524" t="s">
        <v>1694</v>
      </c>
      <c r="D255" s="524" t="s">
        <v>2507</v>
      </c>
      <c r="E255" s="524" t="s">
        <v>2508</v>
      </c>
      <c r="F255" s="527">
        <v>4</v>
      </c>
      <c r="G255" s="527">
        <v>1804</v>
      </c>
      <c r="H255" s="527">
        <v>1</v>
      </c>
      <c r="I255" s="527">
        <v>451</v>
      </c>
      <c r="J255" s="527">
        <v>1</v>
      </c>
      <c r="K255" s="527">
        <v>453</v>
      </c>
      <c r="L255" s="527">
        <v>0.25110864745011086</v>
      </c>
      <c r="M255" s="527">
        <v>453</v>
      </c>
      <c r="N255" s="527">
        <v>3</v>
      </c>
      <c r="O255" s="527">
        <v>1368</v>
      </c>
      <c r="P255" s="540">
        <v>0.75831485587583147</v>
      </c>
      <c r="Q255" s="528">
        <v>456</v>
      </c>
    </row>
    <row r="256" spans="1:17" ht="14.4" customHeight="1" x14ac:dyDescent="0.3">
      <c r="A256" s="523" t="s">
        <v>2465</v>
      </c>
      <c r="B256" s="524" t="s">
        <v>2466</v>
      </c>
      <c r="C256" s="524" t="s">
        <v>1694</v>
      </c>
      <c r="D256" s="524" t="s">
        <v>2509</v>
      </c>
      <c r="E256" s="524" t="s">
        <v>2510</v>
      </c>
      <c r="F256" s="527">
        <v>1</v>
      </c>
      <c r="G256" s="527">
        <v>452</v>
      </c>
      <c r="H256" s="527">
        <v>1</v>
      </c>
      <c r="I256" s="527">
        <v>452</v>
      </c>
      <c r="J256" s="527">
        <v>1</v>
      </c>
      <c r="K256" s="527">
        <v>454</v>
      </c>
      <c r="L256" s="527">
        <v>1.0044247787610618</v>
      </c>
      <c r="M256" s="527">
        <v>454</v>
      </c>
      <c r="N256" s="527"/>
      <c r="O256" s="527"/>
      <c r="P256" s="540"/>
      <c r="Q256" s="528"/>
    </row>
    <row r="257" spans="1:17" ht="14.4" customHeight="1" x14ac:dyDescent="0.3">
      <c r="A257" s="523" t="s">
        <v>2465</v>
      </c>
      <c r="B257" s="524" t="s">
        <v>2466</v>
      </c>
      <c r="C257" s="524" t="s">
        <v>1694</v>
      </c>
      <c r="D257" s="524" t="s">
        <v>2511</v>
      </c>
      <c r="E257" s="524" t="s">
        <v>2512</v>
      </c>
      <c r="F257" s="527">
        <v>6</v>
      </c>
      <c r="G257" s="527">
        <v>2370</v>
      </c>
      <c r="H257" s="527">
        <v>1</v>
      </c>
      <c r="I257" s="527">
        <v>395</v>
      </c>
      <c r="J257" s="527">
        <v>4</v>
      </c>
      <c r="K257" s="527">
        <v>1596</v>
      </c>
      <c r="L257" s="527">
        <v>0.67341772151898738</v>
      </c>
      <c r="M257" s="527">
        <v>399</v>
      </c>
      <c r="N257" s="527">
        <v>7</v>
      </c>
      <c r="O257" s="527">
        <v>2828</v>
      </c>
      <c r="P257" s="540">
        <v>1.1932489451476793</v>
      </c>
      <c r="Q257" s="528">
        <v>404</v>
      </c>
    </row>
    <row r="258" spans="1:17" ht="14.4" customHeight="1" x14ac:dyDescent="0.3">
      <c r="A258" s="523" t="s">
        <v>2465</v>
      </c>
      <c r="B258" s="524" t="s">
        <v>2466</v>
      </c>
      <c r="C258" s="524" t="s">
        <v>1694</v>
      </c>
      <c r="D258" s="524" t="s">
        <v>2513</v>
      </c>
      <c r="E258" s="524" t="s">
        <v>2514</v>
      </c>
      <c r="F258" s="527">
        <v>25</v>
      </c>
      <c r="G258" s="527">
        <v>8575</v>
      </c>
      <c r="H258" s="527">
        <v>1</v>
      </c>
      <c r="I258" s="527">
        <v>343</v>
      </c>
      <c r="J258" s="527">
        <v>10</v>
      </c>
      <c r="K258" s="527">
        <v>3450</v>
      </c>
      <c r="L258" s="527">
        <v>0.40233236151603496</v>
      </c>
      <c r="M258" s="527">
        <v>345</v>
      </c>
      <c r="N258" s="527">
        <v>16</v>
      </c>
      <c r="O258" s="527">
        <v>5568</v>
      </c>
      <c r="P258" s="540">
        <v>0.64932944606413989</v>
      </c>
      <c r="Q258" s="528">
        <v>348</v>
      </c>
    </row>
    <row r="259" spans="1:17" ht="14.4" customHeight="1" x14ac:dyDescent="0.3">
      <c r="A259" s="523" t="s">
        <v>2515</v>
      </c>
      <c r="B259" s="524" t="s">
        <v>482</v>
      </c>
      <c r="C259" s="524" t="s">
        <v>1694</v>
      </c>
      <c r="D259" s="524" t="s">
        <v>2516</v>
      </c>
      <c r="E259" s="524" t="s">
        <v>2517</v>
      </c>
      <c r="F259" s="527">
        <v>178</v>
      </c>
      <c r="G259" s="527">
        <v>28124</v>
      </c>
      <c r="H259" s="527">
        <v>1</v>
      </c>
      <c r="I259" s="527">
        <v>158</v>
      </c>
      <c r="J259" s="527">
        <v>133</v>
      </c>
      <c r="K259" s="527">
        <v>21014</v>
      </c>
      <c r="L259" s="527">
        <v>0.7471910112359551</v>
      </c>
      <c r="M259" s="527">
        <v>158</v>
      </c>
      <c r="N259" s="527">
        <v>187</v>
      </c>
      <c r="O259" s="527">
        <v>29733</v>
      </c>
      <c r="P259" s="540">
        <v>1.0572109230550419</v>
      </c>
      <c r="Q259" s="528">
        <v>159</v>
      </c>
    </row>
    <row r="260" spans="1:17" ht="14.4" customHeight="1" x14ac:dyDescent="0.3">
      <c r="A260" s="523" t="s">
        <v>2515</v>
      </c>
      <c r="B260" s="524" t="s">
        <v>482</v>
      </c>
      <c r="C260" s="524" t="s">
        <v>1694</v>
      </c>
      <c r="D260" s="524" t="s">
        <v>2518</v>
      </c>
      <c r="E260" s="524" t="s">
        <v>2519</v>
      </c>
      <c r="F260" s="527">
        <v>138</v>
      </c>
      <c r="G260" s="527">
        <v>11454</v>
      </c>
      <c r="H260" s="527">
        <v>1</v>
      </c>
      <c r="I260" s="527">
        <v>83</v>
      </c>
      <c r="J260" s="527">
        <v>97</v>
      </c>
      <c r="K260" s="527">
        <v>8051</v>
      </c>
      <c r="L260" s="527">
        <v>0.70289855072463769</v>
      </c>
      <c r="M260" s="527">
        <v>83</v>
      </c>
      <c r="N260" s="527">
        <v>103</v>
      </c>
      <c r="O260" s="527">
        <v>8652</v>
      </c>
      <c r="P260" s="540">
        <v>0.75536930330015717</v>
      </c>
      <c r="Q260" s="528">
        <v>84</v>
      </c>
    </row>
    <row r="261" spans="1:17" ht="14.4" customHeight="1" x14ac:dyDescent="0.3">
      <c r="A261" s="523" t="s">
        <v>2515</v>
      </c>
      <c r="B261" s="524" t="s">
        <v>482</v>
      </c>
      <c r="C261" s="524" t="s">
        <v>1694</v>
      </c>
      <c r="D261" s="524" t="s">
        <v>2520</v>
      </c>
      <c r="E261" s="524" t="s">
        <v>2521</v>
      </c>
      <c r="F261" s="527">
        <v>22</v>
      </c>
      <c r="G261" s="527">
        <v>2068</v>
      </c>
      <c r="H261" s="527">
        <v>1</v>
      </c>
      <c r="I261" s="527">
        <v>94</v>
      </c>
      <c r="J261" s="527">
        <v>21</v>
      </c>
      <c r="K261" s="527">
        <v>1995</v>
      </c>
      <c r="L261" s="527">
        <v>0.9647001934235977</v>
      </c>
      <c r="M261" s="527">
        <v>95</v>
      </c>
      <c r="N261" s="527">
        <v>22</v>
      </c>
      <c r="O261" s="527">
        <v>2112</v>
      </c>
      <c r="P261" s="540">
        <v>1.0212765957446808</v>
      </c>
      <c r="Q261" s="528">
        <v>96</v>
      </c>
    </row>
    <row r="262" spans="1:17" ht="14.4" customHeight="1" x14ac:dyDescent="0.3">
      <c r="A262" s="523" t="s">
        <v>2515</v>
      </c>
      <c r="B262" s="524" t="s">
        <v>482</v>
      </c>
      <c r="C262" s="524" t="s">
        <v>1694</v>
      </c>
      <c r="D262" s="524" t="s">
        <v>2522</v>
      </c>
      <c r="E262" s="524" t="s">
        <v>2523</v>
      </c>
      <c r="F262" s="527">
        <v>5</v>
      </c>
      <c r="G262" s="527">
        <v>5810</v>
      </c>
      <c r="H262" s="527">
        <v>1</v>
      </c>
      <c r="I262" s="527">
        <v>1162</v>
      </c>
      <c r="J262" s="527"/>
      <c r="K262" s="527"/>
      <c r="L262" s="527"/>
      <c r="M262" s="527"/>
      <c r="N262" s="527">
        <v>13</v>
      </c>
      <c r="O262" s="527">
        <v>15145</v>
      </c>
      <c r="P262" s="540">
        <v>2.6067125645438898</v>
      </c>
      <c r="Q262" s="528">
        <v>1165</v>
      </c>
    </row>
    <row r="263" spans="1:17" ht="14.4" customHeight="1" x14ac:dyDescent="0.3">
      <c r="A263" s="523" t="s">
        <v>2515</v>
      </c>
      <c r="B263" s="524" t="s">
        <v>482</v>
      </c>
      <c r="C263" s="524" t="s">
        <v>1694</v>
      </c>
      <c r="D263" s="524" t="s">
        <v>2524</v>
      </c>
      <c r="E263" s="524" t="s">
        <v>2525</v>
      </c>
      <c r="F263" s="527">
        <v>3292</v>
      </c>
      <c r="G263" s="527">
        <v>125096</v>
      </c>
      <c r="H263" s="527">
        <v>1</v>
      </c>
      <c r="I263" s="527">
        <v>38</v>
      </c>
      <c r="J263" s="527">
        <v>3417</v>
      </c>
      <c r="K263" s="527">
        <v>133263</v>
      </c>
      <c r="L263" s="527">
        <v>1.0652858604591673</v>
      </c>
      <c r="M263" s="527">
        <v>39</v>
      </c>
      <c r="N263" s="527">
        <v>2721</v>
      </c>
      <c r="O263" s="527">
        <v>106119</v>
      </c>
      <c r="P263" s="540">
        <v>0.84830050521199718</v>
      </c>
      <c r="Q263" s="528">
        <v>39</v>
      </c>
    </row>
    <row r="264" spans="1:17" ht="14.4" customHeight="1" x14ac:dyDescent="0.3">
      <c r="A264" s="523" t="s">
        <v>2515</v>
      </c>
      <c r="B264" s="524" t="s">
        <v>482</v>
      </c>
      <c r="C264" s="524" t="s">
        <v>1694</v>
      </c>
      <c r="D264" s="524" t="s">
        <v>2526</v>
      </c>
      <c r="E264" s="524" t="s">
        <v>2527</v>
      </c>
      <c r="F264" s="527">
        <v>114</v>
      </c>
      <c r="G264" s="527">
        <v>4446</v>
      </c>
      <c r="H264" s="527">
        <v>1</v>
      </c>
      <c r="I264" s="527">
        <v>39</v>
      </c>
      <c r="J264" s="527">
        <v>110</v>
      </c>
      <c r="K264" s="527">
        <v>4400</v>
      </c>
      <c r="L264" s="527">
        <v>0.98965362123256861</v>
      </c>
      <c r="M264" s="527">
        <v>40</v>
      </c>
      <c r="N264" s="527">
        <v>63</v>
      </c>
      <c r="O264" s="527">
        <v>2520</v>
      </c>
      <c r="P264" s="540">
        <v>0.5668016194331984</v>
      </c>
      <c r="Q264" s="528">
        <v>40</v>
      </c>
    </row>
    <row r="265" spans="1:17" ht="14.4" customHeight="1" x14ac:dyDescent="0.3">
      <c r="A265" s="523" t="s">
        <v>2515</v>
      </c>
      <c r="B265" s="524" t="s">
        <v>482</v>
      </c>
      <c r="C265" s="524" t="s">
        <v>1694</v>
      </c>
      <c r="D265" s="524" t="s">
        <v>2528</v>
      </c>
      <c r="E265" s="524" t="s">
        <v>2529</v>
      </c>
      <c r="F265" s="527">
        <v>2480</v>
      </c>
      <c r="G265" s="527">
        <v>275280</v>
      </c>
      <c r="H265" s="527">
        <v>1</v>
      </c>
      <c r="I265" s="527">
        <v>111</v>
      </c>
      <c r="J265" s="527">
        <v>2047</v>
      </c>
      <c r="K265" s="527">
        <v>229264</v>
      </c>
      <c r="L265" s="527">
        <v>0.83283929090380704</v>
      </c>
      <c r="M265" s="527">
        <v>112</v>
      </c>
      <c r="N265" s="527">
        <v>1634</v>
      </c>
      <c r="O265" s="527">
        <v>184642</v>
      </c>
      <c r="P265" s="540">
        <v>0.67074251671025864</v>
      </c>
      <c r="Q265" s="528">
        <v>113</v>
      </c>
    </row>
    <row r="266" spans="1:17" ht="14.4" customHeight="1" x14ac:dyDescent="0.3">
      <c r="A266" s="523" t="s">
        <v>2515</v>
      </c>
      <c r="B266" s="524" t="s">
        <v>482</v>
      </c>
      <c r="C266" s="524" t="s">
        <v>1694</v>
      </c>
      <c r="D266" s="524" t="s">
        <v>2530</v>
      </c>
      <c r="E266" s="524" t="s">
        <v>2531</v>
      </c>
      <c r="F266" s="527">
        <v>53</v>
      </c>
      <c r="G266" s="527">
        <v>1113</v>
      </c>
      <c r="H266" s="527">
        <v>1</v>
      </c>
      <c r="I266" s="527">
        <v>21</v>
      </c>
      <c r="J266" s="527">
        <v>72</v>
      </c>
      <c r="K266" s="527">
        <v>1512</v>
      </c>
      <c r="L266" s="527">
        <v>1.3584905660377358</v>
      </c>
      <c r="M266" s="527">
        <v>21</v>
      </c>
      <c r="N266" s="527">
        <v>147</v>
      </c>
      <c r="O266" s="527">
        <v>3087</v>
      </c>
      <c r="P266" s="540">
        <v>2.7735849056603774</v>
      </c>
      <c r="Q266" s="528">
        <v>21</v>
      </c>
    </row>
    <row r="267" spans="1:17" ht="14.4" customHeight="1" x14ac:dyDescent="0.3">
      <c r="A267" s="523" t="s">
        <v>2515</v>
      </c>
      <c r="B267" s="524" t="s">
        <v>482</v>
      </c>
      <c r="C267" s="524" t="s">
        <v>1694</v>
      </c>
      <c r="D267" s="524" t="s">
        <v>2532</v>
      </c>
      <c r="E267" s="524" t="s">
        <v>2533</v>
      </c>
      <c r="F267" s="527"/>
      <c r="G267" s="527"/>
      <c r="H267" s="527"/>
      <c r="I267" s="527"/>
      <c r="J267" s="527"/>
      <c r="K267" s="527"/>
      <c r="L267" s="527"/>
      <c r="M267" s="527"/>
      <c r="N267" s="527">
        <v>4</v>
      </c>
      <c r="O267" s="527">
        <v>1528</v>
      </c>
      <c r="P267" s="540"/>
      <c r="Q267" s="528">
        <v>382</v>
      </c>
    </row>
    <row r="268" spans="1:17" ht="14.4" customHeight="1" x14ac:dyDescent="0.3">
      <c r="A268" s="523" t="s">
        <v>2515</v>
      </c>
      <c r="B268" s="524" t="s">
        <v>482</v>
      </c>
      <c r="C268" s="524" t="s">
        <v>1694</v>
      </c>
      <c r="D268" s="524" t="s">
        <v>2463</v>
      </c>
      <c r="E268" s="524" t="s">
        <v>2464</v>
      </c>
      <c r="F268" s="527">
        <v>341</v>
      </c>
      <c r="G268" s="527">
        <v>165726</v>
      </c>
      <c r="H268" s="527">
        <v>1</v>
      </c>
      <c r="I268" s="527">
        <v>486</v>
      </c>
      <c r="J268" s="527">
        <v>181</v>
      </c>
      <c r="K268" s="527">
        <v>87966</v>
      </c>
      <c r="L268" s="527">
        <v>0.53079178885630496</v>
      </c>
      <c r="M268" s="527">
        <v>486</v>
      </c>
      <c r="N268" s="527">
        <v>84</v>
      </c>
      <c r="O268" s="527">
        <v>40824</v>
      </c>
      <c r="P268" s="540">
        <v>0.24633431085043989</v>
      </c>
      <c r="Q268" s="528">
        <v>486</v>
      </c>
    </row>
    <row r="269" spans="1:17" ht="14.4" customHeight="1" x14ac:dyDescent="0.3">
      <c r="A269" s="523" t="s">
        <v>2515</v>
      </c>
      <c r="B269" s="524" t="s">
        <v>482</v>
      </c>
      <c r="C269" s="524" t="s">
        <v>1694</v>
      </c>
      <c r="D269" s="524" t="s">
        <v>2534</v>
      </c>
      <c r="E269" s="524" t="s">
        <v>2535</v>
      </c>
      <c r="F269" s="527">
        <v>37</v>
      </c>
      <c r="G269" s="527">
        <v>22237</v>
      </c>
      <c r="H269" s="527">
        <v>1</v>
      </c>
      <c r="I269" s="527">
        <v>601</v>
      </c>
      <c r="J269" s="527">
        <v>3</v>
      </c>
      <c r="K269" s="527">
        <v>1809</v>
      </c>
      <c r="L269" s="527">
        <v>8.1350901650402485E-2</v>
      </c>
      <c r="M269" s="527">
        <v>603</v>
      </c>
      <c r="N269" s="527">
        <v>4</v>
      </c>
      <c r="O269" s="527">
        <v>2416</v>
      </c>
      <c r="P269" s="540">
        <v>0.10864774924675091</v>
      </c>
      <c r="Q269" s="528">
        <v>604</v>
      </c>
    </row>
    <row r="270" spans="1:17" ht="14.4" customHeight="1" x14ac:dyDescent="0.3">
      <c r="A270" s="523" t="s">
        <v>2515</v>
      </c>
      <c r="B270" s="524" t="s">
        <v>482</v>
      </c>
      <c r="C270" s="524" t="s">
        <v>1694</v>
      </c>
      <c r="D270" s="524" t="s">
        <v>2536</v>
      </c>
      <c r="E270" s="524" t="s">
        <v>2537</v>
      </c>
      <c r="F270" s="527">
        <v>48</v>
      </c>
      <c r="G270" s="527">
        <v>1728</v>
      </c>
      <c r="H270" s="527">
        <v>1</v>
      </c>
      <c r="I270" s="527">
        <v>36</v>
      </c>
      <c r="J270" s="527">
        <v>38</v>
      </c>
      <c r="K270" s="527">
        <v>1368</v>
      </c>
      <c r="L270" s="527">
        <v>0.79166666666666663</v>
      </c>
      <c r="M270" s="527">
        <v>36</v>
      </c>
      <c r="N270" s="527">
        <v>4</v>
      </c>
      <c r="O270" s="527">
        <v>148</v>
      </c>
      <c r="P270" s="540">
        <v>8.5648148148148154E-2</v>
      </c>
      <c r="Q270" s="528">
        <v>37</v>
      </c>
    </row>
    <row r="271" spans="1:17" ht="14.4" customHeight="1" x14ac:dyDescent="0.3">
      <c r="A271" s="523" t="s">
        <v>2515</v>
      </c>
      <c r="B271" s="524" t="s">
        <v>482</v>
      </c>
      <c r="C271" s="524" t="s">
        <v>1694</v>
      </c>
      <c r="D271" s="524" t="s">
        <v>2538</v>
      </c>
      <c r="E271" s="524" t="s">
        <v>2539</v>
      </c>
      <c r="F271" s="527">
        <v>39</v>
      </c>
      <c r="G271" s="527">
        <v>7683</v>
      </c>
      <c r="H271" s="527">
        <v>1</v>
      </c>
      <c r="I271" s="527">
        <v>197</v>
      </c>
      <c r="J271" s="527"/>
      <c r="K271" s="527"/>
      <c r="L271" s="527"/>
      <c r="M271" s="527"/>
      <c r="N271" s="527"/>
      <c r="O271" s="527"/>
      <c r="P271" s="540"/>
      <c r="Q271" s="528"/>
    </row>
    <row r="272" spans="1:17" ht="14.4" customHeight="1" x14ac:dyDescent="0.3">
      <c r="A272" s="523" t="s">
        <v>2515</v>
      </c>
      <c r="B272" s="524" t="s">
        <v>482</v>
      </c>
      <c r="C272" s="524" t="s">
        <v>1694</v>
      </c>
      <c r="D272" s="524" t="s">
        <v>2540</v>
      </c>
      <c r="E272" s="524" t="s">
        <v>2541</v>
      </c>
      <c r="F272" s="527">
        <v>6</v>
      </c>
      <c r="G272" s="527">
        <v>2664</v>
      </c>
      <c r="H272" s="527">
        <v>1</v>
      </c>
      <c r="I272" s="527">
        <v>444</v>
      </c>
      <c r="J272" s="527"/>
      <c r="K272" s="527"/>
      <c r="L272" s="527"/>
      <c r="M272" s="527"/>
      <c r="N272" s="527">
        <v>3</v>
      </c>
      <c r="O272" s="527">
        <v>1332</v>
      </c>
      <c r="P272" s="540">
        <v>0.5</v>
      </c>
      <c r="Q272" s="528">
        <v>444</v>
      </c>
    </row>
    <row r="273" spans="1:17" ht="14.4" customHeight="1" x14ac:dyDescent="0.3">
      <c r="A273" s="523" t="s">
        <v>2515</v>
      </c>
      <c r="B273" s="524" t="s">
        <v>482</v>
      </c>
      <c r="C273" s="524" t="s">
        <v>1694</v>
      </c>
      <c r="D273" s="524" t="s">
        <v>2542</v>
      </c>
      <c r="E273" s="524" t="s">
        <v>2543</v>
      </c>
      <c r="F273" s="527">
        <v>2</v>
      </c>
      <c r="G273" s="527">
        <v>302</v>
      </c>
      <c r="H273" s="527">
        <v>1</v>
      </c>
      <c r="I273" s="527">
        <v>151</v>
      </c>
      <c r="J273" s="527">
        <v>2</v>
      </c>
      <c r="K273" s="527">
        <v>302</v>
      </c>
      <c r="L273" s="527">
        <v>1</v>
      </c>
      <c r="M273" s="527">
        <v>151</v>
      </c>
      <c r="N273" s="527"/>
      <c r="O273" s="527"/>
      <c r="P273" s="540"/>
      <c r="Q273" s="528"/>
    </row>
    <row r="274" spans="1:17" ht="14.4" customHeight="1" x14ac:dyDescent="0.3">
      <c r="A274" s="523" t="s">
        <v>2515</v>
      </c>
      <c r="B274" s="524" t="s">
        <v>482</v>
      </c>
      <c r="C274" s="524" t="s">
        <v>1694</v>
      </c>
      <c r="D274" s="524" t="s">
        <v>2544</v>
      </c>
      <c r="E274" s="524" t="s">
        <v>2545</v>
      </c>
      <c r="F274" s="527">
        <v>2</v>
      </c>
      <c r="G274" s="527">
        <v>980</v>
      </c>
      <c r="H274" s="527">
        <v>1</v>
      </c>
      <c r="I274" s="527">
        <v>490</v>
      </c>
      <c r="J274" s="527">
        <v>2</v>
      </c>
      <c r="K274" s="527">
        <v>980</v>
      </c>
      <c r="L274" s="527">
        <v>1</v>
      </c>
      <c r="M274" s="527">
        <v>490</v>
      </c>
      <c r="N274" s="527">
        <v>2</v>
      </c>
      <c r="O274" s="527">
        <v>980</v>
      </c>
      <c r="P274" s="540">
        <v>1</v>
      </c>
      <c r="Q274" s="528">
        <v>490</v>
      </c>
    </row>
    <row r="275" spans="1:17" ht="14.4" customHeight="1" x14ac:dyDescent="0.3">
      <c r="A275" s="523" t="s">
        <v>2515</v>
      </c>
      <c r="B275" s="524" t="s">
        <v>482</v>
      </c>
      <c r="C275" s="524" t="s">
        <v>1694</v>
      </c>
      <c r="D275" s="524" t="s">
        <v>2546</v>
      </c>
      <c r="E275" s="524" t="s">
        <v>2547</v>
      </c>
      <c r="F275" s="527">
        <v>35</v>
      </c>
      <c r="G275" s="527">
        <v>1085</v>
      </c>
      <c r="H275" s="527">
        <v>1</v>
      </c>
      <c r="I275" s="527">
        <v>31</v>
      </c>
      <c r="J275" s="527">
        <v>12</v>
      </c>
      <c r="K275" s="527">
        <v>372</v>
      </c>
      <c r="L275" s="527">
        <v>0.34285714285714286</v>
      </c>
      <c r="M275" s="527">
        <v>31</v>
      </c>
      <c r="N275" s="527">
        <v>7</v>
      </c>
      <c r="O275" s="527">
        <v>217</v>
      </c>
      <c r="P275" s="540">
        <v>0.2</v>
      </c>
      <c r="Q275" s="528">
        <v>31</v>
      </c>
    </row>
    <row r="276" spans="1:17" ht="14.4" customHeight="1" x14ac:dyDescent="0.3">
      <c r="A276" s="523" t="s">
        <v>2515</v>
      </c>
      <c r="B276" s="524" t="s">
        <v>482</v>
      </c>
      <c r="C276" s="524" t="s">
        <v>1694</v>
      </c>
      <c r="D276" s="524" t="s">
        <v>2548</v>
      </c>
      <c r="E276" s="524" t="s">
        <v>2549</v>
      </c>
      <c r="F276" s="527">
        <v>677</v>
      </c>
      <c r="G276" s="527">
        <v>18279</v>
      </c>
      <c r="H276" s="527">
        <v>1</v>
      </c>
      <c r="I276" s="527">
        <v>27</v>
      </c>
      <c r="J276" s="527">
        <v>432</v>
      </c>
      <c r="K276" s="527">
        <v>11664</v>
      </c>
      <c r="L276" s="527">
        <v>0.63810930576070901</v>
      </c>
      <c r="M276" s="527">
        <v>27</v>
      </c>
      <c r="N276" s="527">
        <v>350</v>
      </c>
      <c r="O276" s="527">
        <v>9450</v>
      </c>
      <c r="P276" s="540">
        <v>0.51698670605612995</v>
      </c>
      <c r="Q276" s="528">
        <v>27</v>
      </c>
    </row>
    <row r="277" spans="1:17" ht="14.4" customHeight="1" x14ac:dyDescent="0.3">
      <c r="A277" s="523" t="s">
        <v>2515</v>
      </c>
      <c r="B277" s="524" t="s">
        <v>482</v>
      </c>
      <c r="C277" s="524" t="s">
        <v>1694</v>
      </c>
      <c r="D277" s="524" t="s">
        <v>2550</v>
      </c>
      <c r="E277" s="524" t="s">
        <v>2551</v>
      </c>
      <c r="F277" s="527">
        <v>17</v>
      </c>
      <c r="G277" s="527">
        <v>3893</v>
      </c>
      <c r="H277" s="527">
        <v>1</v>
      </c>
      <c r="I277" s="527">
        <v>229</v>
      </c>
      <c r="J277" s="527">
        <v>10</v>
      </c>
      <c r="K277" s="527">
        <v>2300</v>
      </c>
      <c r="L277" s="527">
        <v>0.59080400719239656</v>
      </c>
      <c r="M277" s="527">
        <v>230</v>
      </c>
      <c r="N277" s="527">
        <v>19</v>
      </c>
      <c r="O277" s="527">
        <v>4389</v>
      </c>
      <c r="P277" s="540">
        <v>1.1274081685075776</v>
      </c>
      <c r="Q277" s="528">
        <v>231</v>
      </c>
    </row>
    <row r="278" spans="1:17" ht="14.4" customHeight="1" x14ac:dyDescent="0.3">
      <c r="A278" s="523" t="s">
        <v>2515</v>
      </c>
      <c r="B278" s="524" t="s">
        <v>482</v>
      </c>
      <c r="C278" s="524" t="s">
        <v>1694</v>
      </c>
      <c r="D278" s="524" t="s">
        <v>2552</v>
      </c>
      <c r="E278" s="524" t="s">
        <v>2553</v>
      </c>
      <c r="F278" s="527">
        <v>17</v>
      </c>
      <c r="G278" s="527">
        <v>4131</v>
      </c>
      <c r="H278" s="527">
        <v>1</v>
      </c>
      <c r="I278" s="527">
        <v>243</v>
      </c>
      <c r="J278" s="527">
        <v>10</v>
      </c>
      <c r="K278" s="527">
        <v>2440</v>
      </c>
      <c r="L278" s="527">
        <v>0.59065601549261681</v>
      </c>
      <c r="M278" s="527">
        <v>244</v>
      </c>
      <c r="N278" s="527">
        <v>19</v>
      </c>
      <c r="O278" s="527">
        <v>4655</v>
      </c>
      <c r="P278" s="540">
        <v>1.1268458000484145</v>
      </c>
      <c r="Q278" s="528">
        <v>245</v>
      </c>
    </row>
    <row r="279" spans="1:17" ht="14.4" customHeight="1" x14ac:dyDescent="0.3">
      <c r="A279" s="523" t="s">
        <v>2554</v>
      </c>
      <c r="B279" s="524" t="s">
        <v>2356</v>
      </c>
      <c r="C279" s="524" t="s">
        <v>1694</v>
      </c>
      <c r="D279" s="524" t="s">
        <v>2555</v>
      </c>
      <c r="E279" s="524" t="s">
        <v>2556</v>
      </c>
      <c r="F279" s="527">
        <v>2</v>
      </c>
      <c r="G279" s="527">
        <v>2028</v>
      </c>
      <c r="H279" s="527">
        <v>1</v>
      </c>
      <c r="I279" s="527">
        <v>1014</v>
      </c>
      <c r="J279" s="527">
        <v>6</v>
      </c>
      <c r="K279" s="527">
        <v>6090</v>
      </c>
      <c r="L279" s="527">
        <v>3.0029585798816569</v>
      </c>
      <c r="M279" s="527">
        <v>1015</v>
      </c>
      <c r="N279" s="527">
        <v>2</v>
      </c>
      <c r="O279" s="527">
        <v>2032</v>
      </c>
      <c r="P279" s="540">
        <v>1.0019723865877712</v>
      </c>
      <c r="Q279" s="528">
        <v>1016</v>
      </c>
    </row>
    <row r="280" spans="1:17" ht="14.4" customHeight="1" x14ac:dyDescent="0.3">
      <c r="A280" s="523" t="s">
        <v>2554</v>
      </c>
      <c r="B280" s="524" t="s">
        <v>2356</v>
      </c>
      <c r="C280" s="524" t="s">
        <v>1694</v>
      </c>
      <c r="D280" s="524" t="s">
        <v>2557</v>
      </c>
      <c r="E280" s="524" t="s">
        <v>2558</v>
      </c>
      <c r="F280" s="527">
        <v>2</v>
      </c>
      <c r="G280" s="527">
        <v>9974</v>
      </c>
      <c r="H280" s="527">
        <v>1</v>
      </c>
      <c r="I280" s="527">
        <v>4987</v>
      </c>
      <c r="J280" s="527">
        <v>1</v>
      </c>
      <c r="K280" s="527">
        <v>4990</v>
      </c>
      <c r="L280" s="527">
        <v>0.50030078203328654</v>
      </c>
      <c r="M280" s="527">
        <v>4990</v>
      </c>
      <c r="N280" s="527"/>
      <c r="O280" s="527"/>
      <c r="P280" s="540"/>
      <c r="Q280" s="528"/>
    </row>
    <row r="281" spans="1:17" ht="14.4" customHeight="1" x14ac:dyDescent="0.3">
      <c r="A281" s="523" t="s">
        <v>2554</v>
      </c>
      <c r="B281" s="524" t="s">
        <v>2356</v>
      </c>
      <c r="C281" s="524" t="s">
        <v>1694</v>
      </c>
      <c r="D281" s="524" t="s">
        <v>2270</v>
      </c>
      <c r="E281" s="524" t="s">
        <v>2271</v>
      </c>
      <c r="F281" s="527"/>
      <c r="G281" s="527"/>
      <c r="H281" s="527"/>
      <c r="I281" s="527"/>
      <c r="J281" s="527"/>
      <c r="K281" s="527"/>
      <c r="L281" s="527"/>
      <c r="M281" s="527"/>
      <c r="N281" s="527">
        <v>1</v>
      </c>
      <c r="O281" s="527">
        <v>169</v>
      </c>
      <c r="P281" s="540"/>
      <c r="Q281" s="528">
        <v>169</v>
      </c>
    </row>
    <row r="282" spans="1:17" ht="14.4" customHeight="1" x14ac:dyDescent="0.3">
      <c r="A282" s="523" t="s">
        <v>2554</v>
      </c>
      <c r="B282" s="524" t="s">
        <v>2356</v>
      </c>
      <c r="C282" s="524" t="s">
        <v>1694</v>
      </c>
      <c r="D282" s="524" t="s">
        <v>2559</v>
      </c>
      <c r="E282" s="524" t="s">
        <v>2560</v>
      </c>
      <c r="F282" s="527">
        <v>1</v>
      </c>
      <c r="G282" s="527">
        <v>188</v>
      </c>
      <c r="H282" s="527">
        <v>1</v>
      </c>
      <c r="I282" s="527">
        <v>188</v>
      </c>
      <c r="J282" s="527">
        <v>1</v>
      </c>
      <c r="K282" s="527">
        <v>188</v>
      </c>
      <c r="L282" s="527">
        <v>1</v>
      </c>
      <c r="M282" s="527">
        <v>188</v>
      </c>
      <c r="N282" s="527"/>
      <c r="O282" s="527"/>
      <c r="P282" s="540"/>
      <c r="Q282" s="528"/>
    </row>
    <row r="283" spans="1:17" ht="14.4" customHeight="1" x14ac:dyDescent="0.3">
      <c r="A283" s="523" t="s">
        <v>2554</v>
      </c>
      <c r="B283" s="524" t="s">
        <v>2356</v>
      </c>
      <c r="C283" s="524" t="s">
        <v>1694</v>
      </c>
      <c r="D283" s="524" t="s">
        <v>2561</v>
      </c>
      <c r="E283" s="524" t="s">
        <v>2562</v>
      </c>
      <c r="F283" s="527"/>
      <c r="G283" s="527"/>
      <c r="H283" s="527"/>
      <c r="I283" s="527"/>
      <c r="J283" s="527">
        <v>1</v>
      </c>
      <c r="K283" s="527">
        <v>347</v>
      </c>
      <c r="L283" s="527"/>
      <c r="M283" s="527">
        <v>347</v>
      </c>
      <c r="N283" s="527">
        <v>1</v>
      </c>
      <c r="O283" s="527">
        <v>347</v>
      </c>
      <c r="P283" s="540"/>
      <c r="Q283" s="528">
        <v>347</v>
      </c>
    </row>
    <row r="284" spans="1:17" ht="14.4" customHeight="1" x14ac:dyDescent="0.3">
      <c r="A284" s="523" t="s">
        <v>2554</v>
      </c>
      <c r="B284" s="524" t="s">
        <v>2356</v>
      </c>
      <c r="C284" s="524" t="s">
        <v>1694</v>
      </c>
      <c r="D284" s="524" t="s">
        <v>2563</v>
      </c>
      <c r="E284" s="524" t="s">
        <v>2564</v>
      </c>
      <c r="F284" s="527"/>
      <c r="G284" s="527"/>
      <c r="H284" s="527"/>
      <c r="I284" s="527"/>
      <c r="J284" s="527">
        <v>3</v>
      </c>
      <c r="K284" s="527">
        <v>1722</v>
      </c>
      <c r="L284" s="527"/>
      <c r="M284" s="527">
        <v>574</v>
      </c>
      <c r="N284" s="527"/>
      <c r="O284" s="527"/>
      <c r="P284" s="540"/>
      <c r="Q284" s="528"/>
    </row>
    <row r="285" spans="1:17" ht="14.4" customHeight="1" x14ac:dyDescent="0.3">
      <c r="A285" s="523" t="s">
        <v>2554</v>
      </c>
      <c r="B285" s="524" t="s">
        <v>2356</v>
      </c>
      <c r="C285" s="524" t="s">
        <v>1694</v>
      </c>
      <c r="D285" s="524" t="s">
        <v>2565</v>
      </c>
      <c r="E285" s="524" t="s">
        <v>2566</v>
      </c>
      <c r="F285" s="527"/>
      <c r="G285" s="527"/>
      <c r="H285" s="527"/>
      <c r="I285" s="527"/>
      <c r="J285" s="527"/>
      <c r="K285" s="527"/>
      <c r="L285" s="527"/>
      <c r="M285" s="527"/>
      <c r="N285" s="527">
        <v>3</v>
      </c>
      <c r="O285" s="527">
        <v>2058</v>
      </c>
      <c r="P285" s="540"/>
      <c r="Q285" s="528">
        <v>686</v>
      </c>
    </row>
    <row r="286" spans="1:17" ht="14.4" customHeight="1" x14ac:dyDescent="0.3">
      <c r="A286" s="523" t="s">
        <v>2554</v>
      </c>
      <c r="B286" s="524" t="s">
        <v>2356</v>
      </c>
      <c r="C286" s="524" t="s">
        <v>1694</v>
      </c>
      <c r="D286" s="524" t="s">
        <v>2567</v>
      </c>
      <c r="E286" s="524" t="s">
        <v>2568</v>
      </c>
      <c r="F286" s="527"/>
      <c r="G286" s="527"/>
      <c r="H286" s="527"/>
      <c r="I286" s="527"/>
      <c r="J286" s="527"/>
      <c r="K286" s="527"/>
      <c r="L286" s="527"/>
      <c r="M286" s="527"/>
      <c r="N286" s="527">
        <v>1</v>
      </c>
      <c r="O286" s="527">
        <v>545</v>
      </c>
      <c r="P286" s="540"/>
      <c r="Q286" s="528">
        <v>545</v>
      </c>
    </row>
    <row r="287" spans="1:17" ht="14.4" customHeight="1" x14ac:dyDescent="0.3">
      <c r="A287" s="523" t="s">
        <v>2554</v>
      </c>
      <c r="B287" s="524" t="s">
        <v>2356</v>
      </c>
      <c r="C287" s="524" t="s">
        <v>1694</v>
      </c>
      <c r="D287" s="524" t="s">
        <v>2569</v>
      </c>
      <c r="E287" s="524" t="s">
        <v>2570</v>
      </c>
      <c r="F287" s="527">
        <v>5</v>
      </c>
      <c r="G287" s="527">
        <v>3245</v>
      </c>
      <c r="H287" s="527">
        <v>1</v>
      </c>
      <c r="I287" s="527">
        <v>649</v>
      </c>
      <c r="J287" s="527"/>
      <c r="K287" s="527"/>
      <c r="L287" s="527"/>
      <c r="M287" s="527"/>
      <c r="N287" s="527">
        <v>3</v>
      </c>
      <c r="O287" s="527">
        <v>1950</v>
      </c>
      <c r="P287" s="540">
        <v>0.60092449922958402</v>
      </c>
      <c r="Q287" s="528">
        <v>650</v>
      </c>
    </row>
    <row r="288" spans="1:17" ht="14.4" customHeight="1" x14ac:dyDescent="0.3">
      <c r="A288" s="523" t="s">
        <v>2554</v>
      </c>
      <c r="B288" s="524" t="s">
        <v>2356</v>
      </c>
      <c r="C288" s="524" t="s">
        <v>1694</v>
      </c>
      <c r="D288" s="524" t="s">
        <v>2571</v>
      </c>
      <c r="E288" s="524" t="s">
        <v>2572</v>
      </c>
      <c r="F288" s="527">
        <v>5</v>
      </c>
      <c r="G288" s="527">
        <v>3245</v>
      </c>
      <c r="H288" s="527">
        <v>1</v>
      </c>
      <c r="I288" s="527">
        <v>649</v>
      </c>
      <c r="J288" s="527"/>
      <c r="K288" s="527"/>
      <c r="L288" s="527"/>
      <c r="M288" s="527"/>
      <c r="N288" s="527">
        <v>3</v>
      </c>
      <c r="O288" s="527">
        <v>1950</v>
      </c>
      <c r="P288" s="540">
        <v>0.60092449922958402</v>
      </c>
      <c r="Q288" s="528">
        <v>650</v>
      </c>
    </row>
    <row r="289" spans="1:17" ht="14.4" customHeight="1" x14ac:dyDescent="0.3">
      <c r="A289" s="523" t="s">
        <v>2554</v>
      </c>
      <c r="B289" s="524" t="s">
        <v>2356</v>
      </c>
      <c r="C289" s="524" t="s">
        <v>1694</v>
      </c>
      <c r="D289" s="524" t="s">
        <v>2573</v>
      </c>
      <c r="E289" s="524" t="s">
        <v>2574</v>
      </c>
      <c r="F289" s="527"/>
      <c r="G289" s="527"/>
      <c r="H289" s="527"/>
      <c r="I289" s="527"/>
      <c r="J289" s="527"/>
      <c r="K289" s="527"/>
      <c r="L289" s="527"/>
      <c r="M289" s="527"/>
      <c r="N289" s="527">
        <v>3</v>
      </c>
      <c r="O289" s="527">
        <v>1950</v>
      </c>
      <c r="P289" s="540"/>
      <c r="Q289" s="528">
        <v>650</v>
      </c>
    </row>
    <row r="290" spans="1:17" ht="14.4" customHeight="1" x14ac:dyDescent="0.3">
      <c r="A290" s="523" t="s">
        <v>2554</v>
      </c>
      <c r="B290" s="524" t="s">
        <v>2356</v>
      </c>
      <c r="C290" s="524" t="s">
        <v>1694</v>
      </c>
      <c r="D290" s="524" t="s">
        <v>2575</v>
      </c>
      <c r="E290" s="524" t="s">
        <v>2576</v>
      </c>
      <c r="F290" s="527"/>
      <c r="G290" s="527"/>
      <c r="H290" s="527"/>
      <c r="I290" s="527"/>
      <c r="J290" s="527"/>
      <c r="K290" s="527"/>
      <c r="L290" s="527"/>
      <c r="M290" s="527"/>
      <c r="N290" s="527">
        <v>3</v>
      </c>
      <c r="O290" s="527">
        <v>4185</v>
      </c>
      <c r="P290" s="540"/>
      <c r="Q290" s="528">
        <v>1395</v>
      </c>
    </row>
    <row r="291" spans="1:17" ht="14.4" customHeight="1" x14ac:dyDescent="0.3">
      <c r="A291" s="523" t="s">
        <v>2554</v>
      </c>
      <c r="B291" s="524" t="s">
        <v>2356</v>
      </c>
      <c r="C291" s="524" t="s">
        <v>1694</v>
      </c>
      <c r="D291" s="524" t="s">
        <v>2577</v>
      </c>
      <c r="E291" s="524" t="s">
        <v>2578</v>
      </c>
      <c r="F291" s="527"/>
      <c r="G291" s="527"/>
      <c r="H291" s="527"/>
      <c r="I291" s="527"/>
      <c r="J291" s="527"/>
      <c r="K291" s="527"/>
      <c r="L291" s="527"/>
      <c r="M291" s="527"/>
      <c r="N291" s="527">
        <v>3</v>
      </c>
      <c r="O291" s="527">
        <v>1950</v>
      </c>
      <c r="P291" s="540"/>
      <c r="Q291" s="528">
        <v>650</v>
      </c>
    </row>
    <row r="292" spans="1:17" ht="14.4" customHeight="1" x14ac:dyDescent="0.3">
      <c r="A292" s="523" t="s">
        <v>2554</v>
      </c>
      <c r="B292" s="524" t="s">
        <v>2356</v>
      </c>
      <c r="C292" s="524" t="s">
        <v>1694</v>
      </c>
      <c r="D292" s="524" t="s">
        <v>2579</v>
      </c>
      <c r="E292" s="524" t="s">
        <v>2580</v>
      </c>
      <c r="F292" s="527"/>
      <c r="G292" s="527"/>
      <c r="H292" s="527"/>
      <c r="I292" s="527"/>
      <c r="J292" s="527"/>
      <c r="K292" s="527"/>
      <c r="L292" s="527"/>
      <c r="M292" s="527"/>
      <c r="N292" s="527">
        <v>3</v>
      </c>
      <c r="O292" s="527">
        <v>930</v>
      </c>
      <c r="P292" s="540"/>
      <c r="Q292" s="528">
        <v>310</v>
      </c>
    </row>
    <row r="293" spans="1:17" ht="14.4" customHeight="1" x14ac:dyDescent="0.3">
      <c r="A293" s="523" t="s">
        <v>2554</v>
      </c>
      <c r="B293" s="524" t="s">
        <v>2356</v>
      </c>
      <c r="C293" s="524" t="s">
        <v>1694</v>
      </c>
      <c r="D293" s="524" t="s">
        <v>2029</v>
      </c>
      <c r="E293" s="524" t="s">
        <v>2030</v>
      </c>
      <c r="F293" s="527">
        <v>2</v>
      </c>
      <c r="G293" s="527">
        <v>2456</v>
      </c>
      <c r="H293" s="527">
        <v>1</v>
      </c>
      <c r="I293" s="527">
        <v>1228</v>
      </c>
      <c r="J293" s="527">
        <v>8</v>
      </c>
      <c r="K293" s="527">
        <v>9888</v>
      </c>
      <c r="L293" s="527">
        <v>4.0260586319218241</v>
      </c>
      <c r="M293" s="527">
        <v>1236</v>
      </c>
      <c r="N293" s="527"/>
      <c r="O293" s="527"/>
      <c r="P293" s="540"/>
      <c r="Q293" s="528"/>
    </row>
    <row r="294" spans="1:17" ht="14.4" customHeight="1" x14ac:dyDescent="0.3">
      <c r="A294" s="523" t="s">
        <v>2554</v>
      </c>
      <c r="B294" s="524" t="s">
        <v>2356</v>
      </c>
      <c r="C294" s="524" t="s">
        <v>1694</v>
      </c>
      <c r="D294" s="524" t="s">
        <v>2042</v>
      </c>
      <c r="E294" s="524" t="s">
        <v>2043</v>
      </c>
      <c r="F294" s="527">
        <v>2</v>
      </c>
      <c r="G294" s="527">
        <v>46</v>
      </c>
      <c r="H294" s="527">
        <v>1</v>
      </c>
      <c r="I294" s="527">
        <v>23</v>
      </c>
      <c r="J294" s="527">
        <v>8</v>
      </c>
      <c r="K294" s="527">
        <v>184</v>
      </c>
      <c r="L294" s="527">
        <v>4</v>
      </c>
      <c r="M294" s="527">
        <v>23</v>
      </c>
      <c r="N294" s="527"/>
      <c r="O294" s="527"/>
      <c r="P294" s="540"/>
      <c r="Q294" s="528"/>
    </row>
    <row r="295" spans="1:17" ht="14.4" customHeight="1" x14ac:dyDescent="0.3">
      <c r="A295" s="523" t="s">
        <v>2554</v>
      </c>
      <c r="B295" s="524" t="s">
        <v>2356</v>
      </c>
      <c r="C295" s="524" t="s">
        <v>1694</v>
      </c>
      <c r="D295" s="524" t="s">
        <v>2044</v>
      </c>
      <c r="E295" s="524" t="s">
        <v>2045</v>
      </c>
      <c r="F295" s="527">
        <v>6</v>
      </c>
      <c r="G295" s="527">
        <v>2514</v>
      </c>
      <c r="H295" s="527">
        <v>1</v>
      </c>
      <c r="I295" s="527">
        <v>419</v>
      </c>
      <c r="J295" s="527">
        <v>24</v>
      </c>
      <c r="K295" s="527">
        <v>10128</v>
      </c>
      <c r="L295" s="527">
        <v>4.028639618138425</v>
      </c>
      <c r="M295" s="527">
        <v>422</v>
      </c>
      <c r="N295" s="527"/>
      <c r="O295" s="527"/>
      <c r="P295" s="540"/>
      <c r="Q295" s="528"/>
    </row>
    <row r="296" spans="1:17" ht="14.4" customHeight="1" thickBot="1" x14ac:dyDescent="0.35">
      <c r="A296" s="529" t="s">
        <v>2554</v>
      </c>
      <c r="B296" s="530" t="s">
        <v>2356</v>
      </c>
      <c r="C296" s="530" t="s">
        <v>1694</v>
      </c>
      <c r="D296" s="530" t="s">
        <v>2039</v>
      </c>
      <c r="E296" s="530" t="s">
        <v>2040</v>
      </c>
      <c r="F296" s="533">
        <v>6</v>
      </c>
      <c r="G296" s="533">
        <v>5988</v>
      </c>
      <c r="H296" s="533">
        <v>1</v>
      </c>
      <c r="I296" s="533">
        <v>998</v>
      </c>
      <c r="J296" s="533">
        <v>24</v>
      </c>
      <c r="K296" s="533">
        <v>24000</v>
      </c>
      <c r="L296" s="533">
        <v>4.0080160320641278</v>
      </c>
      <c r="M296" s="533">
        <v>1000</v>
      </c>
      <c r="N296" s="533"/>
      <c r="O296" s="533"/>
      <c r="P296" s="541"/>
      <c r="Q296" s="53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01" customWidth="1"/>
    <col min="5" max="5" width="11" style="302" customWidth="1"/>
  </cols>
  <sheetData>
    <row r="1" spans="1:7" ht="18.600000000000001" thickBot="1" x14ac:dyDescent="0.4">
      <c r="A1" s="368" t="s">
        <v>175</v>
      </c>
      <c r="B1" s="369"/>
      <c r="C1" s="370"/>
      <c r="D1" s="370"/>
      <c r="E1" s="370"/>
      <c r="F1" s="137"/>
      <c r="G1" s="137"/>
    </row>
    <row r="2" spans="1:7" ht="14.4" customHeight="1" thickBot="1" x14ac:dyDescent="0.35">
      <c r="A2" s="478" t="s">
        <v>215</v>
      </c>
      <c r="B2" s="279"/>
    </row>
    <row r="3" spans="1:7" ht="14.4" customHeight="1" thickBot="1" x14ac:dyDescent="0.35">
      <c r="A3" s="307"/>
      <c r="C3" s="308" t="s">
        <v>157</v>
      </c>
      <c r="D3" s="309" t="s">
        <v>118</v>
      </c>
      <c r="E3" s="310" t="s">
        <v>120</v>
      </c>
    </row>
    <row r="4" spans="1:7" ht="14.4" customHeight="1" thickBot="1" x14ac:dyDescent="0.35">
      <c r="A4" s="355" t="str">
        <f>HYPERLINK("#HI!A1","NÁKLADY CELKEM (v tisících Kč)")</f>
        <v>NÁKLADY CELKEM (v tisících Kč)</v>
      </c>
      <c r="B4" s="321"/>
      <c r="C4" s="331">
        <f ca="1">IF(ISERROR(VLOOKUP("Náklady celkem",INDIRECT("HI!$A:$G"),6,0)),0,VLOOKUP("Náklady celkem",INDIRECT("HI!$A:$G"),6,0))</f>
        <v>39745</v>
      </c>
      <c r="D4" s="331">
        <f ca="1">IF(ISERROR(VLOOKUP("Náklady celkem",INDIRECT("HI!$A:$G"),4,0)),0,VLOOKUP("Náklady celkem",INDIRECT("HI!$A:$G"),4,0))</f>
        <v>41203.373449999999</v>
      </c>
      <c r="E4" s="324">
        <f ca="1">IF(C4=0,0,D4/C4)</f>
        <v>1.0366932557554409</v>
      </c>
    </row>
    <row r="5" spans="1:7" ht="14.4" customHeight="1" x14ac:dyDescent="0.3">
      <c r="A5" s="317" t="s">
        <v>207</v>
      </c>
      <c r="B5" s="312"/>
      <c r="C5" s="332"/>
      <c r="D5" s="332"/>
      <c r="E5" s="325"/>
    </row>
    <row r="6" spans="1:7" ht="14.4" customHeight="1" x14ac:dyDescent="0.3">
      <c r="A6" s="350" t="s">
        <v>212</v>
      </c>
      <c r="B6" s="313"/>
      <c r="C6" s="323"/>
      <c r="D6" s="323"/>
      <c r="E6" s="325"/>
    </row>
    <row r="7" spans="1:7" ht="14.4" customHeight="1" x14ac:dyDescent="0.3">
      <c r="A7" s="3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13" t="s">
        <v>163</v>
      </c>
      <c r="C7" s="323">
        <f>IF(ISERROR(HI!F5),"",HI!F5)</f>
        <v>2548</v>
      </c>
      <c r="D7" s="323">
        <f>IF(ISERROR(HI!D5),"",HI!D5)</f>
        <v>2035.5269699999999</v>
      </c>
      <c r="E7" s="325">
        <f t="shared" ref="E7:E12" si="0">IF(C7=0,0,D7/C7)</f>
        <v>0.79887243720565149</v>
      </c>
    </row>
    <row r="8" spans="1:7" ht="14.4" customHeight="1" x14ac:dyDescent="0.3">
      <c r="A8" s="346" t="str">
        <f>HYPERLINK("#'LŽ PL'!A1","% plnění pozitivního listu")</f>
        <v>% plnění pozitivního listu</v>
      </c>
      <c r="B8" s="313" t="s">
        <v>205</v>
      </c>
      <c r="C8" s="322">
        <v>0.9</v>
      </c>
      <c r="D8" s="322">
        <f>IF(ISERROR(VLOOKUP("celkem",'LŽ PL'!$A:$F,5,0)),0,VLOOKUP("celkem",'LŽ PL'!$A:$F,5,0))</f>
        <v>0.95064116294832501</v>
      </c>
      <c r="E8" s="325">
        <f t="shared" si="0"/>
        <v>1.0562679588314723</v>
      </c>
    </row>
    <row r="9" spans="1:7" ht="14.4" customHeight="1" x14ac:dyDescent="0.3">
      <c r="A9" s="318" t="s">
        <v>208</v>
      </c>
      <c r="B9" s="313"/>
      <c r="C9" s="323"/>
      <c r="D9" s="323"/>
      <c r="E9" s="325"/>
    </row>
    <row r="10" spans="1:7" ht="14.4" customHeight="1" x14ac:dyDescent="0.3">
      <c r="A10" s="318" t="s">
        <v>209</v>
      </c>
      <c r="B10" s="313"/>
      <c r="C10" s="323"/>
      <c r="D10" s="323"/>
      <c r="E10" s="325"/>
    </row>
    <row r="11" spans="1:7" ht="14.4" customHeight="1" x14ac:dyDescent="0.3">
      <c r="A11" s="351" t="s">
        <v>213</v>
      </c>
      <c r="B11" s="313"/>
      <c r="C11" s="332"/>
      <c r="D11" s="332"/>
      <c r="E11" s="325"/>
    </row>
    <row r="12" spans="1:7" ht="14.4" customHeight="1" x14ac:dyDescent="0.3">
      <c r="A12" s="3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313" t="s">
        <v>163</v>
      </c>
      <c r="C12" s="323">
        <f>IF(ISERROR(HI!F6),"",HI!F6)</f>
        <v>2736</v>
      </c>
      <c r="D12" s="323">
        <f>IF(ISERROR(HI!D6),"",HI!D6)</f>
        <v>2676.6263300000001</v>
      </c>
      <c r="E12" s="325">
        <f t="shared" si="0"/>
        <v>0.97829909722222219</v>
      </c>
    </row>
    <row r="13" spans="1:7" ht="14.4" customHeight="1" thickBot="1" x14ac:dyDescent="0.35">
      <c r="A13" s="353" t="str">
        <f>HYPERLINK("#HI!A1","Osobní náklady")</f>
        <v>Osobní náklady</v>
      </c>
      <c r="B13" s="313"/>
      <c r="C13" s="332">
        <f ca="1">IF(ISERROR(VLOOKUP("Osobní náklady (Kč)",INDIRECT("HI!$A:$G"),6,0)),0,VLOOKUP("Osobní náklady (Kč)",INDIRECT("HI!$A:$G"),6,0))</f>
        <v>28465</v>
      </c>
      <c r="D13" s="332">
        <f ca="1">IF(ISERROR(VLOOKUP("Osobní náklady (Kč)",INDIRECT("HI!$A:$G"),4,0)),0,VLOOKUP("Osobní náklady (Kč)",INDIRECT("HI!$A:$G"),4,0))</f>
        <v>29792.276160000001</v>
      </c>
      <c r="E13" s="325">
        <f t="shared" ref="E13" ca="1" si="1">IF(C13=0,0,D13/C13)</f>
        <v>1.0466283562269454</v>
      </c>
    </row>
    <row r="14" spans="1:7" ht="14.4" customHeight="1" thickBot="1" x14ac:dyDescent="0.35">
      <c r="A14" s="337"/>
      <c r="B14" s="338"/>
      <c r="C14" s="339"/>
      <c r="D14" s="339"/>
      <c r="E14" s="327"/>
    </row>
    <row r="15" spans="1:7" ht="14.4" customHeight="1" thickBot="1" x14ac:dyDescent="0.35">
      <c r="A15" s="354" t="str">
        <f>HYPERLINK("#HI!A1","VÝNOSY CELKEM (v tisících; ""Ambulace-body"" + ""Hospitalizace-casemix""*29500)")</f>
        <v>VÝNOSY CELKEM (v tisících; "Ambulace-body" + "Hospitalizace-casemix"*29500)</v>
      </c>
      <c r="B15" s="315"/>
      <c r="C15" s="335">
        <f ca="1">IF(ISERROR(VLOOKUP("Výnosy celkem",INDIRECT("HI!$A:$G"),6,0)),0,VLOOKUP("Výnosy celkem",INDIRECT("HI!$A:$G"),6,0))</f>
        <v>65128.194299999988</v>
      </c>
      <c r="D15" s="335">
        <f ca="1">IF(ISERROR(VLOOKUP("Výnosy celkem",INDIRECT("HI!$A:$G"),4,0)),0,VLOOKUP("Výnosy celkem",INDIRECT("HI!$A:$G"),4,0))</f>
        <v>72077.37950000001</v>
      </c>
      <c r="E15" s="328">
        <f t="shared" ref="E15:E25" ca="1" si="2">IF(C15=0,0,D15/C15)</f>
        <v>1.1067001054564785</v>
      </c>
    </row>
    <row r="16" spans="1:7" ht="14.4" customHeight="1" x14ac:dyDescent="0.3">
      <c r="A16" s="356" t="str">
        <f>HYPERLINK("#HI!A1","Ambulance (body)")</f>
        <v>Ambulance (body)</v>
      </c>
      <c r="B16" s="312"/>
      <c r="C16" s="332">
        <f ca="1">IF(ISERROR(VLOOKUP("Ambulance (body)",INDIRECT("HI!$A:$G"),6,0)),0,VLOOKUP("Ambulance (body)",INDIRECT("HI!$A:$G"),6,0))</f>
        <v>0</v>
      </c>
      <c r="D16" s="332">
        <f ca="1">IF(ISERROR(VLOOKUP("Ambulance (body)",INDIRECT("HI!$A:$G"),4,0)),0,VLOOKUP("Ambulance (body)",INDIRECT("HI!$A:$G"),4,0))</f>
        <v>0</v>
      </c>
      <c r="E16" s="325">
        <f t="shared" ca="1" si="2"/>
        <v>0</v>
      </c>
    </row>
    <row r="17" spans="1:5" ht="14.4" customHeight="1" x14ac:dyDescent="0.3">
      <c r="A17" s="347" t="str">
        <f>HYPERLINK("#'ZV Vykáz.-H'!A1","Zdravotní výkony vykázané u hospitalizovaných pacientů (max. 85 %)")</f>
        <v>Zdravotní výkony vykázané u hospitalizovaných pacientů (max. 85 %)</v>
      </c>
      <c r="B17" t="s">
        <v>177</v>
      </c>
      <c r="C17" s="322">
        <v>0.85</v>
      </c>
      <c r="D17" s="322">
        <f>IF(ISERROR(VLOOKUP("Celkem:",'ZV Vykáz.-H'!$A:$S,7,0)),"",VLOOKUP("Celkem:",'ZV Vykáz.-H'!$A:$S,7,0))</f>
        <v>1.0647949848889098</v>
      </c>
      <c r="E17" s="325">
        <f t="shared" si="2"/>
        <v>1.2526999822222469</v>
      </c>
    </row>
    <row r="18" spans="1:5" ht="14.4" customHeight="1" x14ac:dyDescent="0.3">
      <c r="A18" s="357" t="str">
        <f>HYPERLINK("#HI!A1","Hospitalizace (casemix * 29500)")</f>
        <v>Hospitalizace (casemix * 29500)</v>
      </c>
      <c r="B18" s="313"/>
      <c r="C18" s="332">
        <f ca="1">IF(ISERROR(VLOOKUP("Hospitalizace (casemix * 29500)",INDIRECT("HI!$A:$G"),6,0)),0,VLOOKUP("Hospitalizace (casemix * 29500)",INDIRECT("HI!$A:$G"),6,0))</f>
        <v>65128.194299999988</v>
      </c>
      <c r="D18" s="332">
        <f ca="1">IF(ISERROR(VLOOKUP("Hospitalizace (casemix * 29500)",INDIRECT("HI!$A:$G"),4,0)),0,VLOOKUP("Hospitalizace (casemix * 29500)",INDIRECT("HI!$A:$G"),4,0))</f>
        <v>72077.37950000001</v>
      </c>
      <c r="E18" s="325">
        <f t="shared" ref="E18" ca="1" si="3">IF(C18=0,0,D18/C18)</f>
        <v>1.1067001054564785</v>
      </c>
    </row>
    <row r="19" spans="1:5" ht="14.4" customHeight="1" x14ac:dyDescent="0.3">
      <c r="A19" s="347" t="str">
        <f>HYPERLINK("#'CaseMix'!A1","Casemix (min. 95 %)")</f>
        <v>Casemix (min. 95 %)</v>
      </c>
      <c r="B19" s="313" t="s">
        <v>79</v>
      </c>
      <c r="C19" s="322">
        <v>0.95</v>
      </c>
      <c r="D19" s="322">
        <f>IF(ISERROR(VLOOKUP("Celkem",CaseMix!A:M,5,0)),0,VLOOKUP("Celkem",CaseMix!A:M,5,0))</f>
        <v>1.0513651001836546</v>
      </c>
      <c r="E19" s="325">
        <f t="shared" si="2"/>
        <v>1.1067001054564785</v>
      </c>
    </row>
    <row r="20" spans="1:5" ht="14.4" customHeight="1" x14ac:dyDescent="0.3">
      <c r="A20" s="348" t="str">
        <f>HYPERLINK("#'CaseMix'!A1","Alfa")</f>
        <v>Alfa</v>
      </c>
      <c r="B20" s="313" t="s">
        <v>79</v>
      </c>
      <c r="C20" s="322">
        <v>0.95</v>
      </c>
      <c r="D20" s="322">
        <f>IF(ISERROR(CaseMix!E24),"",CaseMix!E24)</f>
        <v>1.0513651001836546</v>
      </c>
      <c r="E20" s="325">
        <f t="shared" si="2"/>
        <v>1.1067001054564785</v>
      </c>
    </row>
    <row r="21" spans="1:5" ht="14.4" customHeight="1" x14ac:dyDescent="0.3">
      <c r="A21" s="348" t="str">
        <f>HYPERLINK("#'CaseMix'!A1","Beta + Gama (výkonově)")</f>
        <v>Beta + Gama (výkonově)</v>
      </c>
      <c r="B21" s="313" t="s">
        <v>79</v>
      </c>
      <c r="C21" s="322"/>
      <c r="D21" s="322">
        <f>IF(ISERROR(CaseMix!M36),"",CaseMix!M36)</f>
        <v>0</v>
      </c>
      <c r="E21" s="325">
        <f t="shared" si="2"/>
        <v>0</v>
      </c>
    </row>
    <row r="22" spans="1:5" ht="14.4" customHeight="1" x14ac:dyDescent="0.3">
      <c r="A22" s="348" t="str">
        <f>HYPERLINK("#'CaseMix'!A1","Vyjmenované skupiny")</f>
        <v>Vyjmenované skupiny</v>
      </c>
      <c r="B22" s="313" t="s">
        <v>79</v>
      </c>
      <c r="C22" s="322"/>
      <c r="D22" s="322">
        <f>IF(ISERROR(CaseMix!E48),"",CaseMix!E48)</f>
        <v>0</v>
      </c>
      <c r="E22" s="325">
        <f t="shared" si="2"/>
        <v>0</v>
      </c>
    </row>
    <row r="23" spans="1:5" ht="14.4" customHeight="1" x14ac:dyDescent="0.3">
      <c r="A23" s="347" t="str">
        <f>HYPERLINK("#'CaseMix'!A1","Počet hospitalizací ukončených na pracovišti (min. 90 %)")</f>
        <v>Počet hospitalizací ukončených na pracovišti (min. 90 %)</v>
      </c>
      <c r="B23" s="313" t="s">
        <v>79</v>
      </c>
      <c r="C23" s="322">
        <v>0.9</v>
      </c>
      <c r="D23" s="322">
        <f>IF(ISERROR(CaseMix!I12),"",CaseMix!I12)</f>
        <v>1.0046865846514352</v>
      </c>
      <c r="E23" s="325">
        <f t="shared" si="2"/>
        <v>1.1163184273904836</v>
      </c>
    </row>
    <row r="24" spans="1:5" ht="14.4" customHeight="1" x14ac:dyDescent="0.3">
      <c r="A24" s="347" t="str">
        <f>HYPERLINK("#'ALOS'!A1","Průměrná délka hospitalizace (max. 100 % republikového průměru)")</f>
        <v>Průměrná délka hospitalizace (max. 100 % republikového průměru)</v>
      </c>
      <c r="B24" s="313" t="s">
        <v>110</v>
      </c>
      <c r="C24" s="322">
        <v>1</v>
      </c>
      <c r="D24" s="340">
        <f>IF(ISERROR(INDEX(ALOS!$E:$E,COUNT(ALOS!$E:$E)+32)),0,INDEX(ALOS!$E:$E,COUNT(ALOS!$E:$E)+32))</f>
        <v>0.95075084491829553</v>
      </c>
      <c r="E24" s="325">
        <f t="shared" si="2"/>
        <v>0.95075084491829553</v>
      </c>
    </row>
    <row r="25" spans="1:5" ht="28.8" x14ac:dyDescent="0.3">
      <c r="A25" s="349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5" s="313" t="s">
        <v>174</v>
      </c>
      <c r="C25" s="322">
        <f>IF(E19&gt;1,90%,90%-2*ABS(C19-D19))</f>
        <v>0.9</v>
      </c>
      <c r="D25" s="322">
        <f>IF(ISERROR(VLOOKUP("Celkem:",'ZV Vyžád.'!$A:$M,7,0)),"",VLOOKUP("Celkem:",'ZV Vyžád.'!$A:$M,7,0))</f>
        <v>0.86216404404820424</v>
      </c>
      <c r="E25" s="325">
        <f t="shared" si="2"/>
        <v>0.95796004894244913</v>
      </c>
    </row>
    <row r="26" spans="1:5" ht="14.4" customHeight="1" thickBot="1" x14ac:dyDescent="0.35">
      <c r="A26" s="319" t="s">
        <v>210</v>
      </c>
      <c r="B26" s="314"/>
      <c r="C26" s="333"/>
      <c r="D26" s="333"/>
      <c r="E26" s="326"/>
    </row>
    <row r="27" spans="1:5" ht="14.4" customHeight="1" thickBot="1" x14ac:dyDescent="0.35">
      <c r="A27" s="311"/>
      <c r="B27" s="265"/>
      <c r="C27" s="334"/>
      <c r="D27" s="334"/>
      <c r="E27" s="329"/>
    </row>
    <row r="28" spans="1:5" ht="14.4" customHeight="1" thickBot="1" x14ac:dyDescent="0.35">
      <c r="A28" s="320" t="s">
        <v>211</v>
      </c>
      <c r="B28" s="316"/>
      <c r="C28" s="336"/>
      <c r="D28" s="336"/>
      <c r="E28" s="330"/>
    </row>
  </sheetData>
  <mergeCells count="1">
    <mergeCell ref="A1:E1"/>
  </mergeCells>
  <conditionalFormatting sqref="E19:E20 E15 E23 E8">
    <cfRule type="cellIs" dxfId="67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6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6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4:E25 E4 E7 E12 E17">
    <cfRule type="cellIs" dxfId="60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252" bestFit="1" customWidth="1"/>
    <col min="2" max="2" width="15.6640625" style="252" bestFit="1" customWidth="1"/>
    <col min="3" max="5" width="8.33203125" style="262" customWidth="1"/>
    <col min="6" max="6" width="6.109375" style="263" customWidth="1"/>
    <col min="7" max="9" width="8.33203125" style="264" customWidth="1"/>
    <col min="10" max="10" width="6.109375" style="263" customWidth="1"/>
    <col min="11" max="13" width="8.33203125" style="264" customWidth="1"/>
    <col min="14" max="14" width="8.33203125" style="262" customWidth="1"/>
    <col min="15" max="16384" width="8.88671875" style="252"/>
  </cols>
  <sheetData>
    <row r="1" spans="1:14" ht="18.600000000000001" customHeight="1" thickBot="1" x14ac:dyDescent="0.4">
      <c r="A1" s="470" t="s">
        <v>199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</row>
    <row r="2" spans="1:14" ht="14.4" customHeight="1" thickBot="1" x14ac:dyDescent="0.35">
      <c r="A2" s="478" t="s">
        <v>215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</row>
    <row r="3" spans="1:14" ht="14.4" customHeight="1" thickBot="1" x14ac:dyDescent="0.35">
      <c r="A3" s="254"/>
      <c r="B3" s="255" t="s">
        <v>183</v>
      </c>
      <c r="C3" s="256">
        <f>SUBTOTAL(9,C6:C1048576)</f>
        <v>12097</v>
      </c>
      <c r="D3" s="257">
        <f>SUBTOTAL(9,D6:D1048576)</f>
        <v>11222</v>
      </c>
      <c r="E3" s="257">
        <f>SUBTOTAL(9,E6:E1048576)</f>
        <v>11834</v>
      </c>
      <c r="F3" s="258">
        <f>IF(OR(E3=0,C3=0),"",E3/C3)</f>
        <v>0.97825907249731336</v>
      </c>
      <c r="G3" s="259">
        <f>SUBTOTAL(9,G6:G1048576)</f>
        <v>50482396</v>
      </c>
      <c r="H3" s="260">
        <f>SUBTOTAL(9,H6:H1048576)</f>
        <v>49673883</v>
      </c>
      <c r="I3" s="260">
        <f>SUBTOTAL(9,I6:I1048576)</f>
        <v>52903638</v>
      </c>
      <c r="J3" s="258">
        <f>IF(OR(I3=0,G3=0),"",I3/G3)</f>
        <v>1.0479621054436481</v>
      </c>
      <c r="K3" s="259">
        <f>SUBTOTAL(9,K6:K1048576)</f>
        <v>12112680</v>
      </c>
      <c r="L3" s="260">
        <f>SUBTOTAL(9,L6:L1048576)</f>
        <v>11749780</v>
      </c>
      <c r="M3" s="260">
        <f>SUBTOTAL(9,M6:M1048576)</f>
        <v>12752340</v>
      </c>
      <c r="N3" s="261">
        <f>IF(OR(M3=0,E3=0),"",M3/E3)</f>
        <v>1077.6018252492818</v>
      </c>
    </row>
    <row r="4" spans="1:14" ht="14.4" customHeight="1" x14ac:dyDescent="0.3">
      <c r="A4" s="472" t="s">
        <v>114</v>
      </c>
      <c r="B4" s="473" t="s">
        <v>14</v>
      </c>
      <c r="C4" s="474" t="s">
        <v>115</v>
      </c>
      <c r="D4" s="474"/>
      <c r="E4" s="474"/>
      <c r="F4" s="475"/>
      <c r="G4" s="476" t="s">
        <v>17</v>
      </c>
      <c r="H4" s="474"/>
      <c r="I4" s="474"/>
      <c r="J4" s="475"/>
      <c r="K4" s="476" t="s">
        <v>116</v>
      </c>
      <c r="L4" s="474"/>
      <c r="M4" s="474"/>
      <c r="N4" s="477"/>
    </row>
    <row r="5" spans="1:14" ht="14.4" customHeight="1" thickBot="1" x14ac:dyDescent="0.35">
      <c r="A5" s="667"/>
      <c r="B5" s="668"/>
      <c r="C5" s="675">
        <v>2011</v>
      </c>
      <c r="D5" s="675">
        <v>2012</v>
      </c>
      <c r="E5" s="675">
        <v>2013</v>
      </c>
      <c r="F5" s="676" t="s">
        <v>5</v>
      </c>
      <c r="G5" s="686">
        <v>2011</v>
      </c>
      <c r="H5" s="675">
        <v>2012</v>
      </c>
      <c r="I5" s="675">
        <v>2013</v>
      </c>
      <c r="J5" s="676" t="s">
        <v>5</v>
      </c>
      <c r="K5" s="686">
        <v>2011</v>
      </c>
      <c r="L5" s="675">
        <v>2012</v>
      </c>
      <c r="M5" s="675">
        <v>2013</v>
      </c>
      <c r="N5" s="693" t="s">
        <v>117</v>
      </c>
    </row>
    <row r="6" spans="1:14" ht="14.4" customHeight="1" x14ac:dyDescent="0.3">
      <c r="A6" s="669" t="s">
        <v>1737</v>
      </c>
      <c r="B6" s="672" t="s">
        <v>2581</v>
      </c>
      <c r="C6" s="677">
        <v>8035</v>
      </c>
      <c r="D6" s="678">
        <v>7108</v>
      </c>
      <c r="E6" s="678">
        <v>7664</v>
      </c>
      <c r="F6" s="683">
        <v>0.95382700684505284</v>
      </c>
      <c r="G6" s="687">
        <v>6795073</v>
      </c>
      <c r="H6" s="688">
        <v>6048471</v>
      </c>
      <c r="I6" s="688">
        <v>6547483</v>
      </c>
      <c r="J6" s="683">
        <v>0.96356330535374679</v>
      </c>
      <c r="K6" s="687">
        <v>482100</v>
      </c>
      <c r="L6" s="688">
        <v>426480</v>
      </c>
      <c r="M6" s="688">
        <v>459840</v>
      </c>
      <c r="N6" s="694">
        <v>60</v>
      </c>
    </row>
    <row r="7" spans="1:14" ht="14.4" customHeight="1" x14ac:dyDescent="0.3">
      <c r="A7" s="670" t="s">
        <v>1739</v>
      </c>
      <c r="B7" s="673" t="s">
        <v>2581</v>
      </c>
      <c r="C7" s="679">
        <v>443</v>
      </c>
      <c r="D7" s="680">
        <v>405</v>
      </c>
      <c r="E7" s="680">
        <v>525</v>
      </c>
      <c r="F7" s="684">
        <v>1.1851015801354401</v>
      </c>
      <c r="G7" s="689">
        <v>67380</v>
      </c>
      <c r="H7" s="690">
        <v>62329</v>
      </c>
      <c r="I7" s="690">
        <v>81742</v>
      </c>
      <c r="J7" s="684">
        <v>1.2131493024636391</v>
      </c>
      <c r="K7" s="689">
        <v>26580</v>
      </c>
      <c r="L7" s="690">
        <v>24300</v>
      </c>
      <c r="M7" s="690">
        <v>31500</v>
      </c>
      <c r="N7" s="695">
        <v>60</v>
      </c>
    </row>
    <row r="8" spans="1:14" ht="14.4" customHeight="1" x14ac:dyDescent="0.3">
      <c r="A8" s="670" t="s">
        <v>1826</v>
      </c>
      <c r="B8" s="673" t="s">
        <v>2582</v>
      </c>
      <c r="C8" s="679">
        <v>510</v>
      </c>
      <c r="D8" s="680">
        <v>317</v>
      </c>
      <c r="E8" s="680">
        <v>317</v>
      </c>
      <c r="F8" s="684">
        <v>0.6215686274509804</v>
      </c>
      <c r="G8" s="689">
        <v>13290345</v>
      </c>
      <c r="H8" s="690">
        <v>8262495</v>
      </c>
      <c r="I8" s="690">
        <v>8263655</v>
      </c>
      <c r="J8" s="684">
        <v>0.62177881763039256</v>
      </c>
      <c r="K8" s="689">
        <v>4080000</v>
      </c>
      <c r="L8" s="690">
        <v>2536000</v>
      </c>
      <c r="M8" s="690">
        <v>2536000</v>
      </c>
      <c r="N8" s="695">
        <v>8000</v>
      </c>
    </row>
    <row r="9" spans="1:14" ht="14.4" customHeight="1" x14ac:dyDescent="0.3">
      <c r="A9" s="670" t="s">
        <v>1828</v>
      </c>
      <c r="B9" s="673" t="s">
        <v>2582</v>
      </c>
      <c r="C9" s="679">
        <v>532</v>
      </c>
      <c r="D9" s="680">
        <v>755</v>
      </c>
      <c r="E9" s="680">
        <v>899</v>
      </c>
      <c r="F9" s="684">
        <v>1.6898496240601504</v>
      </c>
      <c r="G9" s="689">
        <v>11838330</v>
      </c>
      <c r="H9" s="690">
        <v>16804597</v>
      </c>
      <c r="I9" s="690">
        <v>20012852</v>
      </c>
      <c r="J9" s="684">
        <v>1.6905131044665929</v>
      </c>
      <c r="K9" s="689">
        <v>3192000</v>
      </c>
      <c r="L9" s="690">
        <v>4530000</v>
      </c>
      <c r="M9" s="690">
        <v>5394000</v>
      </c>
      <c r="N9" s="695">
        <v>6000</v>
      </c>
    </row>
    <row r="10" spans="1:14" ht="14.4" customHeight="1" x14ac:dyDescent="0.3">
      <c r="A10" s="670" t="s">
        <v>1830</v>
      </c>
      <c r="B10" s="673" t="s">
        <v>2582</v>
      </c>
      <c r="C10" s="679">
        <v>585</v>
      </c>
      <c r="D10" s="680">
        <v>532</v>
      </c>
      <c r="E10" s="680">
        <v>634</v>
      </c>
      <c r="F10" s="684">
        <v>1.0837606837606837</v>
      </c>
      <c r="G10" s="689">
        <v>7193043</v>
      </c>
      <c r="H10" s="690">
        <v>6544447</v>
      </c>
      <c r="I10" s="690">
        <v>7801090</v>
      </c>
      <c r="J10" s="684">
        <v>1.0845326518971179</v>
      </c>
      <c r="K10" s="689">
        <v>2340000</v>
      </c>
      <c r="L10" s="690">
        <v>2128000</v>
      </c>
      <c r="M10" s="690">
        <v>2536000</v>
      </c>
      <c r="N10" s="695">
        <v>4000</v>
      </c>
    </row>
    <row r="11" spans="1:14" ht="14.4" customHeight="1" thickBot="1" x14ac:dyDescent="0.35">
      <c r="A11" s="671" t="s">
        <v>1832</v>
      </c>
      <c r="B11" s="674" t="s">
        <v>2582</v>
      </c>
      <c r="C11" s="681">
        <v>1992</v>
      </c>
      <c r="D11" s="682">
        <v>2105</v>
      </c>
      <c r="E11" s="682">
        <v>1795</v>
      </c>
      <c r="F11" s="685">
        <v>0.90110441767068272</v>
      </c>
      <c r="G11" s="691">
        <v>11298225</v>
      </c>
      <c r="H11" s="692">
        <v>11951544</v>
      </c>
      <c r="I11" s="692">
        <v>10196816</v>
      </c>
      <c r="J11" s="685">
        <v>0.90251486406050507</v>
      </c>
      <c r="K11" s="691">
        <v>1992000</v>
      </c>
      <c r="L11" s="692">
        <v>2105000</v>
      </c>
      <c r="M11" s="692">
        <v>1795000</v>
      </c>
      <c r="N11" s="696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368" t="s">
        <v>192</v>
      </c>
      <c r="B1" s="368"/>
      <c r="C1" s="368"/>
      <c r="D1" s="368"/>
      <c r="E1" s="368"/>
      <c r="F1" s="368"/>
      <c r="G1" s="368"/>
    </row>
    <row r="2" spans="1:7" ht="14.4" customHeight="1" thickBot="1" x14ac:dyDescent="0.35">
      <c r="A2" s="478" t="s">
        <v>215</v>
      </c>
      <c r="B2" s="70"/>
      <c r="C2" s="70"/>
      <c r="D2" s="70"/>
      <c r="E2" s="70"/>
      <c r="F2" s="70"/>
      <c r="G2" s="70"/>
    </row>
    <row r="3" spans="1:7" ht="14.4" customHeight="1" x14ac:dyDescent="0.3">
      <c r="A3" s="371"/>
      <c r="B3" s="373" t="s">
        <v>118</v>
      </c>
      <c r="C3" s="374"/>
      <c r="D3" s="375"/>
      <c r="E3" s="14"/>
      <c r="F3" s="52" t="s">
        <v>119</v>
      </c>
      <c r="G3" s="53" t="s">
        <v>120</v>
      </c>
    </row>
    <row r="4" spans="1:7" ht="14.4" customHeight="1" thickBot="1" x14ac:dyDescent="0.35">
      <c r="A4" s="372"/>
      <c r="B4" s="59">
        <v>2011</v>
      </c>
      <c r="C4" s="50">
        <v>2012</v>
      </c>
      <c r="D4" s="51">
        <v>2013</v>
      </c>
      <c r="E4" s="14"/>
      <c r="F4" s="376">
        <v>2013</v>
      </c>
      <c r="G4" s="377"/>
    </row>
    <row r="5" spans="1:7" ht="14.4" customHeight="1" x14ac:dyDescent="0.3">
      <c r="A5" s="341" t="str">
        <f>HYPERLINK("#'Léky Žádanky'!A1","Léky (Kč)")</f>
        <v>Léky (Kč)</v>
      </c>
      <c r="B5" s="37">
        <v>3363.4047836273699</v>
      </c>
      <c r="C5" s="38">
        <v>2410.90166</v>
      </c>
      <c r="D5" s="39">
        <v>2035.5269699999999</v>
      </c>
      <c r="E5" s="15"/>
      <c r="F5" s="16">
        <v>2548</v>
      </c>
      <c r="G5" s="17">
        <f>IF(F5&lt;0.00000001,"",D5/F5)</f>
        <v>0.79887243720565149</v>
      </c>
    </row>
    <row r="6" spans="1:7" ht="14.4" customHeight="1" x14ac:dyDescent="0.3">
      <c r="A6" s="341" t="str">
        <f>HYPERLINK("#'Materiál Žádanky'!A1","Materiál - SZM (Kč)")</f>
        <v>Materiál - SZM (Kč)</v>
      </c>
      <c r="B6" s="18">
        <v>2782.6012902693001</v>
      </c>
      <c r="C6" s="40">
        <v>2014.0546200000001</v>
      </c>
      <c r="D6" s="41">
        <v>2676.6263300000001</v>
      </c>
      <c r="E6" s="15"/>
      <c r="F6" s="18">
        <v>2736</v>
      </c>
      <c r="G6" s="19">
        <f>IF(F6&lt;0.00000001,"",D6/F6)</f>
        <v>0.97829909722222219</v>
      </c>
    </row>
    <row r="7" spans="1:7" ht="14.4" customHeight="1" x14ac:dyDescent="0.3">
      <c r="A7" s="341" t="str">
        <f>HYPERLINK("#'Osobní náklady'!A1","Osobní náklady (Kč)")</f>
        <v>Osobní náklady (Kč)</v>
      </c>
      <c r="B7" s="18">
        <v>29843.214734893601</v>
      </c>
      <c r="C7" s="40">
        <v>30766.54751</v>
      </c>
      <c r="D7" s="41">
        <v>29792.276160000001</v>
      </c>
      <c r="E7" s="15"/>
      <c r="F7" s="18">
        <v>28465</v>
      </c>
      <c r="G7" s="19">
        <f>IF(F7&lt;0.00000001,"",D7/F7)</f>
        <v>1.0466283562269454</v>
      </c>
    </row>
    <row r="8" spans="1:7" ht="14.4" customHeight="1" thickBot="1" x14ac:dyDescent="0.35">
      <c r="A8" s="1" t="s">
        <v>121</v>
      </c>
      <c r="B8" s="20">
        <v>6973.9009101747497</v>
      </c>
      <c r="C8" s="42">
        <v>6881.1009800000002</v>
      </c>
      <c r="D8" s="43">
        <v>6698.9439899999998</v>
      </c>
      <c r="E8" s="15"/>
      <c r="F8" s="20">
        <v>5996</v>
      </c>
      <c r="G8" s="21">
        <f>IF(F8&lt;0.00000001,"",D8/F8)</f>
        <v>1.117235488659106</v>
      </c>
    </row>
    <row r="9" spans="1:7" ht="14.4" customHeight="1" thickBot="1" x14ac:dyDescent="0.35">
      <c r="A9" s="2" t="s">
        <v>122</v>
      </c>
      <c r="B9" s="3">
        <v>42963.121718964998</v>
      </c>
      <c r="C9" s="44">
        <v>42072.604769999998</v>
      </c>
      <c r="D9" s="45">
        <v>41203.373449999999</v>
      </c>
      <c r="E9" s="15"/>
      <c r="F9" s="3">
        <v>39745</v>
      </c>
      <c r="G9" s="4">
        <f>IF(F9&lt;0.00000001,"",D9/F9)</f>
        <v>1.0366932557554409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343" t="str">
        <f>HYPERLINK("#'ZV Vykáz.-A'!A1","Ambulance (body)")</f>
        <v>Ambulance (body)</v>
      </c>
      <c r="B11" s="16">
        <f>IF(ISERROR(VLOOKUP("Celkem:",#REF!,2,0)),0,VLOOKUP("Celkem:",#REF!,2,0)/1000)</f>
        <v>0</v>
      </c>
      <c r="C11" s="38">
        <f>IF(ISERROR(VLOOKUP("Celkem:",#REF!,4,0)),0,VLOOKUP("Celkem:",#REF!,4,0)/1000)</f>
        <v>0</v>
      </c>
      <c r="D11" s="39">
        <f>IF(ISERROR(VLOOKUP("Celkem:",#REF!,6,0)),0,VLOOKUP("Celkem:",#REF!,6,0)/1000)</f>
        <v>0</v>
      </c>
      <c r="E11" s="15"/>
      <c r="F11" s="16">
        <f>B11*0.98</f>
        <v>0</v>
      </c>
      <c r="G11" s="17" t="str">
        <f>IF(F11=0,"",D11/F11)</f>
        <v/>
      </c>
    </row>
    <row r="12" spans="1:7" ht="14.4" customHeight="1" thickBot="1" x14ac:dyDescent="0.35">
      <c r="A12" s="344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68555.993999999992</v>
      </c>
      <c r="C12" s="42">
        <f>IF(ISERROR(VLOOKUP("Celkem",CaseMix!A:D,3,0)),0,VLOOKUP("Celkem",CaseMix!A:D,3,0)*29.5)</f>
        <v>63010.554499999998</v>
      </c>
      <c r="D12" s="43">
        <f>IF(ISERROR(VLOOKUP("Celkem",CaseMix!A:D,4,0)),0,VLOOKUP("Celkem",CaseMix!A:D,4,0)*29.5)</f>
        <v>72077.37950000001</v>
      </c>
      <c r="E12" s="15"/>
      <c r="F12" s="20">
        <f>B12*0.95</f>
        <v>65128.194299999988</v>
      </c>
      <c r="G12" s="21">
        <f>IF(F12=0,"",D12/F12)</f>
        <v>1.1067001054564785</v>
      </c>
    </row>
    <row r="13" spans="1:7" ht="14.4" customHeight="1" thickBot="1" x14ac:dyDescent="0.35">
      <c r="A13" s="5" t="s">
        <v>125</v>
      </c>
      <c r="B13" s="10">
        <f>SUM(B11:B12)</f>
        <v>68555.993999999992</v>
      </c>
      <c r="C13" s="46">
        <f>SUM(C11:C12)</f>
        <v>63010.554499999998</v>
      </c>
      <c r="D13" s="47">
        <f>SUM(D11:D12)</f>
        <v>72077.37950000001</v>
      </c>
      <c r="E13" s="15"/>
      <c r="F13" s="10">
        <f>SUM(F11:F12)</f>
        <v>65128.194299999988</v>
      </c>
      <c r="G13" s="11">
        <f>IF(F13=0,"",D13/F13)</f>
        <v>1.1067001054564785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352" t="str">
        <f>HYPERLINK("#'HI Graf'!A1","Hospodářský index (Výnosy / Náklady)")</f>
        <v>Hospodářský index (Výnosy / Náklady)</v>
      </c>
      <c r="B15" s="12">
        <f>IF(B9=0,"",B13/B9)</f>
        <v>1.595693963963928</v>
      </c>
      <c r="C15" s="48">
        <f>IF(C9=0,"",C13/C9)</f>
        <v>1.4976623112465304</v>
      </c>
      <c r="D15" s="49">
        <f>IF(D9=0,"",D13/D9)</f>
        <v>1.7493077256760396</v>
      </c>
      <c r="E15" s="15"/>
      <c r="F15" s="12">
        <f>IF(F9=0,"",F13/F9)</f>
        <v>1.6386512592778963</v>
      </c>
      <c r="G15" s="13">
        <f>IF(OR(F15=0,F15=""),"",D15/F15)</f>
        <v>1.0675289911575854</v>
      </c>
    </row>
    <row r="17" spans="1:1" ht="14.4" customHeight="1" x14ac:dyDescent="0.3">
      <c r="A17" s="34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9" priority="6" operator="greaterThan">
      <formula>1</formula>
    </cfRule>
  </conditionalFormatting>
  <conditionalFormatting sqref="G11:G15">
    <cfRule type="cellIs" dxfId="58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6"/>
    <col min="2" max="13" width="8.88671875" style="136" customWidth="1"/>
    <col min="14" max="16384" width="8.88671875" style="136"/>
  </cols>
  <sheetData>
    <row r="1" spans="1:13" ht="18.600000000000001" customHeight="1" thickBot="1" x14ac:dyDescent="0.4">
      <c r="A1" s="368" t="s">
        <v>155</v>
      </c>
      <c r="B1" s="368"/>
      <c r="C1" s="368"/>
      <c r="D1" s="368"/>
      <c r="E1" s="368"/>
      <c r="F1" s="368"/>
      <c r="G1" s="368"/>
      <c r="H1" s="378"/>
      <c r="I1" s="378"/>
      <c r="J1" s="378"/>
      <c r="K1" s="378"/>
      <c r="L1" s="378"/>
      <c r="M1" s="378"/>
    </row>
    <row r="2" spans="1:13" ht="14.4" customHeight="1" x14ac:dyDescent="0.3">
      <c r="A2" s="478" t="s">
        <v>215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</row>
    <row r="3" spans="1:13" ht="14.4" customHeight="1" x14ac:dyDescent="0.3">
      <c r="A3" s="283"/>
      <c r="B3" s="284" t="s">
        <v>127</v>
      </c>
      <c r="C3" s="285" t="s">
        <v>128</v>
      </c>
      <c r="D3" s="285" t="s">
        <v>129</v>
      </c>
      <c r="E3" s="284" t="s">
        <v>130</v>
      </c>
      <c r="F3" s="285" t="s">
        <v>131</v>
      </c>
      <c r="G3" s="285" t="s">
        <v>132</v>
      </c>
      <c r="H3" s="285" t="s">
        <v>133</v>
      </c>
      <c r="I3" s="285" t="s">
        <v>134</v>
      </c>
      <c r="J3" s="285" t="s">
        <v>135</v>
      </c>
      <c r="K3" s="285" t="s">
        <v>136</v>
      </c>
      <c r="L3" s="285" t="s">
        <v>137</v>
      </c>
      <c r="M3" s="285" t="s">
        <v>138</v>
      </c>
    </row>
    <row r="4" spans="1:13" ht="14.4" customHeight="1" x14ac:dyDescent="0.3">
      <c r="A4" s="283" t="s">
        <v>126</v>
      </c>
      <c r="B4" s="286">
        <f>(B10+B8)/B6</f>
        <v>1.7440650642233018</v>
      </c>
      <c r="C4" s="286">
        <f t="shared" ref="C4:M4" si="0">(C10+C8)/C6</f>
        <v>1.5594269566913705</v>
      </c>
      <c r="D4" s="286">
        <f t="shared" si="0"/>
        <v>1.3134838238902029</v>
      </c>
      <c r="E4" s="286">
        <f t="shared" si="0"/>
        <v>1.5804159012707268</v>
      </c>
      <c r="F4" s="286">
        <f t="shared" si="0"/>
        <v>1.4704093824544153</v>
      </c>
      <c r="G4" s="286">
        <f t="shared" si="0"/>
        <v>1.6371905471785557</v>
      </c>
      <c r="H4" s="286">
        <f t="shared" si="0"/>
        <v>1.7007714492364012</v>
      </c>
      <c r="I4" s="286">
        <f t="shared" si="0"/>
        <v>1.6939402938001402</v>
      </c>
      <c r="J4" s="286">
        <f t="shared" si="0"/>
        <v>1.751250127312088</v>
      </c>
      <c r="K4" s="286">
        <f t="shared" si="0"/>
        <v>0</v>
      </c>
      <c r="L4" s="286">
        <f t="shared" si="0"/>
        <v>0</v>
      </c>
      <c r="M4" s="286">
        <f t="shared" si="0"/>
        <v>0</v>
      </c>
    </row>
    <row r="5" spans="1:13" ht="14.4" customHeight="1" x14ac:dyDescent="0.3">
      <c r="A5" s="287" t="s">
        <v>56</v>
      </c>
      <c r="B5" s="286">
        <f>IF(ISERROR(VLOOKUP($A5,'Man Tab'!$A:$Q,COLUMN()+2,0)),0,VLOOKUP($A5,'Man Tab'!$A:$Q,COLUMN()+2,0))</f>
        <v>4324.2443499999999</v>
      </c>
      <c r="C5" s="286">
        <f>IF(ISERROR(VLOOKUP($A5,'Man Tab'!$A:$Q,COLUMN()+2,0)),0,VLOOKUP($A5,'Man Tab'!$A:$Q,COLUMN()+2,0))</f>
        <v>4284.5974699999997</v>
      </c>
      <c r="D5" s="286">
        <f>IF(ISERROR(VLOOKUP($A5,'Man Tab'!$A:$Q,COLUMN()+2,0)),0,VLOOKUP($A5,'Man Tab'!$A:$Q,COLUMN()+2,0))</f>
        <v>4187.1513199999999</v>
      </c>
      <c r="E5" s="286">
        <f>IF(ISERROR(VLOOKUP($A5,'Man Tab'!$A:$Q,COLUMN()+2,0)),0,VLOOKUP($A5,'Man Tab'!$A:$Q,COLUMN()+2,0))</f>
        <v>4431.6916600000004</v>
      </c>
      <c r="F5" s="286">
        <f>IF(ISERROR(VLOOKUP($A5,'Man Tab'!$A:$Q,COLUMN()+2,0)),0,VLOOKUP($A5,'Man Tab'!$A:$Q,COLUMN()+2,0))</f>
        <v>4474.6791000000003</v>
      </c>
      <c r="G5" s="286">
        <f>IF(ISERROR(VLOOKUP($A5,'Man Tab'!$A:$Q,COLUMN()+2,0)),0,VLOOKUP($A5,'Man Tab'!$A:$Q,COLUMN()+2,0))</f>
        <v>4425.5037899999998</v>
      </c>
      <c r="H5" s="286">
        <f>IF(ISERROR(VLOOKUP($A5,'Man Tab'!$A:$Q,COLUMN()+2,0)),0,VLOOKUP($A5,'Man Tab'!$A:$Q,COLUMN()+2,0))</f>
        <v>6249.3073999999997</v>
      </c>
      <c r="I5" s="286">
        <f>IF(ISERROR(VLOOKUP($A5,'Man Tab'!$A:$Q,COLUMN()+2,0)),0,VLOOKUP($A5,'Man Tab'!$A:$Q,COLUMN()+2,0))</f>
        <v>4458.8611199999996</v>
      </c>
      <c r="J5" s="286">
        <f>IF(ISERROR(VLOOKUP($A5,'Man Tab'!$A:$Q,COLUMN()+2,0)),0,VLOOKUP($A5,'Man Tab'!$A:$Q,COLUMN()+2,0))</f>
        <v>4367.3372399999998</v>
      </c>
      <c r="K5" s="286">
        <f>IF(ISERROR(VLOOKUP($A5,'Man Tab'!$A:$Q,COLUMN()+2,0)),0,VLOOKUP($A5,'Man Tab'!$A:$Q,COLUMN()+2,0))</f>
        <v>4.9406564584124654E-324</v>
      </c>
      <c r="L5" s="286">
        <f>IF(ISERROR(VLOOKUP($A5,'Man Tab'!$A:$Q,COLUMN()+2,0)),0,VLOOKUP($A5,'Man Tab'!$A:$Q,COLUMN()+2,0))</f>
        <v>4.9406564584124654E-324</v>
      </c>
      <c r="M5" s="286">
        <f>IF(ISERROR(VLOOKUP($A5,'Man Tab'!$A:$Q,COLUMN()+2,0)),0,VLOOKUP($A5,'Man Tab'!$A:$Q,COLUMN()+2,0))</f>
        <v>4.9406564584124654E-324</v>
      </c>
    </row>
    <row r="6" spans="1:13" ht="14.4" customHeight="1" x14ac:dyDescent="0.3">
      <c r="A6" s="287" t="s">
        <v>122</v>
      </c>
      <c r="B6" s="288">
        <f>B5</f>
        <v>4324.2443499999999</v>
      </c>
      <c r="C6" s="288">
        <f t="shared" ref="C6:M6" si="1">C5+B6</f>
        <v>8608.8418199999996</v>
      </c>
      <c r="D6" s="288">
        <f t="shared" si="1"/>
        <v>12795.993139999999</v>
      </c>
      <c r="E6" s="288">
        <f t="shared" si="1"/>
        <v>17227.684799999999</v>
      </c>
      <c r="F6" s="288">
        <f t="shared" si="1"/>
        <v>21702.3639</v>
      </c>
      <c r="G6" s="288">
        <f t="shared" si="1"/>
        <v>26127.867689999999</v>
      </c>
      <c r="H6" s="288">
        <f t="shared" si="1"/>
        <v>32377.175089999997</v>
      </c>
      <c r="I6" s="288">
        <f t="shared" si="1"/>
        <v>36836.036209999998</v>
      </c>
      <c r="J6" s="288">
        <f t="shared" si="1"/>
        <v>41203.373449999999</v>
      </c>
      <c r="K6" s="288">
        <f t="shared" si="1"/>
        <v>41203.373449999999</v>
      </c>
      <c r="L6" s="288">
        <f t="shared" si="1"/>
        <v>41203.373449999999</v>
      </c>
      <c r="M6" s="288">
        <f t="shared" si="1"/>
        <v>41203.373449999999</v>
      </c>
    </row>
    <row r="7" spans="1:13" ht="14.4" customHeight="1" x14ac:dyDescent="0.3">
      <c r="A7" s="287" t="s">
        <v>153</v>
      </c>
      <c r="B7" s="287">
        <v>255.65299999999999</v>
      </c>
      <c r="C7" s="287">
        <v>455.08</v>
      </c>
      <c r="D7" s="287">
        <v>569.74</v>
      </c>
      <c r="E7" s="287">
        <v>922.94600000000003</v>
      </c>
      <c r="F7" s="287">
        <v>1081.741</v>
      </c>
      <c r="G7" s="287">
        <v>1450.0440000000001</v>
      </c>
      <c r="H7" s="287">
        <v>1866.65</v>
      </c>
      <c r="I7" s="287">
        <v>2115.1880000000001</v>
      </c>
      <c r="J7" s="287">
        <v>2446.0140000000001</v>
      </c>
      <c r="K7" s="287"/>
      <c r="L7" s="287"/>
      <c r="M7" s="287"/>
    </row>
    <row r="8" spans="1:13" ht="14.4" customHeight="1" x14ac:dyDescent="0.3">
      <c r="A8" s="287" t="s">
        <v>123</v>
      </c>
      <c r="B8" s="288">
        <f>B7*29.5</f>
        <v>7541.7635</v>
      </c>
      <c r="C8" s="288">
        <f t="shared" ref="C8:M8" si="2">C7*29.5</f>
        <v>13424.859999999999</v>
      </c>
      <c r="D8" s="288">
        <f t="shared" si="2"/>
        <v>16807.330000000002</v>
      </c>
      <c r="E8" s="288">
        <f t="shared" si="2"/>
        <v>27226.906999999999</v>
      </c>
      <c r="F8" s="288">
        <f t="shared" si="2"/>
        <v>31911.359499999999</v>
      </c>
      <c r="G8" s="288">
        <f t="shared" si="2"/>
        <v>42776.298000000003</v>
      </c>
      <c r="H8" s="288">
        <f t="shared" si="2"/>
        <v>55066.175000000003</v>
      </c>
      <c r="I8" s="288">
        <f t="shared" si="2"/>
        <v>62398.046000000002</v>
      </c>
      <c r="J8" s="288">
        <f t="shared" si="2"/>
        <v>72157.413</v>
      </c>
      <c r="K8" s="288">
        <f t="shared" si="2"/>
        <v>0</v>
      </c>
      <c r="L8" s="288">
        <f t="shared" si="2"/>
        <v>0</v>
      </c>
      <c r="M8" s="288">
        <f t="shared" si="2"/>
        <v>0</v>
      </c>
    </row>
    <row r="9" spans="1:13" ht="14.4" customHeight="1" x14ac:dyDescent="0.3">
      <c r="A9" s="287" t="s">
        <v>154</v>
      </c>
      <c r="B9" s="287">
        <v>0</v>
      </c>
      <c r="C9" s="287">
        <v>0</v>
      </c>
      <c r="D9" s="287">
        <v>0</v>
      </c>
      <c r="E9" s="287">
        <v>0</v>
      </c>
      <c r="F9" s="287">
        <v>0</v>
      </c>
      <c r="G9" s="287">
        <v>0</v>
      </c>
      <c r="H9" s="287">
        <v>0</v>
      </c>
      <c r="I9" s="287">
        <v>0</v>
      </c>
      <c r="J9" s="287">
        <v>0</v>
      </c>
      <c r="K9" s="287">
        <v>0</v>
      </c>
      <c r="L9" s="287">
        <v>0</v>
      </c>
      <c r="M9" s="287">
        <v>0</v>
      </c>
    </row>
    <row r="10" spans="1:13" ht="14.4" customHeight="1" x14ac:dyDescent="0.3">
      <c r="A10" s="287" t="s">
        <v>124</v>
      </c>
      <c r="B10" s="288">
        <f>B9/1000</f>
        <v>0</v>
      </c>
      <c r="C10" s="288">
        <f t="shared" ref="C10:M10" si="3">C9/1000+B10</f>
        <v>0</v>
      </c>
      <c r="D10" s="288">
        <f t="shared" si="3"/>
        <v>0</v>
      </c>
      <c r="E10" s="288">
        <f t="shared" si="3"/>
        <v>0</v>
      </c>
      <c r="F10" s="288">
        <f t="shared" si="3"/>
        <v>0</v>
      </c>
      <c r="G10" s="288">
        <f t="shared" si="3"/>
        <v>0</v>
      </c>
      <c r="H10" s="288">
        <f t="shared" si="3"/>
        <v>0</v>
      </c>
      <c r="I10" s="288">
        <f t="shared" si="3"/>
        <v>0</v>
      </c>
      <c r="J10" s="288">
        <f t="shared" si="3"/>
        <v>0</v>
      </c>
      <c r="K10" s="288">
        <f t="shared" si="3"/>
        <v>0</v>
      </c>
      <c r="L10" s="288">
        <f t="shared" si="3"/>
        <v>0</v>
      </c>
      <c r="M10" s="288">
        <f t="shared" si="3"/>
        <v>0</v>
      </c>
    </row>
    <row r="11" spans="1:13" ht="14.4" customHeight="1" x14ac:dyDescent="0.3">
      <c r="A11" s="283"/>
      <c r="B11" s="283" t="s">
        <v>140</v>
      </c>
      <c r="C11" s="283">
        <f>COUNTIF(B7:M7,"&lt;&gt;")</f>
        <v>9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</row>
    <row r="12" spans="1:13" ht="14.4" customHeight="1" x14ac:dyDescent="0.3">
      <c r="A12" s="283">
        <v>0</v>
      </c>
      <c r="B12" s="286">
        <f>IF(ISERROR(HI!F15),#REF!,HI!F15)</f>
        <v>1.6386512592778963</v>
      </c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</row>
    <row r="13" spans="1:13" ht="14.4" customHeight="1" x14ac:dyDescent="0.3">
      <c r="A13" s="283">
        <v>1</v>
      </c>
      <c r="B13" s="286">
        <f>IF(ISERROR(HI!F15),#REF!,HI!F15)</f>
        <v>1.6386512592778963</v>
      </c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380" t="s">
        <v>217</v>
      </c>
      <c r="B1" s="380"/>
      <c r="C1" s="380"/>
      <c r="D1" s="380"/>
      <c r="E1" s="380"/>
      <c r="F1" s="380"/>
      <c r="G1" s="380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17" s="71" customFormat="1" ht="14.4" customHeight="1" thickBot="1" x14ac:dyDescent="0.35">
      <c r="A2" s="478" t="s">
        <v>215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39"/>
      <c r="B3" s="381" t="s">
        <v>19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60"/>
      <c r="Q3" s="62"/>
    </row>
    <row r="4" spans="1:17" ht="14.4" customHeight="1" x14ac:dyDescent="0.3">
      <c r="A4" s="140"/>
      <c r="B4" s="30" t="s">
        <v>20</v>
      </c>
      <c r="C4" s="61" t="s">
        <v>21</v>
      </c>
      <c r="D4" s="61" t="s">
        <v>22</v>
      </c>
      <c r="E4" s="61" t="s">
        <v>23</v>
      </c>
      <c r="F4" s="61" t="s">
        <v>24</v>
      </c>
      <c r="G4" s="61" t="s">
        <v>25</v>
      </c>
      <c r="H4" s="61" t="s">
        <v>26</v>
      </c>
      <c r="I4" s="61" t="s">
        <v>27</v>
      </c>
      <c r="J4" s="61" t="s">
        <v>28</v>
      </c>
      <c r="K4" s="61" t="s">
        <v>29</v>
      </c>
      <c r="L4" s="61" t="s">
        <v>30</v>
      </c>
      <c r="M4" s="61" t="s">
        <v>31</v>
      </c>
      <c r="N4" s="61" t="s">
        <v>32</v>
      </c>
      <c r="O4" s="61" t="s">
        <v>33</v>
      </c>
      <c r="P4" s="383" t="s">
        <v>6</v>
      </c>
      <c r="Q4" s="384"/>
    </row>
    <row r="5" spans="1:17" ht="14.4" customHeight="1" thickBot="1" x14ac:dyDescent="0.35">
      <c r="A5" s="141"/>
      <c r="B5" s="31" t="s">
        <v>34</v>
      </c>
      <c r="C5" s="32" t="s">
        <v>34</v>
      </c>
      <c r="D5" s="32" t="s">
        <v>35</v>
      </c>
      <c r="E5" s="32" t="s">
        <v>35</v>
      </c>
      <c r="F5" s="32" t="s">
        <v>35</v>
      </c>
      <c r="G5" s="32" t="s">
        <v>35</v>
      </c>
      <c r="H5" s="32" t="s">
        <v>35</v>
      </c>
      <c r="I5" s="32" t="s">
        <v>35</v>
      </c>
      <c r="J5" s="32" t="s">
        <v>35</v>
      </c>
      <c r="K5" s="32" t="s">
        <v>35</v>
      </c>
      <c r="L5" s="32" t="s">
        <v>35</v>
      </c>
      <c r="M5" s="32" t="s">
        <v>35</v>
      </c>
      <c r="N5" s="32" t="s">
        <v>35</v>
      </c>
      <c r="O5" s="32" t="s">
        <v>35</v>
      </c>
      <c r="P5" s="32" t="s">
        <v>35</v>
      </c>
      <c r="Q5" s="33" t="s">
        <v>36</v>
      </c>
    </row>
    <row r="6" spans="1:17" ht="14.4" customHeight="1" x14ac:dyDescent="0.3">
      <c r="A6" s="24" t="s">
        <v>37</v>
      </c>
      <c r="B6" s="73">
        <v>4.9406564584124654E-324</v>
      </c>
      <c r="C6" s="74">
        <v>0</v>
      </c>
      <c r="D6" s="74">
        <v>4.9406564584124654E-324</v>
      </c>
      <c r="E6" s="74">
        <v>4.9406564584124654E-324</v>
      </c>
      <c r="F6" s="74">
        <v>4.9406564584124654E-324</v>
      </c>
      <c r="G6" s="74">
        <v>4.9406564584124654E-324</v>
      </c>
      <c r="H6" s="74">
        <v>4.9406564584124654E-324</v>
      </c>
      <c r="I6" s="74">
        <v>4.9406564584124654E-324</v>
      </c>
      <c r="J6" s="74">
        <v>4.9406564584124654E-324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4.4465908125712189E-323</v>
      </c>
      <c r="Q6" s="247" t="s">
        <v>216</v>
      </c>
    </row>
    <row r="7" spans="1:17" ht="14.4" customHeight="1" x14ac:dyDescent="0.3">
      <c r="A7" s="25" t="s">
        <v>38</v>
      </c>
      <c r="B7" s="76">
        <v>3366.9724761451898</v>
      </c>
      <c r="C7" s="77">
        <v>280.58103967876599</v>
      </c>
      <c r="D7" s="77">
        <v>203.96098000000001</v>
      </c>
      <c r="E7" s="77">
        <v>223.92188999999999</v>
      </c>
      <c r="F7" s="77">
        <v>212.96307999999999</v>
      </c>
      <c r="G7" s="77">
        <v>302.39341000000002</v>
      </c>
      <c r="H7" s="77">
        <v>207.499</v>
      </c>
      <c r="I7" s="77">
        <v>198.66370000000001</v>
      </c>
      <c r="J7" s="77">
        <v>278.52733999999998</v>
      </c>
      <c r="K7" s="77">
        <v>236.13323</v>
      </c>
      <c r="L7" s="77">
        <v>171.46433999999999</v>
      </c>
      <c r="M7" s="77">
        <v>4.9406564584124654E-324</v>
      </c>
      <c r="N7" s="77">
        <v>4.9406564584124654E-324</v>
      </c>
      <c r="O7" s="77">
        <v>4.9406564584124654E-324</v>
      </c>
      <c r="P7" s="78">
        <v>2035.5269699999999</v>
      </c>
      <c r="Q7" s="248">
        <v>0.80607607553299998</v>
      </c>
    </row>
    <row r="8" spans="1:17" ht="14.4" customHeight="1" x14ac:dyDescent="0.3">
      <c r="A8" s="25" t="s">
        <v>39</v>
      </c>
      <c r="B8" s="76">
        <v>425.007633862018</v>
      </c>
      <c r="C8" s="77">
        <v>35.417302821833999</v>
      </c>
      <c r="D8" s="77">
        <v>26.63</v>
      </c>
      <c r="E8" s="77">
        <v>24.966000000000001</v>
      </c>
      <c r="F8" s="77">
        <v>49.965000000000003</v>
      </c>
      <c r="G8" s="77">
        <v>20.849</v>
      </c>
      <c r="H8" s="77">
        <v>26.972999999999999</v>
      </c>
      <c r="I8" s="77">
        <v>79.100999999999999</v>
      </c>
      <c r="J8" s="77">
        <v>55.945999999999998</v>
      </c>
      <c r="K8" s="77">
        <v>47.112000000000002</v>
      </c>
      <c r="L8" s="77">
        <v>22.437000000000001</v>
      </c>
      <c r="M8" s="77">
        <v>4.9406564584124654E-324</v>
      </c>
      <c r="N8" s="77">
        <v>4.9406564584124654E-324</v>
      </c>
      <c r="O8" s="77">
        <v>4.9406564584124654E-324</v>
      </c>
      <c r="P8" s="78">
        <v>353.97899999999998</v>
      </c>
      <c r="Q8" s="248">
        <v>1.1105024060649999</v>
      </c>
    </row>
    <row r="9" spans="1:17" ht="14.4" customHeight="1" x14ac:dyDescent="0.3">
      <c r="A9" s="25" t="s">
        <v>40</v>
      </c>
      <c r="B9" s="76">
        <v>3691.1343979625299</v>
      </c>
      <c r="C9" s="77">
        <v>307.59453316354399</v>
      </c>
      <c r="D9" s="77">
        <v>277.83211</v>
      </c>
      <c r="E9" s="77">
        <v>272.51632000000001</v>
      </c>
      <c r="F9" s="77">
        <v>210.91703999999999</v>
      </c>
      <c r="G9" s="77">
        <v>409.24779000000001</v>
      </c>
      <c r="H9" s="77">
        <v>271.89976999999999</v>
      </c>
      <c r="I9" s="77">
        <v>224.23247000000001</v>
      </c>
      <c r="J9" s="77">
        <v>322.49209999999999</v>
      </c>
      <c r="K9" s="77">
        <v>373.76884999999999</v>
      </c>
      <c r="L9" s="77">
        <v>313.71987999999999</v>
      </c>
      <c r="M9" s="77">
        <v>4.9406564584124654E-324</v>
      </c>
      <c r="N9" s="77">
        <v>4.9406564584124654E-324</v>
      </c>
      <c r="O9" s="77">
        <v>4.9406564584124654E-324</v>
      </c>
      <c r="P9" s="78">
        <v>2676.6263300000001</v>
      </c>
      <c r="Q9" s="248">
        <v>0.96686674661200001</v>
      </c>
    </row>
    <row r="10" spans="1:17" ht="14.4" customHeight="1" x14ac:dyDescent="0.3">
      <c r="A10" s="25" t="s">
        <v>41</v>
      </c>
      <c r="B10" s="76">
        <v>288.373608804215</v>
      </c>
      <c r="C10" s="77">
        <v>24.031134067017</v>
      </c>
      <c r="D10" s="77">
        <v>21.350010000000001</v>
      </c>
      <c r="E10" s="77">
        <v>11.42182</v>
      </c>
      <c r="F10" s="77">
        <v>34.339750000000002</v>
      </c>
      <c r="G10" s="77">
        <v>12.64344</v>
      </c>
      <c r="H10" s="77">
        <v>18.28913</v>
      </c>
      <c r="I10" s="77">
        <v>33.2654</v>
      </c>
      <c r="J10" s="77">
        <v>31.294090000000001</v>
      </c>
      <c r="K10" s="77">
        <v>26.109220000000001</v>
      </c>
      <c r="L10" s="77">
        <v>29.385770000000001</v>
      </c>
      <c r="M10" s="77">
        <v>4.9406564584124654E-324</v>
      </c>
      <c r="N10" s="77">
        <v>4.9406564584124654E-324</v>
      </c>
      <c r="O10" s="77">
        <v>4.9406564584124654E-324</v>
      </c>
      <c r="P10" s="78">
        <v>218.09863000000001</v>
      </c>
      <c r="Q10" s="248">
        <v>1.008407719899</v>
      </c>
    </row>
    <row r="11" spans="1:17" ht="14.4" customHeight="1" x14ac:dyDescent="0.3">
      <c r="A11" s="25" t="s">
        <v>42</v>
      </c>
      <c r="B11" s="76">
        <v>565.81749307375003</v>
      </c>
      <c r="C11" s="77">
        <v>47.151457756145</v>
      </c>
      <c r="D11" s="77">
        <v>51.294159999999998</v>
      </c>
      <c r="E11" s="77">
        <v>65.588279999999997</v>
      </c>
      <c r="F11" s="77">
        <v>40.970529999999997</v>
      </c>
      <c r="G11" s="77">
        <v>55.337999999998999</v>
      </c>
      <c r="H11" s="77">
        <v>46.282980000000002</v>
      </c>
      <c r="I11" s="77">
        <v>57.463290000000001</v>
      </c>
      <c r="J11" s="77">
        <v>108.06194000000001</v>
      </c>
      <c r="K11" s="77">
        <v>50.399639999999998</v>
      </c>
      <c r="L11" s="77">
        <v>62.332140000000003</v>
      </c>
      <c r="M11" s="77">
        <v>4.9406564584124654E-324</v>
      </c>
      <c r="N11" s="77">
        <v>4.9406564584124654E-324</v>
      </c>
      <c r="O11" s="77">
        <v>4.9406564584124654E-324</v>
      </c>
      <c r="P11" s="78">
        <v>537.73095999999998</v>
      </c>
      <c r="Q11" s="248">
        <v>1.267148191969</v>
      </c>
    </row>
    <row r="12" spans="1:17" ht="14.4" customHeight="1" x14ac:dyDescent="0.3">
      <c r="A12" s="25" t="s">
        <v>43</v>
      </c>
      <c r="B12" s="76">
        <v>354.10928373885798</v>
      </c>
      <c r="C12" s="77">
        <v>29.509106978238002</v>
      </c>
      <c r="D12" s="77">
        <v>31.622039999999998</v>
      </c>
      <c r="E12" s="77">
        <v>26.50198</v>
      </c>
      <c r="F12" s="77">
        <v>3.0618699999999999</v>
      </c>
      <c r="G12" s="77">
        <v>23.231400000000001</v>
      </c>
      <c r="H12" s="77">
        <v>32.070740000000001</v>
      </c>
      <c r="I12" s="77">
        <v>51.912689999999998</v>
      </c>
      <c r="J12" s="77">
        <v>24.321249999999999</v>
      </c>
      <c r="K12" s="77">
        <v>16.702780000000001</v>
      </c>
      <c r="L12" s="77">
        <v>36.840989999999998</v>
      </c>
      <c r="M12" s="77">
        <v>4.9406564584124654E-324</v>
      </c>
      <c r="N12" s="77">
        <v>4.9406564584124654E-324</v>
      </c>
      <c r="O12" s="77">
        <v>4.9406564584124654E-324</v>
      </c>
      <c r="P12" s="78">
        <v>246.26573999999999</v>
      </c>
      <c r="Q12" s="248">
        <v>0.92726831822300004</v>
      </c>
    </row>
    <row r="13" spans="1:17" ht="14.4" customHeight="1" x14ac:dyDescent="0.3">
      <c r="A13" s="25" t="s">
        <v>44</v>
      </c>
      <c r="B13" s="76">
        <v>437.58266852181902</v>
      </c>
      <c r="C13" s="77">
        <v>36.465222376817998</v>
      </c>
      <c r="D13" s="77">
        <v>38.102649999999997</v>
      </c>
      <c r="E13" s="77">
        <v>40.734639999999999</v>
      </c>
      <c r="F13" s="77">
        <v>27.11636</v>
      </c>
      <c r="G13" s="77">
        <v>32.470709999999997</v>
      </c>
      <c r="H13" s="77">
        <v>38.65916</v>
      </c>
      <c r="I13" s="77">
        <v>35.133000000000003</v>
      </c>
      <c r="J13" s="77">
        <v>39.889229999999998</v>
      </c>
      <c r="K13" s="77">
        <v>29.742080000000001</v>
      </c>
      <c r="L13" s="77">
        <v>35.70205</v>
      </c>
      <c r="M13" s="77">
        <v>4.9406564584124654E-324</v>
      </c>
      <c r="N13" s="77">
        <v>4.9406564584124654E-324</v>
      </c>
      <c r="O13" s="77">
        <v>4.9406564584124654E-324</v>
      </c>
      <c r="P13" s="78">
        <v>317.54987999999997</v>
      </c>
      <c r="Q13" s="248">
        <v>0.96758823065400001</v>
      </c>
    </row>
    <row r="14" spans="1:17" ht="14.4" customHeight="1" x14ac:dyDescent="0.3">
      <c r="A14" s="25" t="s">
        <v>45</v>
      </c>
      <c r="B14" s="76">
        <v>982.73333906091705</v>
      </c>
      <c r="C14" s="77">
        <v>81.894444921743002</v>
      </c>
      <c r="D14" s="77">
        <v>119.803</v>
      </c>
      <c r="E14" s="77">
        <v>100.788</v>
      </c>
      <c r="F14" s="77">
        <v>108.654</v>
      </c>
      <c r="G14" s="77">
        <v>69.775999999999001</v>
      </c>
      <c r="H14" s="77">
        <v>56.524999999999999</v>
      </c>
      <c r="I14" s="77">
        <v>64.198999999999998</v>
      </c>
      <c r="J14" s="77">
        <v>58.317999999999998</v>
      </c>
      <c r="K14" s="77">
        <v>60.173999999999999</v>
      </c>
      <c r="L14" s="77">
        <v>59.131</v>
      </c>
      <c r="M14" s="77">
        <v>4.9406564584124654E-324</v>
      </c>
      <c r="N14" s="77">
        <v>4.9406564584124654E-324</v>
      </c>
      <c r="O14" s="77">
        <v>4.9406564584124654E-324</v>
      </c>
      <c r="P14" s="78">
        <v>697.36800000000005</v>
      </c>
      <c r="Q14" s="248">
        <v>0.94616104190399997</v>
      </c>
    </row>
    <row r="15" spans="1:17" ht="14.4" customHeight="1" x14ac:dyDescent="0.3">
      <c r="A15" s="25" t="s">
        <v>46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5.8395999999999999</v>
      </c>
      <c r="K15" s="77">
        <v>13.728910000000001</v>
      </c>
      <c r="L15" s="77">
        <v>10.409979999999999</v>
      </c>
      <c r="M15" s="77">
        <v>4.9406564584124654E-324</v>
      </c>
      <c r="N15" s="77">
        <v>4.9406564584124654E-324</v>
      </c>
      <c r="O15" s="77">
        <v>4.9406564584124654E-324</v>
      </c>
      <c r="P15" s="78">
        <v>29.978490000000001</v>
      </c>
      <c r="Q15" s="248" t="s">
        <v>216</v>
      </c>
    </row>
    <row r="16" spans="1:17" ht="14.4" customHeight="1" x14ac:dyDescent="0.3">
      <c r="A16" s="25" t="s">
        <v>47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4.4465908125712189E-323</v>
      </c>
      <c r="Q16" s="248" t="s">
        <v>216</v>
      </c>
    </row>
    <row r="17" spans="1:17" ht="14.4" customHeight="1" x14ac:dyDescent="0.3">
      <c r="A17" s="25" t="s">
        <v>48</v>
      </c>
      <c r="B17" s="76">
        <v>876.69366235104496</v>
      </c>
      <c r="C17" s="77">
        <v>73.057805195919997</v>
      </c>
      <c r="D17" s="77">
        <v>85.101470000000006</v>
      </c>
      <c r="E17" s="77">
        <v>89.00282</v>
      </c>
      <c r="F17" s="77">
        <v>17.166350000000001</v>
      </c>
      <c r="G17" s="77">
        <v>17.161660000000001</v>
      </c>
      <c r="H17" s="77">
        <v>262.14535000000001</v>
      </c>
      <c r="I17" s="77">
        <v>47.400350000000003</v>
      </c>
      <c r="J17" s="77">
        <v>18.081440000000001</v>
      </c>
      <c r="K17" s="77">
        <v>103.26347</v>
      </c>
      <c r="L17" s="77">
        <v>76.388710000000003</v>
      </c>
      <c r="M17" s="77">
        <v>4.9406564584124654E-324</v>
      </c>
      <c r="N17" s="77">
        <v>4.9406564584124654E-324</v>
      </c>
      <c r="O17" s="77">
        <v>4.9406564584124654E-324</v>
      </c>
      <c r="P17" s="78">
        <v>715.71162000000004</v>
      </c>
      <c r="Q17" s="248">
        <v>1.088501264444</v>
      </c>
    </row>
    <row r="18" spans="1:17" ht="14.4" customHeight="1" x14ac:dyDescent="0.3">
      <c r="A18" s="25" t="s">
        <v>49</v>
      </c>
      <c r="B18" s="76">
        <v>0</v>
      </c>
      <c r="C18" s="77">
        <v>0</v>
      </c>
      <c r="D18" s="77">
        <v>0.32900000000000001</v>
      </c>
      <c r="E18" s="77">
        <v>1.2190000000000001</v>
      </c>
      <c r="F18" s="77">
        <v>2.669</v>
      </c>
      <c r="G18" s="77">
        <v>9.0169999999989994</v>
      </c>
      <c r="H18" s="77">
        <v>4.4420000000000002</v>
      </c>
      <c r="I18" s="77">
        <v>10.869</v>
      </c>
      <c r="J18" s="77">
        <v>4.9406564584124654E-324</v>
      </c>
      <c r="K18" s="77">
        <v>4.9406564584124654E-324</v>
      </c>
      <c r="L18" s="77">
        <v>3.25</v>
      </c>
      <c r="M18" s="77">
        <v>4.9406564584124654E-324</v>
      </c>
      <c r="N18" s="77">
        <v>4.9406564584124654E-324</v>
      </c>
      <c r="O18" s="77">
        <v>4.9406564584124654E-324</v>
      </c>
      <c r="P18" s="78">
        <v>31.795000000000002</v>
      </c>
      <c r="Q18" s="248" t="s">
        <v>216</v>
      </c>
    </row>
    <row r="19" spans="1:17" ht="14.4" customHeight="1" x14ac:dyDescent="0.3">
      <c r="A19" s="25" t="s">
        <v>50</v>
      </c>
      <c r="B19" s="76">
        <v>2000.5152470773601</v>
      </c>
      <c r="C19" s="77">
        <v>166.709603923114</v>
      </c>
      <c r="D19" s="77">
        <v>142.49959999999999</v>
      </c>
      <c r="E19" s="77">
        <v>166.17086</v>
      </c>
      <c r="F19" s="77">
        <v>126.99433000000001</v>
      </c>
      <c r="G19" s="77">
        <v>113.47935</v>
      </c>
      <c r="H19" s="77">
        <v>112.21429999999999</v>
      </c>
      <c r="I19" s="77">
        <v>257.44225</v>
      </c>
      <c r="J19" s="77">
        <v>302.36171000000002</v>
      </c>
      <c r="K19" s="77">
        <v>135.59272000000001</v>
      </c>
      <c r="L19" s="77">
        <v>151.80034000000001</v>
      </c>
      <c r="M19" s="77">
        <v>4.9406564584124654E-324</v>
      </c>
      <c r="N19" s="77">
        <v>4.9406564584124654E-324</v>
      </c>
      <c r="O19" s="77">
        <v>4.9406564584124654E-324</v>
      </c>
      <c r="P19" s="78">
        <v>1508.55546</v>
      </c>
      <c r="Q19" s="248">
        <v>1.0054446137999999</v>
      </c>
    </row>
    <row r="20" spans="1:17" ht="14.4" customHeight="1" x14ac:dyDescent="0.3">
      <c r="A20" s="25" t="s">
        <v>51</v>
      </c>
      <c r="B20" s="76">
        <v>37935.989767666098</v>
      </c>
      <c r="C20" s="77">
        <v>3161.33248063885</v>
      </c>
      <c r="D20" s="77">
        <v>3171.8733299999999</v>
      </c>
      <c r="E20" s="77">
        <v>3092.4149600000001</v>
      </c>
      <c r="F20" s="77">
        <v>3201.5944599999998</v>
      </c>
      <c r="G20" s="77">
        <v>3116.8094000000001</v>
      </c>
      <c r="H20" s="77">
        <v>3168.3189699999998</v>
      </c>
      <c r="I20" s="77">
        <v>3157.1790999999998</v>
      </c>
      <c r="J20" s="77">
        <v>4475.2531900000004</v>
      </c>
      <c r="K20" s="77">
        <v>3212.46976</v>
      </c>
      <c r="L20" s="77">
        <v>3196.3629900000001</v>
      </c>
      <c r="M20" s="77">
        <v>4.9406564584124654E-324</v>
      </c>
      <c r="N20" s="77">
        <v>4.9406564584124654E-324</v>
      </c>
      <c r="O20" s="77">
        <v>4.9406564584124654E-324</v>
      </c>
      <c r="P20" s="78">
        <v>29792.276160000001</v>
      </c>
      <c r="Q20" s="248">
        <v>1.047106853499</v>
      </c>
    </row>
    <row r="21" spans="1:17" ht="14.4" customHeight="1" x14ac:dyDescent="0.3">
      <c r="A21" s="26" t="s">
        <v>52</v>
      </c>
      <c r="B21" s="76">
        <v>2180.9999999998799</v>
      </c>
      <c r="C21" s="77">
        <v>181.74999999999</v>
      </c>
      <c r="D21" s="77">
        <v>143.44999999999999</v>
      </c>
      <c r="E21" s="77">
        <v>144.70400000000001</v>
      </c>
      <c r="F21" s="77">
        <v>145.227</v>
      </c>
      <c r="G21" s="77">
        <v>146.43199999999999</v>
      </c>
      <c r="H21" s="77">
        <v>146.464</v>
      </c>
      <c r="I21" s="77">
        <v>151.04400000000001</v>
      </c>
      <c r="J21" s="77">
        <v>152.93</v>
      </c>
      <c r="K21" s="77">
        <v>153.66300000000001</v>
      </c>
      <c r="L21" s="77">
        <v>173.31899999999999</v>
      </c>
      <c r="M21" s="77">
        <v>1.4821969375237396E-323</v>
      </c>
      <c r="N21" s="77">
        <v>1.4821969375237396E-323</v>
      </c>
      <c r="O21" s="77">
        <v>1.4821969375237396E-323</v>
      </c>
      <c r="P21" s="78">
        <v>1357.2329999999999</v>
      </c>
      <c r="Q21" s="248">
        <v>0.82973131591000004</v>
      </c>
    </row>
    <row r="22" spans="1:17" ht="14.4" customHeight="1" x14ac:dyDescent="0.3">
      <c r="A22" s="25" t="s">
        <v>53</v>
      </c>
      <c r="B22" s="76">
        <v>0</v>
      </c>
      <c r="C22" s="77">
        <v>0</v>
      </c>
      <c r="D22" s="77">
        <v>5.4</v>
      </c>
      <c r="E22" s="77">
        <v>24.646899999999999</v>
      </c>
      <c r="F22" s="77">
        <v>3.9990000000000001</v>
      </c>
      <c r="G22" s="77">
        <v>40.868999999998998</v>
      </c>
      <c r="H22" s="77">
        <v>81.895700000000005</v>
      </c>
      <c r="I22" s="77">
        <v>45.309539999999998</v>
      </c>
      <c r="J22" s="77">
        <v>4.9406564584124654E-324</v>
      </c>
      <c r="K22" s="77">
        <v>4.9406564584124654E-324</v>
      </c>
      <c r="L22" s="77">
        <v>24.093689999999999</v>
      </c>
      <c r="M22" s="77">
        <v>4.9406564584124654E-324</v>
      </c>
      <c r="N22" s="77">
        <v>4.9406564584124654E-324</v>
      </c>
      <c r="O22" s="77">
        <v>4.9406564584124654E-324</v>
      </c>
      <c r="P22" s="78">
        <v>226.21383</v>
      </c>
      <c r="Q22" s="248" t="s">
        <v>216</v>
      </c>
    </row>
    <row r="23" spans="1:17" ht="14.4" customHeight="1" x14ac:dyDescent="0.3">
      <c r="A23" s="26" t="s">
        <v>54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1.7786363250284876E-322</v>
      </c>
      <c r="Q23" s="248" t="s">
        <v>216</v>
      </c>
    </row>
    <row r="24" spans="1:17" ht="14.4" customHeight="1" x14ac:dyDescent="0.3">
      <c r="A24" s="26" t="s">
        <v>55</v>
      </c>
      <c r="B24" s="76">
        <v>7.2759576141834308E-12</v>
      </c>
      <c r="C24" s="77">
        <v>0</v>
      </c>
      <c r="D24" s="77">
        <v>4.9960000000009996</v>
      </c>
      <c r="E24" s="77">
        <v>0</v>
      </c>
      <c r="F24" s="77">
        <v>1.51355</v>
      </c>
      <c r="G24" s="77">
        <v>61.973500000001003</v>
      </c>
      <c r="H24" s="77">
        <v>1</v>
      </c>
      <c r="I24" s="77">
        <v>12.289</v>
      </c>
      <c r="J24" s="77">
        <v>375.99151000000001</v>
      </c>
      <c r="K24" s="77">
        <v>1.4599999989999999E-3</v>
      </c>
      <c r="L24" s="77">
        <v>0.699359999999</v>
      </c>
      <c r="M24" s="77">
        <v>-1.0869444208507424E-322</v>
      </c>
      <c r="N24" s="77">
        <v>-1.0869444208507424E-322</v>
      </c>
      <c r="O24" s="77">
        <v>-1.0869444208507424E-322</v>
      </c>
      <c r="P24" s="78">
        <v>458.46438000000302</v>
      </c>
      <c r="Q24" s="248"/>
    </row>
    <row r="25" spans="1:17" ht="14.4" customHeight="1" x14ac:dyDescent="0.3">
      <c r="A25" s="27" t="s">
        <v>56</v>
      </c>
      <c r="B25" s="79">
        <v>53105.929578263698</v>
      </c>
      <c r="C25" s="80">
        <v>4425.4941315219803</v>
      </c>
      <c r="D25" s="80">
        <v>4324.2443499999999</v>
      </c>
      <c r="E25" s="80">
        <v>4284.5974699999997</v>
      </c>
      <c r="F25" s="80">
        <v>4187.1513199999999</v>
      </c>
      <c r="G25" s="80">
        <v>4431.6916600000004</v>
      </c>
      <c r="H25" s="80">
        <v>4474.6791000000003</v>
      </c>
      <c r="I25" s="80">
        <v>4425.5037899999998</v>
      </c>
      <c r="J25" s="80">
        <v>6249.3073999999997</v>
      </c>
      <c r="K25" s="80">
        <v>4458.8611199999996</v>
      </c>
      <c r="L25" s="80">
        <v>4367.3372399999998</v>
      </c>
      <c r="M25" s="80">
        <v>4.9406564584124654E-324</v>
      </c>
      <c r="N25" s="80">
        <v>4.9406564584124654E-324</v>
      </c>
      <c r="O25" s="80">
        <v>4.9406564584124654E-324</v>
      </c>
      <c r="P25" s="81">
        <v>41203.373449999999</v>
      </c>
      <c r="Q25" s="249">
        <v>1.0344952381570001</v>
      </c>
    </row>
    <row r="26" spans="1:17" ht="14.4" customHeight="1" x14ac:dyDescent="0.3">
      <c r="A26" s="25" t="s">
        <v>57</v>
      </c>
      <c r="B26" s="76">
        <v>6874.5315545786698</v>
      </c>
      <c r="C26" s="77">
        <v>572.87762954822199</v>
      </c>
      <c r="D26" s="77">
        <v>615.70239000000004</v>
      </c>
      <c r="E26" s="77">
        <v>534.12189000000001</v>
      </c>
      <c r="F26" s="77">
        <v>605.88439000000005</v>
      </c>
      <c r="G26" s="77">
        <v>576.58793000000003</v>
      </c>
      <c r="H26" s="77">
        <v>564.29696000000001</v>
      </c>
      <c r="I26" s="77">
        <v>645.92016000000001</v>
      </c>
      <c r="J26" s="77">
        <v>765.15832999999998</v>
      </c>
      <c r="K26" s="77">
        <v>566.36609999999996</v>
      </c>
      <c r="L26" s="77">
        <v>551.05927999999994</v>
      </c>
      <c r="M26" s="77">
        <v>4.9406564584124654E-324</v>
      </c>
      <c r="N26" s="77">
        <v>4.9406564584124654E-324</v>
      </c>
      <c r="O26" s="77">
        <v>4.9406564584124654E-324</v>
      </c>
      <c r="P26" s="78">
        <v>5425.0974299999998</v>
      </c>
      <c r="Q26" s="248">
        <v>1.0522118027339999</v>
      </c>
    </row>
    <row r="27" spans="1:17" ht="14.4" customHeight="1" x14ac:dyDescent="0.3">
      <c r="A27" s="28" t="s">
        <v>58</v>
      </c>
      <c r="B27" s="79">
        <v>59980.4611328424</v>
      </c>
      <c r="C27" s="80">
        <v>4998.3717610701997</v>
      </c>
      <c r="D27" s="80">
        <v>4939.9467400000003</v>
      </c>
      <c r="E27" s="80">
        <v>4818.7193600000001</v>
      </c>
      <c r="F27" s="80">
        <v>4793.0357100000001</v>
      </c>
      <c r="G27" s="80">
        <v>5008.2795899999901</v>
      </c>
      <c r="H27" s="80">
        <v>5038.97606</v>
      </c>
      <c r="I27" s="80">
        <v>5071.4239500000003</v>
      </c>
      <c r="J27" s="80">
        <v>7014.4657299999999</v>
      </c>
      <c r="K27" s="80">
        <v>5025.2272199999998</v>
      </c>
      <c r="L27" s="80">
        <v>4918.3965200000002</v>
      </c>
      <c r="M27" s="80">
        <v>9.8813129168249309E-324</v>
      </c>
      <c r="N27" s="80">
        <v>9.8813129168249309E-324</v>
      </c>
      <c r="O27" s="80">
        <v>9.8813129168249309E-324</v>
      </c>
      <c r="P27" s="81">
        <v>46628.470880000001</v>
      </c>
      <c r="Q27" s="249">
        <v>1.0365257841040001</v>
      </c>
    </row>
    <row r="28" spans="1:17" ht="14.4" customHeight="1" x14ac:dyDescent="0.3">
      <c r="A28" s="26" t="s">
        <v>59</v>
      </c>
      <c r="B28" s="76">
        <v>40.136748537496999</v>
      </c>
      <c r="C28" s="77">
        <v>3.3447290447909999</v>
      </c>
      <c r="D28" s="77">
        <v>6.1524000000000001</v>
      </c>
      <c r="E28" s="77">
        <v>1.2351641146031164E-322</v>
      </c>
      <c r="F28" s="77">
        <v>1.2351641146031164E-322</v>
      </c>
      <c r="G28" s="77">
        <v>1.2351641146031164E-322</v>
      </c>
      <c r="H28" s="77">
        <v>7.4999999999999997E-2</v>
      </c>
      <c r="I28" s="77">
        <v>1.2351641146031164E-322</v>
      </c>
      <c r="J28" s="77">
        <v>1.2351641146031164E-322</v>
      </c>
      <c r="K28" s="77">
        <v>14.336819999999999</v>
      </c>
      <c r="L28" s="77">
        <v>1.2351641146031164E-322</v>
      </c>
      <c r="M28" s="77">
        <v>1.2351641146031164E-322</v>
      </c>
      <c r="N28" s="77">
        <v>1.2351641146031164E-322</v>
      </c>
      <c r="O28" s="77">
        <v>1.2351641146031164E-322</v>
      </c>
      <c r="P28" s="78">
        <v>20.564219999999999</v>
      </c>
      <c r="Q28" s="248">
        <v>0.68313854507600003</v>
      </c>
    </row>
    <row r="29" spans="1:17" ht="14.4" customHeight="1" x14ac:dyDescent="0.3">
      <c r="A29" s="26" t="s">
        <v>60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8.8931816251424378E-323</v>
      </c>
      <c r="Q29" s="248" t="s">
        <v>216</v>
      </c>
    </row>
    <row r="30" spans="1:17" ht="14.4" customHeight="1" x14ac:dyDescent="0.3">
      <c r="A30" s="26" t="s">
        <v>61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14.139699999999999</v>
      </c>
      <c r="M30" s="77">
        <v>4.9406564584124654E-323</v>
      </c>
      <c r="N30" s="77">
        <v>4.9406564584124654E-323</v>
      </c>
      <c r="O30" s="77">
        <v>4.9406564584124654E-323</v>
      </c>
      <c r="P30" s="78">
        <v>14.139699999999999</v>
      </c>
      <c r="Q30" s="248">
        <v>0</v>
      </c>
    </row>
    <row r="31" spans="1:17" ht="14.4" customHeight="1" thickBot="1" x14ac:dyDescent="0.35">
      <c r="A31" s="29" t="s">
        <v>62</v>
      </c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4"/>
      <c r="Q31" s="250"/>
    </row>
    <row r="32" spans="1:17" ht="14.4" customHeight="1" x14ac:dyDescent="0.3">
      <c r="A32" s="385" t="s">
        <v>63</v>
      </c>
      <c r="B32" s="379"/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</row>
    <row r="33" spans="1:17" ht="14.4" customHeight="1" x14ac:dyDescent="0.3">
      <c r="A33" s="379"/>
      <c r="B33" s="379"/>
      <c r="C33" s="379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</row>
    <row r="34" spans="1:17" ht="14.4" customHeight="1" x14ac:dyDescent="0.3">
      <c r="A34" s="385" t="s">
        <v>64</v>
      </c>
      <c r="B34" s="379"/>
      <c r="C34" s="379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</row>
    <row r="35" spans="1:17" ht="14.4" customHeight="1" x14ac:dyDescent="0.3">
      <c r="A35" s="379"/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379"/>
      <c r="Q36" s="379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380" t="s">
        <v>65</v>
      </c>
      <c r="B1" s="380"/>
      <c r="C1" s="380"/>
      <c r="D1" s="380"/>
      <c r="E1" s="380"/>
      <c r="F1" s="380"/>
      <c r="G1" s="380"/>
      <c r="H1" s="386"/>
      <c r="I1" s="386"/>
      <c r="J1" s="386"/>
      <c r="K1" s="386"/>
    </row>
    <row r="2" spans="1:11" s="85" customFormat="1" ht="14.4" customHeight="1" thickBot="1" x14ac:dyDescent="0.35">
      <c r="A2" s="478" t="s">
        <v>215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39"/>
      <c r="B3" s="381" t="s">
        <v>66</v>
      </c>
      <c r="C3" s="382"/>
      <c r="D3" s="382"/>
      <c r="E3" s="382"/>
      <c r="F3" s="389" t="s">
        <v>67</v>
      </c>
      <c r="G3" s="382"/>
      <c r="H3" s="382"/>
      <c r="I3" s="382"/>
      <c r="J3" s="382"/>
      <c r="K3" s="390"/>
    </row>
    <row r="4" spans="1:11" ht="14.4" customHeight="1" x14ac:dyDescent="0.3">
      <c r="A4" s="140"/>
      <c r="B4" s="387"/>
      <c r="C4" s="388"/>
      <c r="D4" s="388"/>
      <c r="E4" s="388"/>
      <c r="F4" s="391" t="s">
        <v>151</v>
      </c>
      <c r="G4" s="393" t="s">
        <v>68</v>
      </c>
      <c r="H4" s="63" t="s">
        <v>201</v>
      </c>
      <c r="I4" s="391" t="s">
        <v>69</v>
      </c>
      <c r="J4" s="393" t="s">
        <v>70</v>
      </c>
      <c r="K4" s="394" t="s">
        <v>71</v>
      </c>
    </row>
    <row r="5" spans="1:11" ht="42" thickBot="1" x14ac:dyDescent="0.35">
      <c r="A5" s="141"/>
      <c r="B5" s="34" t="s">
        <v>152</v>
      </c>
      <c r="C5" s="35" t="s">
        <v>72</v>
      </c>
      <c r="D5" s="36" t="s">
        <v>73</v>
      </c>
      <c r="E5" s="36" t="s">
        <v>74</v>
      </c>
      <c r="F5" s="392"/>
      <c r="G5" s="392"/>
      <c r="H5" s="35" t="s">
        <v>75</v>
      </c>
      <c r="I5" s="392"/>
      <c r="J5" s="392"/>
      <c r="K5" s="395"/>
    </row>
    <row r="6" spans="1:11" ht="14.4" customHeight="1" thickBot="1" x14ac:dyDescent="0.35">
      <c r="A6" s="497" t="s">
        <v>218</v>
      </c>
      <c r="B6" s="479">
        <v>57958.441260255</v>
      </c>
      <c r="C6" s="479">
        <v>56999.365690000101</v>
      </c>
      <c r="D6" s="480">
        <v>-959.07557025494998</v>
      </c>
      <c r="E6" s="481">
        <v>0.98345235742299997</v>
      </c>
      <c r="F6" s="479">
        <v>53105.929578263698</v>
      </c>
      <c r="G6" s="480">
        <v>39829.447183697797</v>
      </c>
      <c r="H6" s="482">
        <v>4367.3372399999998</v>
      </c>
      <c r="I6" s="479">
        <v>41203.373449999999</v>
      </c>
      <c r="J6" s="480">
        <v>1373.9262663022</v>
      </c>
      <c r="K6" s="483">
        <v>0.77587142861799996</v>
      </c>
    </row>
    <row r="7" spans="1:11" ht="14.4" customHeight="1" thickBot="1" x14ac:dyDescent="0.35">
      <c r="A7" s="498" t="s">
        <v>219</v>
      </c>
      <c r="B7" s="479">
        <v>12898.612823359599</v>
      </c>
      <c r="C7" s="479">
        <v>9628.2941300000093</v>
      </c>
      <c r="D7" s="480">
        <v>-3270.3186933595498</v>
      </c>
      <c r="E7" s="481">
        <v>0.74645965902300004</v>
      </c>
      <c r="F7" s="479">
        <v>10111.7309011693</v>
      </c>
      <c r="G7" s="480">
        <v>7583.7981758769702</v>
      </c>
      <c r="H7" s="482">
        <v>741.42250999999999</v>
      </c>
      <c r="I7" s="479">
        <v>7549.81693</v>
      </c>
      <c r="J7" s="480">
        <v>-33.981245876971997</v>
      </c>
      <c r="K7" s="483">
        <v>0.74663942343699996</v>
      </c>
    </row>
    <row r="8" spans="1:11" ht="14.4" customHeight="1" thickBot="1" x14ac:dyDescent="0.35">
      <c r="A8" s="499" t="s">
        <v>220</v>
      </c>
      <c r="B8" s="479">
        <v>11669.9452173391</v>
      </c>
      <c r="C8" s="479">
        <v>8607.4621300000108</v>
      </c>
      <c r="D8" s="480">
        <v>-3062.4830873390501</v>
      </c>
      <c r="E8" s="481">
        <v>0.73757519591499998</v>
      </c>
      <c r="F8" s="479">
        <v>9128.9975621083795</v>
      </c>
      <c r="G8" s="480">
        <v>6846.7481715812801</v>
      </c>
      <c r="H8" s="482">
        <v>671.88153</v>
      </c>
      <c r="I8" s="479">
        <v>6822.4704400000001</v>
      </c>
      <c r="J8" s="480">
        <v>-24.277731581285</v>
      </c>
      <c r="K8" s="483">
        <v>0.74734059173300005</v>
      </c>
    </row>
    <row r="9" spans="1:11" ht="14.4" customHeight="1" thickBot="1" x14ac:dyDescent="0.35">
      <c r="A9" s="500" t="s">
        <v>221</v>
      </c>
      <c r="B9" s="484">
        <v>4.9406564584124654E-324</v>
      </c>
      <c r="C9" s="484">
        <v>4.9406564584124654E-324</v>
      </c>
      <c r="D9" s="485">
        <v>0</v>
      </c>
      <c r="E9" s="486">
        <v>1</v>
      </c>
      <c r="F9" s="484">
        <v>4.9406564584124654E-324</v>
      </c>
      <c r="G9" s="485">
        <v>0</v>
      </c>
      <c r="H9" s="487">
        <v>-6.4000000000000005E-4</v>
      </c>
      <c r="I9" s="484">
        <v>2.9299999999999999E-3</v>
      </c>
      <c r="J9" s="485">
        <v>2.9299999999999999E-3</v>
      </c>
      <c r="K9" s="488" t="s">
        <v>222</v>
      </c>
    </row>
    <row r="10" spans="1:11" ht="14.4" customHeight="1" thickBot="1" x14ac:dyDescent="0.35">
      <c r="A10" s="501" t="s">
        <v>223</v>
      </c>
      <c r="B10" s="479">
        <v>4.9406564584124654E-324</v>
      </c>
      <c r="C10" s="479">
        <v>4.9406564584124654E-324</v>
      </c>
      <c r="D10" s="480">
        <v>0</v>
      </c>
      <c r="E10" s="481">
        <v>1</v>
      </c>
      <c r="F10" s="479">
        <v>4.9406564584124654E-324</v>
      </c>
      <c r="G10" s="480">
        <v>0</v>
      </c>
      <c r="H10" s="482">
        <v>-6.4000000000000005E-4</v>
      </c>
      <c r="I10" s="479">
        <v>2.9299999999999999E-3</v>
      </c>
      <c r="J10" s="480">
        <v>2.9299999999999999E-3</v>
      </c>
      <c r="K10" s="489" t="s">
        <v>222</v>
      </c>
    </row>
    <row r="11" spans="1:11" ht="14.4" customHeight="1" thickBot="1" x14ac:dyDescent="0.35">
      <c r="A11" s="500" t="s">
        <v>224</v>
      </c>
      <c r="B11" s="484">
        <v>4254.5616638279098</v>
      </c>
      <c r="C11" s="484">
        <v>3237.9722700000002</v>
      </c>
      <c r="D11" s="485">
        <v>-1016.58939382791</v>
      </c>
      <c r="E11" s="486">
        <v>0.76105895879399998</v>
      </c>
      <c r="F11" s="484">
        <v>3366.9724761451898</v>
      </c>
      <c r="G11" s="485">
        <v>2525.2293571088899</v>
      </c>
      <c r="H11" s="487">
        <v>171.46433999999999</v>
      </c>
      <c r="I11" s="484">
        <v>2035.5269699999999</v>
      </c>
      <c r="J11" s="485">
        <v>-489.70238710888998</v>
      </c>
      <c r="K11" s="490">
        <v>0.60455705665000004</v>
      </c>
    </row>
    <row r="12" spans="1:11" ht="14.4" customHeight="1" thickBot="1" x14ac:dyDescent="0.35">
      <c r="A12" s="501" t="s">
        <v>225</v>
      </c>
      <c r="B12" s="479">
        <v>2619.4165522818898</v>
      </c>
      <c r="C12" s="479">
        <v>2144.50866</v>
      </c>
      <c r="D12" s="480">
        <v>-474.90789228188999</v>
      </c>
      <c r="E12" s="481">
        <v>0.81869707135000003</v>
      </c>
      <c r="F12" s="479">
        <v>2072.82504820435</v>
      </c>
      <c r="G12" s="480">
        <v>1554.6187861532601</v>
      </c>
      <c r="H12" s="482">
        <v>126.16128999999999</v>
      </c>
      <c r="I12" s="479">
        <v>1383.34374</v>
      </c>
      <c r="J12" s="480">
        <v>-171.27504615326399</v>
      </c>
      <c r="K12" s="483">
        <v>0.66737120009100004</v>
      </c>
    </row>
    <row r="13" spans="1:11" ht="14.4" customHeight="1" thickBot="1" x14ac:dyDescent="0.35">
      <c r="A13" s="501" t="s">
        <v>226</v>
      </c>
      <c r="B13" s="479">
        <v>331.81186002122303</v>
      </c>
      <c r="C13" s="479">
        <v>206.85526999999999</v>
      </c>
      <c r="D13" s="480">
        <v>-124.95659002122299</v>
      </c>
      <c r="E13" s="481">
        <v>0.62341132106200003</v>
      </c>
      <c r="F13" s="479">
        <v>353.27864921243503</v>
      </c>
      <c r="G13" s="480">
        <v>264.95898690932597</v>
      </c>
      <c r="H13" s="482">
        <v>19.84984</v>
      </c>
      <c r="I13" s="479">
        <v>154.14885000000001</v>
      </c>
      <c r="J13" s="480">
        <v>-110.810136909327</v>
      </c>
      <c r="K13" s="483">
        <v>0.43633786061899998</v>
      </c>
    </row>
    <row r="14" spans="1:11" ht="14.4" customHeight="1" thickBot="1" x14ac:dyDescent="0.35">
      <c r="A14" s="501" t="s">
        <v>227</v>
      </c>
      <c r="B14" s="479">
        <v>80.999995122895996</v>
      </c>
      <c r="C14" s="479">
        <v>50.971739999999997</v>
      </c>
      <c r="D14" s="480">
        <v>-30.028255122895999</v>
      </c>
      <c r="E14" s="481">
        <v>0.62928077862999998</v>
      </c>
      <c r="F14" s="479">
        <v>50.998433645429003</v>
      </c>
      <c r="G14" s="480">
        <v>38.248825234072001</v>
      </c>
      <c r="H14" s="482">
        <v>4.9406564584124654E-324</v>
      </c>
      <c r="I14" s="479">
        <v>22.447849999999999</v>
      </c>
      <c r="J14" s="480">
        <v>-15.800975234072</v>
      </c>
      <c r="K14" s="483">
        <v>0.44016744035799998</v>
      </c>
    </row>
    <row r="15" spans="1:11" ht="14.4" customHeight="1" thickBot="1" x14ac:dyDescent="0.35">
      <c r="A15" s="501" t="s">
        <v>228</v>
      </c>
      <c r="B15" s="479">
        <v>270.74998369782901</v>
      </c>
      <c r="C15" s="479">
        <v>255.95446000000001</v>
      </c>
      <c r="D15" s="480">
        <v>-14.795523697828999</v>
      </c>
      <c r="E15" s="481">
        <v>0.94535355645899999</v>
      </c>
      <c r="F15" s="479">
        <v>247.89090505725099</v>
      </c>
      <c r="G15" s="480">
        <v>185.91817879293799</v>
      </c>
      <c r="H15" s="482">
        <v>6.2351400000000003</v>
      </c>
      <c r="I15" s="479">
        <v>131.33946</v>
      </c>
      <c r="J15" s="480">
        <v>-54.578718792937998</v>
      </c>
      <c r="K15" s="483">
        <v>0.52982766741499998</v>
      </c>
    </row>
    <row r="16" spans="1:11" ht="14.4" customHeight="1" thickBot="1" x14ac:dyDescent="0.35">
      <c r="A16" s="501" t="s">
        <v>229</v>
      </c>
      <c r="B16" s="479">
        <v>16.583289001499999</v>
      </c>
      <c r="C16" s="479">
        <v>25.554320000000001</v>
      </c>
      <c r="D16" s="480">
        <v>8.9710309984989998</v>
      </c>
      <c r="E16" s="481">
        <v>1.540968139534</v>
      </c>
      <c r="F16" s="479">
        <v>26.92859979544</v>
      </c>
      <c r="G16" s="480">
        <v>20.196449846579998</v>
      </c>
      <c r="H16" s="482">
        <v>1.1836500000000001</v>
      </c>
      <c r="I16" s="479">
        <v>13.61927</v>
      </c>
      <c r="J16" s="480">
        <v>-6.57717984658</v>
      </c>
      <c r="K16" s="483">
        <v>0.50575485184699998</v>
      </c>
    </row>
    <row r="17" spans="1:11" ht="14.4" customHeight="1" thickBot="1" x14ac:dyDescent="0.35">
      <c r="A17" s="501" t="s">
        <v>230</v>
      </c>
      <c r="B17" s="479">
        <v>4.9406564584124654E-324</v>
      </c>
      <c r="C17" s="479">
        <v>4.9406564584124654E-324</v>
      </c>
      <c r="D17" s="480">
        <v>0</v>
      </c>
      <c r="E17" s="481">
        <v>1</v>
      </c>
      <c r="F17" s="479">
        <v>47.999999999997002</v>
      </c>
      <c r="G17" s="480">
        <v>35.999999999998003</v>
      </c>
      <c r="H17" s="482">
        <v>4.9406564584124654E-324</v>
      </c>
      <c r="I17" s="479">
        <v>101.73084</v>
      </c>
      <c r="J17" s="480">
        <v>65.730840000000995</v>
      </c>
      <c r="K17" s="483">
        <v>2.1193925</v>
      </c>
    </row>
    <row r="18" spans="1:11" ht="14.4" customHeight="1" thickBot="1" x14ac:dyDescent="0.35">
      <c r="A18" s="501" t="s">
        <v>231</v>
      </c>
      <c r="B18" s="479">
        <v>934.99998370256606</v>
      </c>
      <c r="C18" s="479">
        <v>554.12782000000004</v>
      </c>
      <c r="D18" s="480">
        <v>-380.87216370256601</v>
      </c>
      <c r="E18" s="481">
        <v>0.59265008519600004</v>
      </c>
      <c r="F18" s="479">
        <v>567.05084023028098</v>
      </c>
      <c r="G18" s="480">
        <v>425.28813017271102</v>
      </c>
      <c r="H18" s="482">
        <v>18.034420000000001</v>
      </c>
      <c r="I18" s="479">
        <v>228.89696000000001</v>
      </c>
      <c r="J18" s="480">
        <v>-196.39117017271101</v>
      </c>
      <c r="K18" s="483">
        <v>0.40366214766000003</v>
      </c>
    </row>
    <row r="19" spans="1:11" ht="14.4" customHeight="1" thickBot="1" x14ac:dyDescent="0.35">
      <c r="A19" s="500" t="s">
        <v>232</v>
      </c>
      <c r="B19" s="484">
        <v>470.00001170075399</v>
      </c>
      <c r="C19" s="484">
        <v>433.57499999999999</v>
      </c>
      <c r="D19" s="485">
        <v>-36.425011700753998</v>
      </c>
      <c r="E19" s="486">
        <v>0.922499977034</v>
      </c>
      <c r="F19" s="484">
        <v>425.007633862018</v>
      </c>
      <c r="G19" s="485">
        <v>318.75572539651301</v>
      </c>
      <c r="H19" s="487">
        <v>22.437000000000001</v>
      </c>
      <c r="I19" s="484">
        <v>353.97899999999998</v>
      </c>
      <c r="J19" s="485">
        <v>35.223274603485997</v>
      </c>
      <c r="K19" s="490">
        <v>0.83287680454900004</v>
      </c>
    </row>
    <row r="20" spans="1:11" ht="14.4" customHeight="1" thickBot="1" x14ac:dyDescent="0.35">
      <c r="A20" s="501" t="s">
        <v>233</v>
      </c>
      <c r="B20" s="479">
        <v>449.99997290497998</v>
      </c>
      <c r="C20" s="479">
        <v>427</v>
      </c>
      <c r="D20" s="480">
        <v>-22.999972904979</v>
      </c>
      <c r="E20" s="481">
        <v>0.94888894602200002</v>
      </c>
      <c r="F20" s="479">
        <v>418.00750812782002</v>
      </c>
      <c r="G20" s="480">
        <v>313.505631095865</v>
      </c>
      <c r="H20" s="482">
        <v>22.437000000000001</v>
      </c>
      <c r="I20" s="479">
        <v>342.75200000000001</v>
      </c>
      <c r="J20" s="480">
        <v>29.246368904135</v>
      </c>
      <c r="K20" s="483">
        <v>0.81996613298900001</v>
      </c>
    </row>
    <row r="21" spans="1:11" ht="14.4" customHeight="1" thickBot="1" x14ac:dyDescent="0.35">
      <c r="A21" s="501" t="s">
        <v>234</v>
      </c>
      <c r="B21" s="479">
        <v>20.000038795774</v>
      </c>
      <c r="C21" s="479">
        <v>6.5750000000000002</v>
      </c>
      <c r="D21" s="480">
        <v>-13.425038795774</v>
      </c>
      <c r="E21" s="481">
        <v>0.32874936229500001</v>
      </c>
      <c r="F21" s="479">
        <v>7.0001257341969998</v>
      </c>
      <c r="G21" s="480">
        <v>5.2500943006479996</v>
      </c>
      <c r="H21" s="482">
        <v>4.9406564584124654E-324</v>
      </c>
      <c r="I21" s="479">
        <v>11.227</v>
      </c>
      <c r="J21" s="480">
        <v>5.9769056993509997</v>
      </c>
      <c r="K21" s="483">
        <v>1.6038283348469999</v>
      </c>
    </row>
    <row r="22" spans="1:11" ht="14.4" customHeight="1" thickBot="1" x14ac:dyDescent="0.35">
      <c r="A22" s="500" t="s">
        <v>235</v>
      </c>
      <c r="B22" s="484">
        <v>4608.7292025030702</v>
      </c>
      <c r="C22" s="484">
        <v>3021.5945299999998</v>
      </c>
      <c r="D22" s="485">
        <v>-1587.1346725030701</v>
      </c>
      <c r="E22" s="486">
        <v>0.65562422898600003</v>
      </c>
      <c r="F22" s="484">
        <v>3691.1343979625299</v>
      </c>
      <c r="G22" s="485">
        <v>2768.3507984718999</v>
      </c>
      <c r="H22" s="487">
        <v>313.71987999999999</v>
      </c>
      <c r="I22" s="484">
        <v>2676.6263300000001</v>
      </c>
      <c r="J22" s="485">
        <v>-91.724468471899002</v>
      </c>
      <c r="K22" s="490">
        <v>0.72515005995899995</v>
      </c>
    </row>
    <row r="23" spans="1:11" ht="14.4" customHeight="1" thickBot="1" x14ac:dyDescent="0.35">
      <c r="A23" s="501" t="s">
        <v>236</v>
      </c>
      <c r="B23" s="479">
        <v>421.55349461777502</v>
      </c>
      <c r="C23" s="479">
        <v>401.66703000000001</v>
      </c>
      <c r="D23" s="480">
        <v>-19.886464617773999</v>
      </c>
      <c r="E23" s="481">
        <v>0.95282576263300001</v>
      </c>
      <c r="F23" s="479">
        <v>381.54791872101401</v>
      </c>
      <c r="G23" s="480">
        <v>286.16093904076001</v>
      </c>
      <c r="H23" s="482">
        <v>24.317810000000001</v>
      </c>
      <c r="I23" s="479">
        <v>257.01985000000002</v>
      </c>
      <c r="J23" s="480">
        <v>-29.141089040760001</v>
      </c>
      <c r="K23" s="483">
        <v>0.67362403878699995</v>
      </c>
    </row>
    <row r="24" spans="1:11" ht="14.4" customHeight="1" thickBot="1" x14ac:dyDescent="0.35">
      <c r="A24" s="501" t="s">
        <v>237</v>
      </c>
      <c r="B24" s="479">
        <v>14.999879096839001</v>
      </c>
      <c r="C24" s="479">
        <v>8.8576999999999995</v>
      </c>
      <c r="D24" s="480">
        <v>-6.1421790968390004</v>
      </c>
      <c r="E24" s="481">
        <v>0.59051809303299996</v>
      </c>
      <c r="F24" s="479">
        <v>14.249097475491</v>
      </c>
      <c r="G24" s="480">
        <v>10.686823106618</v>
      </c>
      <c r="H24" s="482">
        <v>0.10174</v>
      </c>
      <c r="I24" s="479">
        <v>4.0221400000000003</v>
      </c>
      <c r="J24" s="480">
        <v>-6.6646831066179999</v>
      </c>
      <c r="K24" s="483">
        <v>0.28227331639199998</v>
      </c>
    </row>
    <row r="25" spans="1:11" ht="14.4" customHeight="1" thickBot="1" x14ac:dyDescent="0.35">
      <c r="A25" s="501" t="s">
        <v>238</v>
      </c>
      <c r="B25" s="479">
        <v>248.55334503431499</v>
      </c>
      <c r="C25" s="479">
        <v>229.59038000000001</v>
      </c>
      <c r="D25" s="480">
        <v>-18.962965034313999</v>
      </c>
      <c r="E25" s="481">
        <v>0.92370665930200002</v>
      </c>
      <c r="F25" s="479">
        <v>226.22511154199199</v>
      </c>
      <c r="G25" s="480">
        <v>169.668833656494</v>
      </c>
      <c r="H25" s="482">
        <v>18.429400000000001</v>
      </c>
      <c r="I25" s="479">
        <v>125.69372</v>
      </c>
      <c r="J25" s="480">
        <v>-43.975113656494003</v>
      </c>
      <c r="K25" s="483">
        <v>0.555613473425</v>
      </c>
    </row>
    <row r="26" spans="1:11" ht="14.4" customHeight="1" thickBot="1" x14ac:dyDescent="0.35">
      <c r="A26" s="501" t="s">
        <v>239</v>
      </c>
      <c r="B26" s="479">
        <v>3375.9997567271398</v>
      </c>
      <c r="C26" s="479">
        <v>2094.3169499999999</v>
      </c>
      <c r="D26" s="480">
        <v>-1281.6828067271399</v>
      </c>
      <c r="E26" s="481">
        <v>0.62035459150299999</v>
      </c>
      <c r="F26" s="479">
        <v>2603.88097137877</v>
      </c>
      <c r="G26" s="480">
        <v>1952.9107285340799</v>
      </c>
      <c r="H26" s="482">
        <v>243.33814000000001</v>
      </c>
      <c r="I26" s="479">
        <v>2030.51287</v>
      </c>
      <c r="J26" s="480">
        <v>77.602141465919999</v>
      </c>
      <c r="K26" s="483">
        <v>0.77980249186399997</v>
      </c>
    </row>
    <row r="27" spans="1:11" ht="14.4" customHeight="1" thickBot="1" x14ac:dyDescent="0.35">
      <c r="A27" s="501" t="s">
        <v>240</v>
      </c>
      <c r="B27" s="479">
        <v>93.999954340152996</v>
      </c>
      <c r="C27" s="479">
        <v>68.883849999999995</v>
      </c>
      <c r="D27" s="480">
        <v>-25.116104340153001</v>
      </c>
      <c r="E27" s="481">
        <v>0.73280727084899999</v>
      </c>
      <c r="F27" s="479">
        <v>86.859171225549005</v>
      </c>
      <c r="G27" s="480">
        <v>65.144378419161995</v>
      </c>
      <c r="H27" s="482">
        <v>9.6699000000000002</v>
      </c>
      <c r="I27" s="479">
        <v>55.67286</v>
      </c>
      <c r="J27" s="480">
        <v>-9.4715184191620008</v>
      </c>
      <c r="K27" s="483">
        <v>0.64095545944599996</v>
      </c>
    </row>
    <row r="28" spans="1:11" ht="14.4" customHeight="1" thickBot="1" x14ac:dyDescent="0.35">
      <c r="A28" s="501" t="s">
        <v>241</v>
      </c>
      <c r="B28" s="479">
        <v>9.9999593978900005</v>
      </c>
      <c r="C28" s="479">
        <v>5.3608700000000002</v>
      </c>
      <c r="D28" s="480">
        <v>-4.6390893978900003</v>
      </c>
      <c r="E28" s="481">
        <v>0.536089176635</v>
      </c>
      <c r="F28" s="479">
        <v>9.5001873979690004</v>
      </c>
      <c r="G28" s="480">
        <v>7.1251405484769998</v>
      </c>
      <c r="H28" s="482">
        <v>0.66688999999999998</v>
      </c>
      <c r="I28" s="479">
        <v>6.6688900000000002</v>
      </c>
      <c r="J28" s="480">
        <v>-0.45625054847699997</v>
      </c>
      <c r="K28" s="483">
        <v>0.70197457382999995</v>
      </c>
    </row>
    <row r="29" spans="1:11" ht="14.4" customHeight="1" thickBot="1" x14ac:dyDescent="0.35">
      <c r="A29" s="501" t="s">
        <v>242</v>
      </c>
      <c r="B29" s="479">
        <v>8.9998794581059993</v>
      </c>
      <c r="C29" s="479">
        <v>6.0062600000000002</v>
      </c>
      <c r="D29" s="480">
        <v>-2.9936194581060001</v>
      </c>
      <c r="E29" s="481">
        <v>0.66737116068699998</v>
      </c>
      <c r="F29" s="479">
        <v>8.5511177046690001</v>
      </c>
      <c r="G29" s="480">
        <v>6.4133382785009996</v>
      </c>
      <c r="H29" s="482">
        <v>0.77800000000000002</v>
      </c>
      <c r="I29" s="479">
        <v>5.8205400000000003</v>
      </c>
      <c r="J29" s="480">
        <v>-0.59279827850099998</v>
      </c>
      <c r="K29" s="483">
        <v>0.68067593044800001</v>
      </c>
    </row>
    <row r="30" spans="1:11" ht="14.4" customHeight="1" thickBot="1" x14ac:dyDescent="0.35">
      <c r="A30" s="501" t="s">
        <v>243</v>
      </c>
      <c r="B30" s="479">
        <v>154.999910667276</v>
      </c>
      <c r="C30" s="479">
        <v>108.45824</v>
      </c>
      <c r="D30" s="480">
        <v>-46.541670667275</v>
      </c>
      <c r="E30" s="481">
        <v>0.69973098392800004</v>
      </c>
      <c r="F30" s="479">
        <v>150.77807599120899</v>
      </c>
      <c r="G30" s="480">
        <v>113.083556993407</v>
      </c>
      <c r="H30" s="482">
        <v>12.304</v>
      </c>
      <c r="I30" s="479">
        <v>110.9276</v>
      </c>
      <c r="J30" s="480">
        <v>-2.1559569934059999</v>
      </c>
      <c r="K30" s="483">
        <v>0.73570112412400002</v>
      </c>
    </row>
    <row r="31" spans="1:11" ht="14.4" customHeight="1" thickBot="1" x14ac:dyDescent="0.35">
      <c r="A31" s="501" t="s">
        <v>244</v>
      </c>
      <c r="B31" s="479">
        <v>279.62302316357301</v>
      </c>
      <c r="C31" s="479">
        <v>98.453249999999997</v>
      </c>
      <c r="D31" s="480">
        <v>-181.16977316357301</v>
      </c>
      <c r="E31" s="481">
        <v>0.352092788662</v>
      </c>
      <c r="F31" s="479">
        <v>209.542746525865</v>
      </c>
      <c r="G31" s="480">
        <v>157.157059894399</v>
      </c>
      <c r="H31" s="482">
        <v>4.1139999999999999</v>
      </c>
      <c r="I31" s="479">
        <v>80.071749999999994</v>
      </c>
      <c r="J31" s="480">
        <v>-77.085309894399003</v>
      </c>
      <c r="K31" s="483">
        <v>0.38212608800600001</v>
      </c>
    </row>
    <row r="32" spans="1:11" ht="14.4" customHeight="1" thickBot="1" x14ac:dyDescent="0.35">
      <c r="A32" s="501" t="s">
        <v>245</v>
      </c>
      <c r="B32" s="479">
        <v>4.9406564584124654E-324</v>
      </c>
      <c r="C32" s="479">
        <v>4.9406564584124654E-324</v>
      </c>
      <c r="D32" s="480">
        <v>0</v>
      </c>
      <c r="E32" s="481">
        <v>1</v>
      </c>
      <c r="F32" s="479">
        <v>4.9406564584124654E-324</v>
      </c>
      <c r="G32" s="480">
        <v>0</v>
      </c>
      <c r="H32" s="482">
        <v>4.9406564584124654E-324</v>
      </c>
      <c r="I32" s="479">
        <v>0.21611</v>
      </c>
      <c r="J32" s="480">
        <v>0.21611</v>
      </c>
      <c r="K32" s="489" t="s">
        <v>222</v>
      </c>
    </row>
    <row r="33" spans="1:11" ht="14.4" customHeight="1" thickBot="1" x14ac:dyDescent="0.35">
      <c r="A33" s="500" t="s">
        <v>246</v>
      </c>
      <c r="B33" s="484">
        <v>322.999980551796</v>
      </c>
      <c r="C33" s="484">
        <v>301.06785000000002</v>
      </c>
      <c r="D33" s="485">
        <v>-21.932130551796</v>
      </c>
      <c r="E33" s="486">
        <v>0.93209866293300003</v>
      </c>
      <c r="F33" s="484">
        <v>288.373608804215</v>
      </c>
      <c r="G33" s="485">
        <v>216.28020660316099</v>
      </c>
      <c r="H33" s="487">
        <v>29.385770000000001</v>
      </c>
      <c r="I33" s="484">
        <v>218.09863000000001</v>
      </c>
      <c r="J33" s="485">
        <v>1.8184233968379999</v>
      </c>
      <c r="K33" s="490">
        <v>0.75630578992399999</v>
      </c>
    </row>
    <row r="34" spans="1:11" ht="14.4" customHeight="1" thickBot="1" x14ac:dyDescent="0.35">
      <c r="A34" s="501" t="s">
        <v>247</v>
      </c>
      <c r="B34" s="479">
        <v>50.000036989439003</v>
      </c>
      <c r="C34" s="479">
        <v>56.878970000000002</v>
      </c>
      <c r="D34" s="480">
        <v>6.8789330105599999</v>
      </c>
      <c r="E34" s="481">
        <v>1.137578558432</v>
      </c>
      <c r="F34" s="479">
        <v>49.699651985334</v>
      </c>
      <c r="G34" s="480">
        <v>37.274738988999999</v>
      </c>
      <c r="H34" s="482">
        <v>4.5854799999999996</v>
      </c>
      <c r="I34" s="479">
        <v>43.036119999999997</v>
      </c>
      <c r="J34" s="480">
        <v>5.761381010999</v>
      </c>
      <c r="K34" s="483">
        <v>0.86592397090999995</v>
      </c>
    </row>
    <row r="35" spans="1:11" ht="14.4" customHeight="1" thickBot="1" x14ac:dyDescent="0.35">
      <c r="A35" s="501" t="s">
        <v>248</v>
      </c>
      <c r="B35" s="479">
        <v>14.999999096831999</v>
      </c>
      <c r="C35" s="479">
        <v>22.118200000000002</v>
      </c>
      <c r="D35" s="480">
        <v>7.1182009031669997</v>
      </c>
      <c r="E35" s="481">
        <v>1.47454675545</v>
      </c>
      <c r="F35" s="479">
        <v>17.999377194344</v>
      </c>
      <c r="G35" s="480">
        <v>13.499532895758</v>
      </c>
      <c r="H35" s="482">
        <v>2.1594000000000002</v>
      </c>
      <c r="I35" s="479">
        <v>15.65427</v>
      </c>
      <c r="J35" s="480">
        <v>2.1547371042410002</v>
      </c>
      <c r="K35" s="483">
        <v>0.86971175896599995</v>
      </c>
    </row>
    <row r="36" spans="1:11" ht="14.4" customHeight="1" thickBot="1" x14ac:dyDescent="0.35">
      <c r="A36" s="501" t="s">
        <v>249</v>
      </c>
      <c r="B36" s="479">
        <v>257.99994446552398</v>
      </c>
      <c r="C36" s="479">
        <v>220.31464</v>
      </c>
      <c r="D36" s="480">
        <v>-37.685304465523998</v>
      </c>
      <c r="E36" s="481">
        <v>0.85393289698700003</v>
      </c>
      <c r="F36" s="479">
        <v>220.67457962453599</v>
      </c>
      <c r="G36" s="480">
        <v>165.50593471840199</v>
      </c>
      <c r="H36" s="482">
        <v>22.640889999999999</v>
      </c>
      <c r="I36" s="479">
        <v>156.10261</v>
      </c>
      <c r="J36" s="480">
        <v>-9.4033247184020006</v>
      </c>
      <c r="K36" s="483">
        <v>0.70738827401600002</v>
      </c>
    </row>
    <row r="37" spans="1:11" ht="14.4" customHeight="1" thickBot="1" x14ac:dyDescent="0.35">
      <c r="A37" s="501" t="s">
        <v>250</v>
      </c>
      <c r="B37" s="479">
        <v>4.9406564584124654E-324</v>
      </c>
      <c r="C37" s="479">
        <v>1.75604</v>
      </c>
      <c r="D37" s="480">
        <v>1.75604</v>
      </c>
      <c r="E37" s="491" t="s">
        <v>222</v>
      </c>
      <c r="F37" s="479">
        <v>0</v>
      </c>
      <c r="G37" s="480">
        <v>0</v>
      </c>
      <c r="H37" s="482">
        <v>4.9406564584124654E-324</v>
      </c>
      <c r="I37" s="479">
        <v>3.3056299999999998</v>
      </c>
      <c r="J37" s="480">
        <v>3.3056299999999998</v>
      </c>
      <c r="K37" s="489" t="s">
        <v>216</v>
      </c>
    </row>
    <row r="38" spans="1:11" ht="14.4" customHeight="1" thickBot="1" x14ac:dyDescent="0.35">
      <c r="A38" s="500" t="s">
        <v>251</v>
      </c>
      <c r="B38" s="484">
        <v>738.89275551040998</v>
      </c>
      <c r="C38" s="484">
        <v>718.65359999999998</v>
      </c>
      <c r="D38" s="485">
        <v>-20.239155510408999</v>
      </c>
      <c r="E38" s="486">
        <v>0.97260880505299996</v>
      </c>
      <c r="F38" s="484">
        <v>565.81749307375003</v>
      </c>
      <c r="G38" s="485">
        <v>424.36311980531298</v>
      </c>
      <c r="H38" s="487">
        <v>62.332140000000003</v>
      </c>
      <c r="I38" s="484">
        <v>537.73095999999998</v>
      </c>
      <c r="J38" s="485">
        <v>113.36784019468701</v>
      </c>
      <c r="K38" s="490">
        <v>0.950361143977</v>
      </c>
    </row>
    <row r="39" spans="1:11" ht="14.4" customHeight="1" thickBot="1" x14ac:dyDescent="0.35">
      <c r="A39" s="501" t="s">
        <v>252</v>
      </c>
      <c r="B39" s="479">
        <v>135.999951811285</v>
      </c>
      <c r="C39" s="479">
        <v>115.6494</v>
      </c>
      <c r="D39" s="480">
        <v>-20.350551811285001</v>
      </c>
      <c r="E39" s="481">
        <v>0.85036353660200004</v>
      </c>
      <c r="F39" s="479">
        <v>114.79557481861499</v>
      </c>
      <c r="G39" s="480">
        <v>86.096681113960997</v>
      </c>
      <c r="H39" s="482">
        <v>0</v>
      </c>
      <c r="I39" s="479">
        <v>74.499340000000004</v>
      </c>
      <c r="J39" s="480">
        <v>-11.597341113961001</v>
      </c>
      <c r="K39" s="483">
        <v>0.648973970623</v>
      </c>
    </row>
    <row r="40" spans="1:11" ht="14.4" customHeight="1" thickBot="1" x14ac:dyDescent="0.35">
      <c r="A40" s="501" t="s">
        <v>253</v>
      </c>
      <c r="B40" s="479">
        <v>23.999998554931999</v>
      </c>
      <c r="C40" s="479">
        <v>26.395479999999999</v>
      </c>
      <c r="D40" s="480">
        <v>2.3954814450669999</v>
      </c>
      <c r="E40" s="481">
        <v>1.0998117328870001</v>
      </c>
      <c r="F40" s="479">
        <v>24.793124885484001</v>
      </c>
      <c r="G40" s="480">
        <v>18.594843664113</v>
      </c>
      <c r="H40" s="482">
        <v>1.5705199999999999</v>
      </c>
      <c r="I40" s="479">
        <v>14.764480000000001</v>
      </c>
      <c r="J40" s="480">
        <v>-3.8303636641129999</v>
      </c>
      <c r="K40" s="483">
        <v>0.59550702334500005</v>
      </c>
    </row>
    <row r="41" spans="1:11" ht="14.4" customHeight="1" thickBot="1" x14ac:dyDescent="0.35">
      <c r="A41" s="501" t="s">
        <v>254</v>
      </c>
      <c r="B41" s="479">
        <v>381.999936999341</v>
      </c>
      <c r="C41" s="479">
        <v>434.92259000000001</v>
      </c>
      <c r="D41" s="480">
        <v>52.922653000658997</v>
      </c>
      <c r="E41" s="481">
        <v>1.13854099929</v>
      </c>
      <c r="F41" s="479">
        <v>290.34173156948799</v>
      </c>
      <c r="G41" s="480">
        <v>217.75629867711601</v>
      </c>
      <c r="H41" s="482">
        <v>35.405470000000001</v>
      </c>
      <c r="I41" s="479">
        <v>275.56412999999998</v>
      </c>
      <c r="J41" s="480">
        <v>57.807831322883999</v>
      </c>
      <c r="K41" s="483">
        <v>0.94910272977400001</v>
      </c>
    </row>
    <row r="42" spans="1:11" ht="14.4" customHeight="1" thickBot="1" x14ac:dyDescent="0.35">
      <c r="A42" s="501" t="s">
        <v>255</v>
      </c>
      <c r="B42" s="479">
        <v>103.999913738045</v>
      </c>
      <c r="C42" s="479">
        <v>83.435000000000002</v>
      </c>
      <c r="D42" s="480">
        <v>-20.564913738044002</v>
      </c>
      <c r="E42" s="481">
        <v>0.80226028081199996</v>
      </c>
      <c r="F42" s="479">
        <v>83.315174514421003</v>
      </c>
      <c r="G42" s="480">
        <v>62.486380885815002</v>
      </c>
      <c r="H42" s="482">
        <v>4.0415299999999998</v>
      </c>
      <c r="I42" s="479">
        <v>39.04515</v>
      </c>
      <c r="J42" s="480">
        <v>-23.441230885814999</v>
      </c>
      <c r="K42" s="483">
        <v>0.46864392024000001</v>
      </c>
    </row>
    <row r="43" spans="1:11" ht="14.4" customHeight="1" thickBot="1" x14ac:dyDescent="0.35">
      <c r="A43" s="501" t="s">
        <v>256</v>
      </c>
      <c r="B43" s="479">
        <v>3.3332397993009999</v>
      </c>
      <c r="C43" s="479">
        <v>8.3736200000000007</v>
      </c>
      <c r="D43" s="480">
        <v>5.0403802006980003</v>
      </c>
      <c r="E43" s="481">
        <v>2.5121564916370001</v>
      </c>
      <c r="F43" s="479">
        <v>8.1660706939949996</v>
      </c>
      <c r="G43" s="480">
        <v>6.1245530204960001</v>
      </c>
      <c r="H43" s="482">
        <v>4.9406564584124654E-324</v>
      </c>
      <c r="I43" s="479">
        <v>5.2218200000000001</v>
      </c>
      <c r="J43" s="480">
        <v>-0.90273302049600002</v>
      </c>
      <c r="K43" s="483">
        <v>0.63945319550500002</v>
      </c>
    </row>
    <row r="44" spans="1:11" ht="14.4" customHeight="1" thickBot="1" x14ac:dyDescent="0.35">
      <c r="A44" s="501" t="s">
        <v>257</v>
      </c>
      <c r="B44" s="479">
        <v>13.749839172106</v>
      </c>
      <c r="C44" s="479">
        <v>4.7329400000000001</v>
      </c>
      <c r="D44" s="480">
        <v>-9.0168991721059992</v>
      </c>
      <c r="E44" s="481">
        <v>0.344217844351</v>
      </c>
      <c r="F44" s="479">
        <v>4.2079020961770004</v>
      </c>
      <c r="G44" s="480">
        <v>3.1559265721330001</v>
      </c>
      <c r="H44" s="482">
        <v>4.86965</v>
      </c>
      <c r="I44" s="479">
        <v>7.0986000000000002</v>
      </c>
      <c r="J44" s="480">
        <v>3.9426734278660001</v>
      </c>
      <c r="K44" s="483">
        <v>1.6869689070110001</v>
      </c>
    </row>
    <row r="45" spans="1:11" ht="14.4" customHeight="1" thickBot="1" x14ac:dyDescent="0.35">
      <c r="A45" s="501" t="s">
        <v>258</v>
      </c>
      <c r="B45" s="479">
        <v>9.8098794093350001</v>
      </c>
      <c r="C45" s="479">
        <v>3.4017599999999999</v>
      </c>
      <c r="D45" s="480">
        <v>-6.4081194093349998</v>
      </c>
      <c r="E45" s="481">
        <v>0.34676878869299999</v>
      </c>
      <c r="F45" s="479">
        <v>1.9991892566580001</v>
      </c>
      <c r="G45" s="480">
        <v>1.499391942493</v>
      </c>
      <c r="H45" s="482">
        <v>4.9406564584124654E-324</v>
      </c>
      <c r="I45" s="479">
        <v>0.55900000000000005</v>
      </c>
      <c r="J45" s="480">
        <v>-0.94039194249299995</v>
      </c>
      <c r="K45" s="483">
        <v>0.27961334732900001</v>
      </c>
    </row>
    <row r="46" spans="1:11" ht="14.4" customHeight="1" thickBot="1" x14ac:dyDescent="0.35">
      <c r="A46" s="501" t="s">
        <v>259</v>
      </c>
      <c r="B46" s="479">
        <v>4.9406564584124654E-324</v>
      </c>
      <c r="C46" s="479">
        <v>0.1091</v>
      </c>
      <c r="D46" s="480">
        <v>0.1091</v>
      </c>
      <c r="E46" s="491" t="s">
        <v>222</v>
      </c>
      <c r="F46" s="479">
        <v>4.2392169395999997E-2</v>
      </c>
      <c r="G46" s="480">
        <v>3.1794127047E-2</v>
      </c>
      <c r="H46" s="482">
        <v>4.9406564584124654E-324</v>
      </c>
      <c r="I46" s="479">
        <v>4.4465908125712189E-323</v>
      </c>
      <c r="J46" s="480">
        <v>-3.1794127047E-2</v>
      </c>
      <c r="K46" s="483">
        <v>1.0474191691834427E-321</v>
      </c>
    </row>
    <row r="47" spans="1:11" ht="14.4" customHeight="1" thickBot="1" x14ac:dyDescent="0.35">
      <c r="A47" s="501" t="s">
        <v>260</v>
      </c>
      <c r="B47" s="479">
        <v>14.999999096831999</v>
      </c>
      <c r="C47" s="479">
        <v>9.7757100000000001</v>
      </c>
      <c r="D47" s="480">
        <v>-5.2242890968319999</v>
      </c>
      <c r="E47" s="481">
        <v>0.65171403924000004</v>
      </c>
      <c r="F47" s="479">
        <v>9.8511748773630003</v>
      </c>
      <c r="G47" s="480">
        <v>7.3883811580219998</v>
      </c>
      <c r="H47" s="482">
        <v>4.9406564584124654E-324</v>
      </c>
      <c r="I47" s="479">
        <v>7.8166000000000002</v>
      </c>
      <c r="J47" s="480">
        <v>0.428218841977</v>
      </c>
      <c r="K47" s="483">
        <v>0.79346880928499997</v>
      </c>
    </row>
    <row r="48" spans="1:11" ht="14.4" customHeight="1" thickBot="1" x14ac:dyDescent="0.35">
      <c r="A48" s="501" t="s">
        <v>261</v>
      </c>
      <c r="B48" s="479">
        <v>50.999996929231003</v>
      </c>
      <c r="C48" s="479">
        <v>31.858000000000001</v>
      </c>
      <c r="D48" s="480">
        <v>-19.141996929230999</v>
      </c>
      <c r="E48" s="481">
        <v>0.62466670427799997</v>
      </c>
      <c r="F48" s="479">
        <v>28.30515819215</v>
      </c>
      <c r="G48" s="480">
        <v>21.228868644112001</v>
      </c>
      <c r="H48" s="482">
        <v>6.9589600000000003</v>
      </c>
      <c r="I48" s="479">
        <v>38.842979999999997</v>
      </c>
      <c r="J48" s="480">
        <v>17.614111355887001</v>
      </c>
      <c r="K48" s="483">
        <v>1.3722933373590001</v>
      </c>
    </row>
    <row r="49" spans="1:11" ht="14.4" customHeight="1" thickBot="1" x14ac:dyDescent="0.35">
      <c r="A49" s="501" t="s">
        <v>262</v>
      </c>
      <c r="B49" s="479">
        <v>4.9406564584124654E-324</v>
      </c>
      <c r="C49" s="479">
        <v>4.9406564584124654E-324</v>
      </c>
      <c r="D49" s="480">
        <v>0</v>
      </c>
      <c r="E49" s="481">
        <v>1</v>
      </c>
      <c r="F49" s="479">
        <v>4.9406564584124654E-324</v>
      </c>
      <c r="G49" s="480">
        <v>0</v>
      </c>
      <c r="H49" s="482">
        <v>4.9406564584124654E-324</v>
      </c>
      <c r="I49" s="479">
        <v>2.87</v>
      </c>
      <c r="J49" s="480">
        <v>2.87</v>
      </c>
      <c r="K49" s="489" t="s">
        <v>222</v>
      </c>
    </row>
    <row r="50" spans="1:11" ht="14.4" customHeight="1" thickBot="1" x14ac:dyDescent="0.35">
      <c r="A50" s="501" t="s">
        <v>263</v>
      </c>
      <c r="B50" s="479">
        <v>4.9406564584124654E-324</v>
      </c>
      <c r="C50" s="479">
        <v>4.9406564584124654E-324</v>
      </c>
      <c r="D50" s="480">
        <v>0</v>
      </c>
      <c r="E50" s="481">
        <v>1</v>
      </c>
      <c r="F50" s="479">
        <v>4.9406564584124654E-324</v>
      </c>
      <c r="G50" s="480">
        <v>0</v>
      </c>
      <c r="H50" s="482">
        <v>4.9406564584124654E-324</v>
      </c>
      <c r="I50" s="479">
        <v>0.69</v>
      </c>
      <c r="J50" s="480">
        <v>0.69</v>
      </c>
      <c r="K50" s="489" t="s">
        <v>222</v>
      </c>
    </row>
    <row r="51" spans="1:11" ht="14.4" customHeight="1" thickBot="1" x14ac:dyDescent="0.35">
      <c r="A51" s="501" t="s">
        <v>264</v>
      </c>
      <c r="B51" s="479">
        <v>4.9406564584124654E-324</v>
      </c>
      <c r="C51" s="479">
        <v>4.9406564584124654E-324</v>
      </c>
      <c r="D51" s="480">
        <v>0</v>
      </c>
      <c r="E51" s="481">
        <v>1</v>
      </c>
      <c r="F51" s="479">
        <v>4.9406564584124654E-324</v>
      </c>
      <c r="G51" s="480">
        <v>0</v>
      </c>
      <c r="H51" s="482">
        <v>4.9406564584124654E-324</v>
      </c>
      <c r="I51" s="479">
        <v>1.24217</v>
      </c>
      <c r="J51" s="480">
        <v>1.24217</v>
      </c>
      <c r="K51" s="489" t="s">
        <v>222</v>
      </c>
    </row>
    <row r="52" spans="1:11" ht="14.4" customHeight="1" thickBot="1" x14ac:dyDescent="0.35">
      <c r="A52" s="501" t="s">
        <v>265</v>
      </c>
      <c r="B52" s="479">
        <v>4.9406564584124654E-324</v>
      </c>
      <c r="C52" s="479">
        <v>4.9406564584124654E-324</v>
      </c>
      <c r="D52" s="480">
        <v>0</v>
      </c>
      <c r="E52" s="481">
        <v>1</v>
      </c>
      <c r="F52" s="479">
        <v>4.9406564584124654E-324</v>
      </c>
      <c r="G52" s="480">
        <v>0</v>
      </c>
      <c r="H52" s="482">
        <v>4.9406564584124654E-324</v>
      </c>
      <c r="I52" s="479">
        <v>0.60370000000000001</v>
      </c>
      <c r="J52" s="480">
        <v>0.60370000000000001</v>
      </c>
      <c r="K52" s="489" t="s">
        <v>222</v>
      </c>
    </row>
    <row r="53" spans="1:11" ht="14.4" customHeight="1" thickBot="1" x14ac:dyDescent="0.35">
      <c r="A53" s="501" t="s">
        <v>266</v>
      </c>
      <c r="B53" s="479">
        <v>4.9406564584124654E-324</v>
      </c>
      <c r="C53" s="479">
        <v>4.9406564584124654E-324</v>
      </c>
      <c r="D53" s="480">
        <v>0</v>
      </c>
      <c r="E53" s="481">
        <v>1</v>
      </c>
      <c r="F53" s="479">
        <v>4.9406564584124654E-324</v>
      </c>
      <c r="G53" s="480">
        <v>0</v>
      </c>
      <c r="H53" s="482">
        <v>9.4860100000000003</v>
      </c>
      <c r="I53" s="479">
        <v>65.958730000000003</v>
      </c>
      <c r="J53" s="480">
        <v>65.958730000000003</v>
      </c>
      <c r="K53" s="489" t="s">
        <v>222</v>
      </c>
    </row>
    <row r="54" spans="1:11" ht="14.4" customHeight="1" thickBot="1" x14ac:dyDescent="0.35">
      <c r="A54" s="501" t="s">
        <v>267</v>
      </c>
      <c r="B54" s="479">
        <v>4.9406564584124654E-324</v>
      </c>
      <c r="C54" s="479">
        <v>4.9406564584124654E-324</v>
      </c>
      <c r="D54" s="480">
        <v>0</v>
      </c>
      <c r="E54" s="481">
        <v>1</v>
      </c>
      <c r="F54" s="479">
        <v>4.9406564584124654E-324</v>
      </c>
      <c r="G54" s="480">
        <v>0</v>
      </c>
      <c r="H54" s="482">
        <v>4.9406564584124654E-324</v>
      </c>
      <c r="I54" s="479">
        <v>2.9542600000000001</v>
      </c>
      <c r="J54" s="480">
        <v>2.9542600000000001</v>
      </c>
      <c r="K54" s="489" t="s">
        <v>222</v>
      </c>
    </row>
    <row r="55" spans="1:11" ht="14.4" customHeight="1" thickBot="1" x14ac:dyDescent="0.35">
      <c r="A55" s="500" t="s">
        <v>268</v>
      </c>
      <c r="B55" s="484">
        <v>568.76168575419899</v>
      </c>
      <c r="C55" s="484">
        <v>346.31732</v>
      </c>
      <c r="D55" s="485">
        <v>-222.444365754199</v>
      </c>
      <c r="E55" s="486">
        <v>0.60889706299500002</v>
      </c>
      <c r="F55" s="484">
        <v>354.10928373885798</v>
      </c>
      <c r="G55" s="485">
        <v>265.58196280414398</v>
      </c>
      <c r="H55" s="487">
        <v>36.840989999999998</v>
      </c>
      <c r="I55" s="484">
        <v>246.26573999999999</v>
      </c>
      <c r="J55" s="485">
        <v>-19.316222804142999</v>
      </c>
      <c r="K55" s="490">
        <v>0.69545123866699998</v>
      </c>
    </row>
    <row r="56" spans="1:11" ht="14.4" customHeight="1" thickBot="1" x14ac:dyDescent="0.35">
      <c r="A56" s="501" t="s">
        <v>269</v>
      </c>
      <c r="B56" s="479">
        <v>0.99995993979099995</v>
      </c>
      <c r="C56" s="479">
        <v>2.0766</v>
      </c>
      <c r="D56" s="480">
        <v>1.076640060208</v>
      </c>
      <c r="E56" s="481">
        <v>2.0766831923620002</v>
      </c>
      <c r="F56" s="479">
        <v>2.9991813749170002</v>
      </c>
      <c r="G56" s="480">
        <v>2.249386031187</v>
      </c>
      <c r="H56" s="482">
        <v>4.9406564584124654E-324</v>
      </c>
      <c r="I56" s="479">
        <v>4.4465908125712189E-323</v>
      </c>
      <c r="J56" s="480">
        <v>-2.249386031187</v>
      </c>
      <c r="K56" s="483">
        <v>1.4821969375237396E-323</v>
      </c>
    </row>
    <row r="57" spans="1:11" ht="14.4" customHeight="1" thickBot="1" x14ac:dyDescent="0.35">
      <c r="A57" s="501" t="s">
        <v>270</v>
      </c>
      <c r="B57" s="479">
        <v>20.000038795774</v>
      </c>
      <c r="C57" s="479">
        <v>3.9129999999999998</v>
      </c>
      <c r="D57" s="480">
        <v>-16.087038795773999</v>
      </c>
      <c r="E57" s="481">
        <v>0.19564962048099999</v>
      </c>
      <c r="F57" s="479">
        <v>3.8455745073699998</v>
      </c>
      <c r="G57" s="480">
        <v>2.884180880528</v>
      </c>
      <c r="H57" s="482">
        <v>4.9406564584124654E-324</v>
      </c>
      <c r="I57" s="479">
        <v>5.4050000000000002</v>
      </c>
      <c r="J57" s="480">
        <v>2.5208191194710001</v>
      </c>
      <c r="K57" s="483">
        <v>1.405511709535</v>
      </c>
    </row>
    <row r="58" spans="1:11" ht="14.4" customHeight="1" thickBot="1" x14ac:dyDescent="0.35">
      <c r="A58" s="501" t="s">
        <v>271</v>
      </c>
      <c r="B58" s="479">
        <v>544.61528720808201</v>
      </c>
      <c r="C58" s="479">
        <v>336.78145999999998</v>
      </c>
      <c r="D58" s="480">
        <v>-207.833827208082</v>
      </c>
      <c r="E58" s="481">
        <v>0.61838414732400004</v>
      </c>
      <c r="F58" s="479">
        <v>343.56009922587401</v>
      </c>
      <c r="G58" s="480">
        <v>257.67007441940598</v>
      </c>
      <c r="H58" s="482">
        <v>36.781489999999998</v>
      </c>
      <c r="I58" s="479">
        <v>236.54225</v>
      </c>
      <c r="J58" s="480">
        <v>-21.127824419404998</v>
      </c>
      <c r="K58" s="483">
        <v>0.688503264881</v>
      </c>
    </row>
    <row r="59" spans="1:11" ht="14.4" customHeight="1" thickBot="1" x14ac:dyDescent="0.35">
      <c r="A59" s="501" t="s">
        <v>272</v>
      </c>
      <c r="B59" s="479">
        <v>3.1463998105509998</v>
      </c>
      <c r="C59" s="479">
        <v>3.5462600000000002</v>
      </c>
      <c r="D59" s="480">
        <v>0.399860189448</v>
      </c>
      <c r="E59" s="481">
        <v>1.1270849903139999</v>
      </c>
      <c r="F59" s="479">
        <v>3.7044286306949998</v>
      </c>
      <c r="G59" s="480">
        <v>2.7783214730210002</v>
      </c>
      <c r="H59" s="482">
        <v>5.9499999999999997E-2</v>
      </c>
      <c r="I59" s="479">
        <v>4.3184899999999997</v>
      </c>
      <c r="J59" s="480">
        <v>1.5401685269780001</v>
      </c>
      <c r="K59" s="483">
        <v>1.1657641246520001</v>
      </c>
    </row>
    <row r="60" spans="1:11" ht="14.4" customHeight="1" thickBot="1" x14ac:dyDescent="0.35">
      <c r="A60" s="500" t="s">
        <v>273</v>
      </c>
      <c r="B60" s="484">
        <v>705.99991749092601</v>
      </c>
      <c r="C60" s="484">
        <v>472.80354</v>
      </c>
      <c r="D60" s="485">
        <v>-233.19637749092601</v>
      </c>
      <c r="E60" s="486">
        <v>0.66969347769900001</v>
      </c>
      <c r="F60" s="484">
        <v>437.58266852181902</v>
      </c>
      <c r="G60" s="485">
        <v>328.18700139136399</v>
      </c>
      <c r="H60" s="487">
        <v>35.70205</v>
      </c>
      <c r="I60" s="484">
        <v>317.54987999999997</v>
      </c>
      <c r="J60" s="485">
        <v>-10.637121391363999</v>
      </c>
      <c r="K60" s="490">
        <v>0.72569117298999997</v>
      </c>
    </row>
    <row r="61" spans="1:11" ht="14.4" customHeight="1" thickBot="1" x14ac:dyDescent="0.35">
      <c r="A61" s="501" t="s">
        <v>274</v>
      </c>
      <c r="B61" s="479">
        <v>4.9406564584124654E-324</v>
      </c>
      <c r="C61" s="479">
        <v>30.402999999999999</v>
      </c>
      <c r="D61" s="480">
        <v>30.402999999999999</v>
      </c>
      <c r="E61" s="491" t="s">
        <v>222</v>
      </c>
      <c r="F61" s="479">
        <v>0</v>
      </c>
      <c r="G61" s="480">
        <v>0</v>
      </c>
      <c r="H61" s="482">
        <v>4.9406564584124654E-324</v>
      </c>
      <c r="I61" s="479">
        <v>0.04</v>
      </c>
      <c r="J61" s="480">
        <v>0.04</v>
      </c>
      <c r="K61" s="489" t="s">
        <v>216</v>
      </c>
    </row>
    <row r="62" spans="1:11" ht="14.4" customHeight="1" thickBot="1" x14ac:dyDescent="0.35">
      <c r="A62" s="501" t="s">
        <v>275</v>
      </c>
      <c r="B62" s="479">
        <v>56.000036628171998</v>
      </c>
      <c r="C62" s="479">
        <v>27.82911</v>
      </c>
      <c r="D62" s="480">
        <v>-28.170926628172001</v>
      </c>
      <c r="E62" s="481">
        <v>0.49694806781599998</v>
      </c>
      <c r="F62" s="479">
        <v>26.115108959419</v>
      </c>
      <c r="G62" s="480">
        <v>19.586331719564001</v>
      </c>
      <c r="H62" s="482">
        <v>4.9406564584124654E-324</v>
      </c>
      <c r="I62" s="479">
        <v>15.242940000000001</v>
      </c>
      <c r="J62" s="480">
        <v>-4.3433917195639999</v>
      </c>
      <c r="K62" s="483">
        <v>0.58368280307300002</v>
      </c>
    </row>
    <row r="63" spans="1:11" ht="14.4" customHeight="1" thickBot="1" x14ac:dyDescent="0.35">
      <c r="A63" s="501" t="s">
        <v>276</v>
      </c>
      <c r="B63" s="479">
        <v>12.999959217257</v>
      </c>
      <c r="C63" s="479">
        <v>12.1008</v>
      </c>
      <c r="D63" s="480">
        <v>-0.89915921725699999</v>
      </c>
      <c r="E63" s="481">
        <v>0.93083368938</v>
      </c>
      <c r="F63" s="479">
        <v>12.271877803732</v>
      </c>
      <c r="G63" s="480">
        <v>9.2039083527990009</v>
      </c>
      <c r="H63" s="482">
        <v>4.9406564584124654E-324</v>
      </c>
      <c r="I63" s="479">
        <v>0.91452</v>
      </c>
      <c r="J63" s="480">
        <v>-8.2893883527989995</v>
      </c>
      <c r="K63" s="483">
        <v>7.4521602531E-2</v>
      </c>
    </row>
    <row r="64" spans="1:11" ht="14.4" customHeight="1" thickBot="1" x14ac:dyDescent="0.35">
      <c r="A64" s="501" t="s">
        <v>277</v>
      </c>
      <c r="B64" s="479">
        <v>636.99992164549599</v>
      </c>
      <c r="C64" s="479">
        <v>402.47063000000003</v>
      </c>
      <c r="D64" s="480">
        <v>-234.52929164549599</v>
      </c>
      <c r="E64" s="481">
        <v>0.63182210283499995</v>
      </c>
      <c r="F64" s="479">
        <v>399.19568175866698</v>
      </c>
      <c r="G64" s="480">
        <v>299.39676131900001</v>
      </c>
      <c r="H64" s="482">
        <v>35.70205</v>
      </c>
      <c r="I64" s="479">
        <v>301.35242</v>
      </c>
      <c r="J64" s="480">
        <v>1.955658680999</v>
      </c>
      <c r="K64" s="483">
        <v>0.75489899758500001</v>
      </c>
    </row>
    <row r="65" spans="1:11" ht="14.4" customHeight="1" thickBot="1" x14ac:dyDescent="0.35">
      <c r="A65" s="500" t="s">
        <v>278</v>
      </c>
      <c r="B65" s="484">
        <v>4.9406564584124654E-324</v>
      </c>
      <c r="C65" s="484">
        <v>75.478020000000001</v>
      </c>
      <c r="D65" s="485">
        <v>75.478020000000001</v>
      </c>
      <c r="E65" s="492" t="s">
        <v>222</v>
      </c>
      <c r="F65" s="484">
        <v>0</v>
      </c>
      <c r="G65" s="485">
        <v>0</v>
      </c>
      <c r="H65" s="487">
        <v>4.9406564584124654E-324</v>
      </c>
      <c r="I65" s="484">
        <v>436.69</v>
      </c>
      <c r="J65" s="485">
        <v>436.69</v>
      </c>
      <c r="K65" s="488" t="s">
        <v>216</v>
      </c>
    </row>
    <row r="66" spans="1:11" ht="14.4" customHeight="1" thickBot="1" x14ac:dyDescent="0.35">
      <c r="A66" s="501" t="s">
        <v>279</v>
      </c>
      <c r="B66" s="479">
        <v>4.9406564584124654E-324</v>
      </c>
      <c r="C66" s="479">
        <v>75.478020000000001</v>
      </c>
      <c r="D66" s="480">
        <v>75.478020000000001</v>
      </c>
      <c r="E66" s="491" t="s">
        <v>222</v>
      </c>
      <c r="F66" s="479">
        <v>0</v>
      </c>
      <c r="G66" s="480">
        <v>0</v>
      </c>
      <c r="H66" s="482">
        <v>4.9406564584124654E-324</v>
      </c>
      <c r="I66" s="479">
        <v>436.69</v>
      </c>
      <c r="J66" s="480">
        <v>436.69</v>
      </c>
      <c r="K66" s="489" t="s">
        <v>216</v>
      </c>
    </row>
    <row r="67" spans="1:11" ht="14.4" customHeight="1" thickBot="1" x14ac:dyDescent="0.35">
      <c r="A67" s="499" t="s">
        <v>45</v>
      </c>
      <c r="B67" s="479">
        <v>1228.6676060205</v>
      </c>
      <c r="C67" s="479">
        <v>1020.832</v>
      </c>
      <c r="D67" s="480">
        <v>-207.83560602049701</v>
      </c>
      <c r="E67" s="481">
        <v>0.83084472561800005</v>
      </c>
      <c r="F67" s="479">
        <v>982.73333906091705</v>
      </c>
      <c r="G67" s="480">
        <v>737.05000429568804</v>
      </c>
      <c r="H67" s="482">
        <v>59.131</v>
      </c>
      <c r="I67" s="479">
        <v>697.36800000000005</v>
      </c>
      <c r="J67" s="480">
        <v>-39.682004295688003</v>
      </c>
      <c r="K67" s="483">
        <v>0.709620781428</v>
      </c>
    </row>
    <row r="68" spans="1:11" ht="14.4" customHeight="1" thickBot="1" x14ac:dyDescent="0.35">
      <c r="A68" s="500" t="s">
        <v>280</v>
      </c>
      <c r="B68" s="484">
        <v>1228.6676060205</v>
      </c>
      <c r="C68" s="484">
        <v>1020.832</v>
      </c>
      <c r="D68" s="485">
        <v>-207.83560602049701</v>
      </c>
      <c r="E68" s="486">
        <v>0.83084472561800005</v>
      </c>
      <c r="F68" s="484">
        <v>982.73333906091705</v>
      </c>
      <c r="G68" s="485">
        <v>737.05000429568804</v>
      </c>
      <c r="H68" s="487">
        <v>59.131</v>
      </c>
      <c r="I68" s="484">
        <v>697.36800000000005</v>
      </c>
      <c r="J68" s="485">
        <v>-39.682004295688003</v>
      </c>
      <c r="K68" s="490">
        <v>0.709620781428</v>
      </c>
    </row>
    <row r="69" spans="1:11" ht="14.4" customHeight="1" thickBot="1" x14ac:dyDescent="0.35">
      <c r="A69" s="501" t="s">
        <v>281</v>
      </c>
      <c r="B69" s="479">
        <v>356.666618524689</v>
      </c>
      <c r="C69" s="479">
        <v>312.077</v>
      </c>
      <c r="D69" s="480">
        <v>-44.589618524689001</v>
      </c>
      <c r="E69" s="481">
        <v>0.87498236109299998</v>
      </c>
      <c r="F69" s="479">
        <v>306.68419739123999</v>
      </c>
      <c r="G69" s="480">
        <v>230.01314804342999</v>
      </c>
      <c r="H69" s="482">
        <v>24.36</v>
      </c>
      <c r="I69" s="479">
        <v>255.232</v>
      </c>
      <c r="J69" s="480">
        <v>25.218851956569001</v>
      </c>
      <c r="K69" s="483">
        <v>0.83223068606399997</v>
      </c>
    </row>
    <row r="70" spans="1:11" ht="14.4" customHeight="1" thickBot="1" x14ac:dyDescent="0.35">
      <c r="A70" s="501" t="s">
        <v>282</v>
      </c>
      <c r="B70" s="479">
        <v>77.000035363737993</v>
      </c>
      <c r="C70" s="479">
        <v>79.266999999999996</v>
      </c>
      <c r="D70" s="480">
        <v>2.2669646362610001</v>
      </c>
      <c r="E70" s="481">
        <v>1.02944108565</v>
      </c>
      <c r="F70" s="479">
        <v>77.003309455763002</v>
      </c>
      <c r="G70" s="480">
        <v>57.752482091822003</v>
      </c>
      <c r="H70" s="482">
        <v>5.806</v>
      </c>
      <c r="I70" s="479">
        <v>58.316000000000003</v>
      </c>
      <c r="J70" s="480">
        <v>0.56351790817699998</v>
      </c>
      <c r="K70" s="483">
        <v>0.75731809985999998</v>
      </c>
    </row>
    <row r="71" spans="1:11" ht="14.4" customHeight="1" thickBot="1" x14ac:dyDescent="0.35">
      <c r="A71" s="501" t="s">
        <v>283</v>
      </c>
      <c r="B71" s="479">
        <v>795.00095213206998</v>
      </c>
      <c r="C71" s="479">
        <v>629.48800000000006</v>
      </c>
      <c r="D71" s="480">
        <v>-165.51295213207001</v>
      </c>
      <c r="E71" s="481">
        <v>0.79180785672200005</v>
      </c>
      <c r="F71" s="479">
        <v>599.04583221391295</v>
      </c>
      <c r="G71" s="480">
        <v>449.28437416043499</v>
      </c>
      <c r="H71" s="482">
        <v>28.965</v>
      </c>
      <c r="I71" s="479">
        <v>383.82</v>
      </c>
      <c r="J71" s="480">
        <v>-65.464374160435</v>
      </c>
      <c r="K71" s="483">
        <v>0.64071892225899996</v>
      </c>
    </row>
    <row r="72" spans="1:11" ht="14.4" customHeight="1" thickBot="1" x14ac:dyDescent="0.35">
      <c r="A72" s="499" t="s">
        <v>46</v>
      </c>
      <c r="B72" s="479">
        <v>4.9406564584124654E-324</v>
      </c>
      <c r="C72" s="479">
        <v>4.9406564584124654E-324</v>
      </c>
      <c r="D72" s="480">
        <v>0</v>
      </c>
      <c r="E72" s="481">
        <v>1</v>
      </c>
      <c r="F72" s="479">
        <v>4.9406564584124654E-324</v>
      </c>
      <c r="G72" s="480">
        <v>0</v>
      </c>
      <c r="H72" s="482">
        <v>10.409979999999999</v>
      </c>
      <c r="I72" s="479">
        <v>29.978490000000001</v>
      </c>
      <c r="J72" s="480">
        <v>29.978490000000001</v>
      </c>
      <c r="K72" s="489" t="s">
        <v>222</v>
      </c>
    </row>
    <row r="73" spans="1:11" ht="14.4" customHeight="1" thickBot="1" x14ac:dyDescent="0.35">
      <c r="A73" s="500" t="s">
        <v>284</v>
      </c>
      <c r="B73" s="484">
        <v>4.9406564584124654E-324</v>
      </c>
      <c r="C73" s="484">
        <v>4.9406564584124654E-324</v>
      </c>
      <c r="D73" s="485">
        <v>0</v>
      </c>
      <c r="E73" s="486">
        <v>1</v>
      </c>
      <c r="F73" s="484">
        <v>4.9406564584124654E-324</v>
      </c>
      <c r="G73" s="485">
        <v>0</v>
      </c>
      <c r="H73" s="487">
        <v>10.409979999999999</v>
      </c>
      <c r="I73" s="484">
        <v>29.978490000000001</v>
      </c>
      <c r="J73" s="485">
        <v>29.978490000000001</v>
      </c>
      <c r="K73" s="488" t="s">
        <v>222</v>
      </c>
    </row>
    <row r="74" spans="1:11" ht="14.4" customHeight="1" thickBot="1" x14ac:dyDescent="0.35">
      <c r="A74" s="501" t="s">
        <v>285</v>
      </c>
      <c r="B74" s="479">
        <v>4.9406564584124654E-324</v>
      </c>
      <c r="C74" s="479">
        <v>4.9406564584124654E-324</v>
      </c>
      <c r="D74" s="480">
        <v>0</v>
      </c>
      <c r="E74" s="481">
        <v>1</v>
      </c>
      <c r="F74" s="479">
        <v>4.9406564584124654E-324</v>
      </c>
      <c r="G74" s="480">
        <v>0</v>
      </c>
      <c r="H74" s="482">
        <v>10.409979999999999</v>
      </c>
      <c r="I74" s="479">
        <v>29.978490000000001</v>
      </c>
      <c r="J74" s="480">
        <v>29.978490000000001</v>
      </c>
      <c r="K74" s="489" t="s">
        <v>222</v>
      </c>
    </row>
    <row r="75" spans="1:11" ht="14.4" customHeight="1" thickBot="1" x14ac:dyDescent="0.35">
      <c r="A75" s="502" t="s">
        <v>286</v>
      </c>
      <c r="B75" s="484">
        <v>2633.5308714320499</v>
      </c>
      <c r="C75" s="484">
        <v>3294.7310900000002</v>
      </c>
      <c r="D75" s="485">
        <v>661.20021856794995</v>
      </c>
      <c r="E75" s="486">
        <v>1.2510698567230001</v>
      </c>
      <c r="F75" s="484">
        <v>2877.2089094284102</v>
      </c>
      <c r="G75" s="485">
        <v>2157.9066820713101</v>
      </c>
      <c r="H75" s="487">
        <v>231.43905000000001</v>
      </c>
      <c r="I75" s="484">
        <v>2256.0620800000002</v>
      </c>
      <c r="J75" s="485">
        <v>98.155397928694001</v>
      </c>
      <c r="K75" s="490">
        <v>0.784114797019</v>
      </c>
    </row>
    <row r="76" spans="1:11" ht="14.4" customHeight="1" thickBot="1" x14ac:dyDescent="0.35">
      <c r="A76" s="499" t="s">
        <v>48</v>
      </c>
      <c r="B76" s="479">
        <v>697.56660799870497</v>
      </c>
      <c r="C76" s="479">
        <v>1140.0379600000001</v>
      </c>
      <c r="D76" s="480">
        <v>442.47135200129497</v>
      </c>
      <c r="E76" s="481">
        <v>1.6343069563929999</v>
      </c>
      <c r="F76" s="479">
        <v>876.69366235104496</v>
      </c>
      <c r="G76" s="480">
        <v>657.52024676328404</v>
      </c>
      <c r="H76" s="482">
        <v>76.388710000000003</v>
      </c>
      <c r="I76" s="479">
        <v>715.71162000000004</v>
      </c>
      <c r="J76" s="480">
        <v>58.191373236715997</v>
      </c>
      <c r="K76" s="483">
        <v>0.81637594833299998</v>
      </c>
    </row>
    <row r="77" spans="1:11" ht="14.4" customHeight="1" thickBot="1" x14ac:dyDescent="0.35">
      <c r="A77" s="500" t="s">
        <v>287</v>
      </c>
      <c r="B77" s="484">
        <v>697.56660799870497</v>
      </c>
      <c r="C77" s="484">
        <v>1140.0379600000001</v>
      </c>
      <c r="D77" s="485">
        <v>442.47135200129497</v>
      </c>
      <c r="E77" s="486">
        <v>1.6343069563929999</v>
      </c>
      <c r="F77" s="484">
        <v>876.69366235104496</v>
      </c>
      <c r="G77" s="485">
        <v>657.52024676328404</v>
      </c>
      <c r="H77" s="487">
        <v>76.388710000000003</v>
      </c>
      <c r="I77" s="484">
        <v>715.71162000000004</v>
      </c>
      <c r="J77" s="485">
        <v>58.191373236715997</v>
      </c>
      <c r="K77" s="490">
        <v>0.81637594833299998</v>
      </c>
    </row>
    <row r="78" spans="1:11" ht="14.4" customHeight="1" thickBot="1" x14ac:dyDescent="0.35">
      <c r="A78" s="501" t="s">
        <v>288</v>
      </c>
      <c r="B78" s="479">
        <v>489.60930052005602</v>
      </c>
      <c r="C78" s="479">
        <v>848.02260999999999</v>
      </c>
      <c r="D78" s="480">
        <v>358.41330947994402</v>
      </c>
      <c r="E78" s="481">
        <v>1.7320394222469999</v>
      </c>
      <c r="F78" s="479">
        <v>728.91743205618502</v>
      </c>
      <c r="G78" s="480">
        <v>546.68807404213806</v>
      </c>
      <c r="H78" s="482">
        <v>58.018749999999997</v>
      </c>
      <c r="I78" s="479">
        <v>651.82586000000003</v>
      </c>
      <c r="J78" s="480">
        <v>105.13778595786199</v>
      </c>
      <c r="K78" s="483">
        <v>0.89423826531499995</v>
      </c>
    </row>
    <row r="79" spans="1:11" ht="14.4" customHeight="1" thickBot="1" x14ac:dyDescent="0.35">
      <c r="A79" s="501" t="s">
        <v>289</v>
      </c>
      <c r="B79" s="479">
        <v>4.9406564584124654E-324</v>
      </c>
      <c r="C79" s="479">
        <v>9.1199999999999992</v>
      </c>
      <c r="D79" s="480">
        <v>9.1199999999999992</v>
      </c>
      <c r="E79" s="491" t="s">
        <v>222</v>
      </c>
      <c r="F79" s="479">
        <v>0</v>
      </c>
      <c r="G79" s="480">
        <v>0</v>
      </c>
      <c r="H79" s="482">
        <v>4.9406564584124654E-324</v>
      </c>
      <c r="I79" s="479">
        <v>4.4465908125712189E-323</v>
      </c>
      <c r="J79" s="480">
        <v>4.4465908125712189E-323</v>
      </c>
      <c r="K79" s="489" t="s">
        <v>216</v>
      </c>
    </row>
    <row r="80" spans="1:11" ht="14.4" customHeight="1" thickBot="1" x14ac:dyDescent="0.35">
      <c r="A80" s="501" t="s">
        <v>290</v>
      </c>
      <c r="B80" s="479">
        <v>50.957356931798003</v>
      </c>
      <c r="C80" s="479">
        <v>12.711</v>
      </c>
      <c r="D80" s="480">
        <v>-38.246356931797997</v>
      </c>
      <c r="E80" s="481">
        <v>0.24944386375800001</v>
      </c>
      <c r="F80" s="479">
        <v>10.786844577678</v>
      </c>
      <c r="G80" s="480">
        <v>8.0901334332579999</v>
      </c>
      <c r="H80" s="482">
        <v>4.9406564584124654E-324</v>
      </c>
      <c r="I80" s="479">
        <v>5.1311</v>
      </c>
      <c r="J80" s="480">
        <v>-2.9590334332579999</v>
      </c>
      <c r="K80" s="483">
        <v>0.47568127667400001</v>
      </c>
    </row>
    <row r="81" spans="1:11" ht="14.4" customHeight="1" thickBot="1" x14ac:dyDescent="0.35">
      <c r="A81" s="501" t="s">
        <v>291</v>
      </c>
      <c r="B81" s="479">
        <v>93.999954340152996</v>
      </c>
      <c r="C81" s="479">
        <v>139.68879000000001</v>
      </c>
      <c r="D81" s="480">
        <v>45.688835659845999</v>
      </c>
      <c r="E81" s="481">
        <v>1.4860516792859999</v>
      </c>
      <c r="F81" s="479">
        <v>73.994032571096994</v>
      </c>
      <c r="G81" s="480">
        <v>55.495524428323002</v>
      </c>
      <c r="H81" s="482">
        <v>13.897180000000001</v>
      </c>
      <c r="I81" s="479">
        <v>26.859290000000001</v>
      </c>
      <c r="J81" s="480">
        <v>-28.636234428323</v>
      </c>
      <c r="K81" s="483">
        <v>0.362992650443</v>
      </c>
    </row>
    <row r="82" spans="1:11" ht="14.4" customHeight="1" thickBot="1" x14ac:dyDescent="0.35">
      <c r="A82" s="501" t="s">
        <v>292</v>
      </c>
      <c r="B82" s="479">
        <v>62.999996206696999</v>
      </c>
      <c r="C82" s="479">
        <v>130.49556000000001</v>
      </c>
      <c r="D82" s="480">
        <v>67.495563793301997</v>
      </c>
      <c r="E82" s="481">
        <v>2.0713582199560001</v>
      </c>
      <c r="F82" s="479">
        <v>62.995353146084</v>
      </c>
      <c r="G82" s="480">
        <v>47.246514859563</v>
      </c>
      <c r="H82" s="482">
        <v>4.4727800000000002</v>
      </c>
      <c r="I82" s="479">
        <v>31.89537</v>
      </c>
      <c r="J82" s="480">
        <v>-15.351144859563</v>
      </c>
      <c r="K82" s="483">
        <v>0.50631305972700003</v>
      </c>
    </row>
    <row r="83" spans="1:11" ht="14.4" customHeight="1" thickBot="1" x14ac:dyDescent="0.35">
      <c r="A83" s="503" t="s">
        <v>49</v>
      </c>
      <c r="B83" s="484">
        <v>103.00007379824601</v>
      </c>
      <c r="C83" s="484">
        <v>53.045000000000002</v>
      </c>
      <c r="D83" s="485">
        <v>-49.955073798245998</v>
      </c>
      <c r="E83" s="486">
        <v>0.51499963100900004</v>
      </c>
      <c r="F83" s="484">
        <v>0</v>
      </c>
      <c r="G83" s="485">
        <v>0</v>
      </c>
      <c r="H83" s="487">
        <v>3.25</v>
      </c>
      <c r="I83" s="484">
        <v>31.795000000000002</v>
      </c>
      <c r="J83" s="485">
        <v>31.795000000000002</v>
      </c>
      <c r="K83" s="488" t="s">
        <v>216</v>
      </c>
    </row>
    <row r="84" spans="1:11" ht="14.4" customHeight="1" thickBot="1" x14ac:dyDescent="0.35">
      <c r="A84" s="500" t="s">
        <v>293</v>
      </c>
      <c r="B84" s="484">
        <v>103.00007379824601</v>
      </c>
      <c r="C84" s="484">
        <v>53.045000000000002</v>
      </c>
      <c r="D84" s="485">
        <v>-49.955073798245998</v>
      </c>
      <c r="E84" s="486">
        <v>0.51499963100900004</v>
      </c>
      <c r="F84" s="484">
        <v>0</v>
      </c>
      <c r="G84" s="485">
        <v>0</v>
      </c>
      <c r="H84" s="487">
        <v>3.25</v>
      </c>
      <c r="I84" s="484">
        <v>31.795000000000002</v>
      </c>
      <c r="J84" s="485">
        <v>31.795000000000002</v>
      </c>
      <c r="K84" s="488" t="s">
        <v>216</v>
      </c>
    </row>
    <row r="85" spans="1:11" ht="14.4" customHeight="1" thickBot="1" x14ac:dyDescent="0.35">
      <c r="A85" s="501" t="s">
        <v>294</v>
      </c>
      <c r="B85" s="479">
        <v>103.00007379824601</v>
      </c>
      <c r="C85" s="479">
        <v>41.344999999999999</v>
      </c>
      <c r="D85" s="480">
        <v>-61.655073798246001</v>
      </c>
      <c r="E85" s="481">
        <v>0.40140747938600002</v>
      </c>
      <c r="F85" s="479">
        <v>0</v>
      </c>
      <c r="G85" s="480">
        <v>0</v>
      </c>
      <c r="H85" s="482">
        <v>3.25</v>
      </c>
      <c r="I85" s="479">
        <v>30.254999999999999</v>
      </c>
      <c r="J85" s="480">
        <v>30.254999999999999</v>
      </c>
      <c r="K85" s="489" t="s">
        <v>216</v>
      </c>
    </row>
    <row r="86" spans="1:11" ht="14.4" customHeight="1" thickBot="1" x14ac:dyDescent="0.35">
      <c r="A86" s="501" t="s">
        <v>295</v>
      </c>
      <c r="B86" s="479">
        <v>4.9406564584124654E-324</v>
      </c>
      <c r="C86" s="479">
        <v>11.7</v>
      </c>
      <c r="D86" s="480">
        <v>11.7</v>
      </c>
      <c r="E86" s="491" t="s">
        <v>222</v>
      </c>
      <c r="F86" s="479">
        <v>0</v>
      </c>
      <c r="G86" s="480">
        <v>0</v>
      </c>
      <c r="H86" s="482">
        <v>4.9406564584124654E-324</v>
      </c>
      <c r="I86" s="479">
        <v>1.54</v>
      </c>
      <c r="J86" s="480">
        <v>1.54</v>
      </c>
      <c r="K86" s="489" t="s">
        <v>216</v>
      </c>
    </row>
    <row r="87" spans="1:11" ht="14.4" customHeight="1" thickBot="1" x14ac:dyDescent="0.35">
      <c r="A87" s="499" t="s">
        <v>50</v>
      </c>
      <c r="B87" s="479">
        <v>1832.9641896351</v>
      </c>
      <c r="C87" s="479">
        <v>2101.64813</v>
      </c>
      <c r="D87" s="480">
        <v>268.68394036490002</v>
      </c>
      <c r="E87" s="481">
        <v>1.146584391492</v>
      </c>
      <c r="F87" s="479">
        <v>2000.5152470773601</v>
      </c>
      <c r="G87" s="480">
        <v>1500.3864353080201</v>
      </c>
      <c r="H87" s="482">
        <v>151.80034000000001</v>
      </c>
      <c r="I87" s="479">
        <v>1508.55546</v>
      </c>
      <c r="J87" s="480">
        <v>8.1690246919770004</v>
      </c>
      <c r="K87" s="483">
        <v>0.75408346034999996</v>
      </c>
    </row>
    <row r="88" spans="1:11" ht="14.4" customHeight="1" thickBot="1" x14ac:dyDescent="0.35">
      <c r="A88" s="500" t="s">
        <v>296</v>
      </c>
      <c r="B88" s="484">
        <v>2.485139850366</v>
      </c>
      <c r="C88" s="484">
        <v>2.4624999999999999</v>
      </c>
      <c r="D88" s="485">
        <v>-2.2639850366000001E-2</v>
      </c>
      <c r="E88" s="486">
        <v>0.99088990892600004</v>
      </c>
      <c r="F88" s="484">
        <v>2.3621617685710001</v>
      </c>
      <c r="G88" s="485">
        <v>1.7716213264280001</v>
      </c>
      <c r="H88" s="487">
        <v>0.10299999999999999</v>
      </c>
      <c r="I88" s="484">
        <v>1.7539199999999999</v>
      </c>
      <c r="J88" s="485">
        <v>-1.7701326428E-2</v>
      </c>
      <c r="K88" s="490">
        <v>0.74250630220799996</v>
      </c>
    </row>
    <row r="89" spans="1:11" ht="14.4" customHeight="1" thickBot="1" x14ac:dyDescent="0.35">
      <c r="A89" s="501" t="s">
        <v>297</v>
      </c>
      <c r="B89" s="479">
        <v>2.485139850366</v>
      </c>
      <c r="C89" s="479">
        <v>2.4624999999999999</v>
      </c>
      <c r="D89" s="480">
        <v>-2.2639850366000001E-2</v>
      </c>
      <c r="E89" s="481">
        <v>0.99088990892600004</v>
      </c>
      <c r="F89" s="479">
        <v>2.3621617685710001</v>
      </c>
      <c r="G89" s="480">
        <v>1.7716213264280001</v>
      </c>
      <c r="H89" s="482">
        <v>0.10299999999999999</v>
      </c>
      <c r="I89" s="479">
        <v>1.7539199999999999</v>
      </c>
      <c r="J89" s="480">
        <v>-1.7701326428E-2</v>
      </c>
      <c r="K89" s="483">
        <v>0.74250630220799996</v>
      </c>
    </row>
    <row r="90" spans="1:11" ht="14.4" customHeight="1" thickBot="1" x14ac:dyDescent="0.35">
      <c r="A90" s="500" t="s">
        <v>298</v>
      </c>
      <c r="B90" s="484">
        <v>43.371237388567003</v>
      </c>
      <c r="C90" s="484">
        <v>30.8172</v>
      </c>
      <c r="D90" s="485">
        <v>-12.554037388567</v>
      </c>
      <c r="E90" s="486">
        <v>0.71054463408299995</v>
      </c>
      <c r="F90" s="484">
        <v>28.218067726333999</v>
      </c>
      <c r="G90" s="485">
        <v>21.163550794750002</v>
      </c>
      <c r="H90" s="487">
        <v>3.7819699999999998</v>
      </c>
      <c r="I90" s="484">
        <v>30.661860000000001</v>
      </c>
      <c r="J90" s="485">
        <v>9.4983092052490008</v>
      </c>
      <c r="K90" s="490">
        <v>1.0866038134630001</v>
      </c>
    </row>
    <row r="91" spans="1:11" ht="14.4" customHeight="1" thickBot="1" x14ac:dyDescent="0.35">
      <c r="A91" s="501" t="s">
        <v>299</v>
      </c>
      <c r="B91" s="479">
        <v>12.37127925511</v>
      </c>
      <c r="C91" s="479">
        <v>9.9725999999999999</v>
      </c>
      <c r="D91" s="480">
        <v>-2.3986792551099998</v>
      </c>
      <c r="E91" s="481">
        <v>0.80610903644999998</v>
      </c>
      <c r="F91" s="479">
        <v>11.515238597514999</v>
      </c>
      <c r="G91" s="480">
        <v>8.6364289481360004</v>
      </c>
      <c r="H91" s="482">
        <v>1.2484</v>
      </c>
      <c r="I91" s="479">
        <v>11.110900000000001</v>
      </c>
      <c r="J91" s="480">
        <v>2.474471051863</v>
      </c>
      <c r="K91" s="483">
        <v>0.96488665049400002</v>
      </c>
    </row>
    <row r="92" spans="1:11" ht="14.4" customHeight="1" thickBot="1" x14ac:dyDescent="0.35">
      <c r="A92" s="501" t="s">
        <v>300</v>
      </c>
      <c r="B92" s="479">
        <v>30.999958133456001</v>
      </c>
      <c r="C92" s="479">
        <v>20.8446</v>
      </c>
      <c r="D92" s="480">
        <v>-10.155358133456</v>
      </c>
      <c r="E92" s="481">
        <v>0.67240735972099996</v>
      </c>
      <c r="F92" s="479">
        <v>16.702829128817999</v>
      </c>
      <c r="G92" s="480">
        <v>12.527121846612999</v>
      </c>
      <c r="H92" s="482">
        <v>2.5335700000000001</v>
      </c>
      <c r="I92" s="479">
        <v>19.55096</v>
      </c>
      <c r="J92" s="480">
        <v>7.0238381533860004</v>
      </c>
      <c r="K92" s="483">
        <v>1.1705178715060001</v>
      </c>
    </row>
    <row r="93" spans="1:11" ht="14.4" customHeight="1" thickBot="1" x14ac:dyDescent="0.35">
      <c r="A93" s="500" t="s">
        <v>301</v>
      </c>
      <c r="B93" s="484">
        <v>49.561437015848</v>
      </c>
      <c r="C93" s="484">
        <v>52.576799999999999</v>
      </c>
      <c r="D93" s="485">
        <v>3.0153629841509999</v>
      </c>
      <c r="E93" s="486">
        <v>1.0608409111129999</v>
      </c>
      <c r="F93" s="484">
        <v>48.504553974185001</v>
      </c>
      <c r="G93" s="485">
        <v>36.378415480637997</v>
      </c>
      <c r="H93" s="487">
        <v>4.38504</v>
      </c>
      <c r="I93" s="484">
        <v>43.780119999999997</v>
      </c>
      <c r="J93" s="485">
        <v>7.401704519361</v>
      </c>
      <c r="K93" s="490">
        <v>0.90259813590399995</v>
      </c>
    </row>
    <row r="94" spans="1:11" ht="14.4" customHeight="1" thickBot="1" x14ac:dyDescent="0.35">
      <c r="A94" s="501" t="s">
        <v>302</v>
      </c>
      <c r="B94" s="479">
        <v>12.561479243658001</v>
      </c>
      <c r="C94" s="479">
        <v>12.42</v>
      </c>
      <c r="D94" s="480">
        <v>-0.14147924365799999</v>
      </c>
      <c r="E94" s="481">
        <v>0.98873705549199997</v>
      </c>
      <c r="F94" s="479">
        <v>9.4933571005150004</v>
      </c>
      <c r="G94" s="480">
        <v>7.1200178253860003</v>
      </c>
      <c r="H94" s="482">
        <v>4.9406564584124654E-324</v>
      </c>
      <c r="I94" s="479">
        <v>8.5050000000000008</v>
      </c>
      <c r="J94" s="480">
        <v>1.384982174613</v>
      </c>
      <c r="K94" s="483">
        <v>0.895889611014</v>
      </c>
    </row>
    <row r="95" spans="1:11" ht="14.4" customHeight="1" thickBot="1" x14ac:dyDescent="0.35">
      <c r="A95" s="501" t="s">
        <v>303</v>
      </c>
      <c r="B95" s="479">
        <v>36.999957772188999</v>
      </c>
      <c r="C95" s="479">
        <v>40.156799999999997</v>
      </c>
      <c r="D95" s="480">
        <v>3.1568422278099999</v>
      </c>
      <c r="E95" s="481">
        <v>1.0853201575860001</v>
      </c>
      <c r="F95" s="479">
        <v>39.011196873669</v>
      </c>
      <c r="G95" s="480">
        <v>29.258397655250999</v>
      </c>
      <c r="H95" s="482">
        <v>4.38504</v>
      </c>
      <c r="I95" s="479">
        <v>35.275120000000001</v>
      </c>
      <c r="J95" s="480">
        <v>6.0167223447479996</v>
      </c>
      <c r="K95" s="483">
        <v>0.9042306524</v>
      </c>
    </row>
    <row r="96" spans="1:11" ht="14.4" customHeight="1" thickBot="1" x14ac:dyDescent="0.35">
      <c r="A96" s="500" t="s">
        <v>304</v>
      </c>
      <c r="B96" s="484">
        <v>4.9406564584124654E-324</v>
      </c>
      <c r="C96" s="484">
        <v>9.9930000000000003</v>
      </c>
      <c r="D96" s="485">
        <v>9.9930000000000003</v>
      </c>
      <c r="E96" s="492" t="s">
        <v>222</v>
      </c>
      <c r="F96" s="484">
        <v>0</v>
      </c>
      <c r="G96" s="485">
        <v>0</v>
      </c>
      <c r="H96" s="487">
        <v>4.9406564584124654E-324</v>
      </c>
      <c r="I96" s="484">
        <v>4.4465908125712189E-323</v>
      </c>
      <c r="J96" s="485">
        <v>4.4465908125712189E-323</v>
      </c>
      <c r="K96" s="488" t="s">
        <v>216</v>
      </c>
    </row>
    <row r="97" spans="1:11" ht="14.4" customHeight="1" thickBot="1" x14ac:dyDescent="0.35">
      <c r="A97" s="501" t="s">
        <v>305</v>
      </c>
      <c r="B97" s="479">
        <v>4.9406564584124654E-324</v>
      </c>
      <c r="C97" s="479">
        <v>9.9930000000000003</v>
      </c>
      <c r="D97" s="480">
        <v>9.9930000000000003</v>
      </c>
      <c r="E97" s="491" t="s">
        <v>222</v>
      </c>
      <c r="F97" s="479">
        <v>0</v>
      </c>
      <c r="G97" s="480">
        <v>0</v>
      </c>
      <c r="H97" s="482">
        <v>4.9406564584124654E-324</v>
      </c>
      <c r="I97" s="479">
        <v>4.4465908125712189E-323</v>
      </c>
      <c r="J97" s="480">
        <v>4.4465908125712189E-323</v>
      </c>
      <c r="K97" s="489" t="s">
        <v>216</v>
      </c>
    </row>
    <row r="98" spans="1:11" ht="14.4" customHeight="1" thickBot="1" x14ac:dyDescent="0.35">
      <c r="A98" s="500" t="s">
        <v>306</v>
      </c>
      <c r="B98" s="484">
        <v>694.66411817346795</v>
      </c>
      <c r="C98" s="484">
        <v>846.34982000000002</v>
      </c>
      <c r="D98" s="485">
        <v>151.68570182653201</v>
      </c>
      <c r="E98" s="486">
        <v>1.2183583373</v>
      </c>
      <c r="F98" s="484">
        <v>825.12056654563798</v>
      </c>
      <c r="G98" s="485">
        <v>618.840424909229</v>
      </c>
      <c r="H98" s="487">
        <v>70.628389999999996</v>
      </c>
      <c r="I98" s="484">
        <v>633.03301999999996</v>
      </c>
      <c r="J98" s="485">
        <v>14.192595090771</v>
      </c>
      <c r="K98" s="490">
        <v>0.76720063184200005</v>
      </c>
    </row>
    <row r="99" spans="1:11" ht="14.4" customHeight="1" thickBot="1" x14ac:dyDescent="0.35">
      <c r="A99" s="501" t="s">
        <v>307</v>
      </c>
      <c r="B99" s="479">
        <v>549.99992688386601</v>
      </c>
      <c r="C99" s="479">
        <v>701.26512000000002</v>
      </c>
      <c r="D99" s="480">
        <v>151.26519311613399</v>
      </c>
      <c r="E99" s="481">
        <v>1.2750276604090001</v>
      </c>
      <c r="F99" s="479">
        <v>680.00069048546004</v>
      </c>
      <c r="G99" s="480">
        <v>510.000517864095</v>
      </c>
      <c r="H99" s="482">
        <v>58.035049999999998</v>
      </c>
      <c r="I99" s="479">
        <v>523.01484000000005</v>
      </c>
      <c r="J99" s="480">
        <v>13.014322135904001</v>
      </c>
      <c r="K99" s="483">
        <v>0.769138689589</v>
      </c>
    </row>
    <row r="100" spans="1:11" ht="14.4" customHeight="1" thickBot="1" x14ac:dyDescent="0.35">
      <c r="A100" s="501" t="s">
        <v>308</v>
      </c>
      <c r="B100" s="479">
        <v>143.175711379224</v>
      </c>
      <c r="C100" s="479">
        <v>145.0847</v>
      </c>
      <c r="D100" s="480">
        <v>1.908988620775</v>
      </c>
      <c r="E100" s="481">
        <v>1.0133331876080001</v>
      </c>
      <c r="F100" s="479">
        <v>145.119876060178</v>
      </c>
      <c r="G100" s="480">
        <v>108.839907045134</v>
      </c>
      <c r="H100" s="482">
        <v>12.59334</v>
      </c>
      <c r="I100" s="479">
        <v>110.01818</v>
      </c>
      <c r="J100" s="480">
        <v>1.178272954866</v>
      </c>
      <c r="K100" s="483">
        <v>0.75811930789100002</v>
      </c>
    </row>
    <row r="101" spans="1:11" ht="14.4" customHeight="1" thickBot="1" x14ac:dyDescent="0.35">
      <c r="A101" s="500" t="s">
        <v>309</v>
      </c>
      <c r="B101" s="484">
        <v>1042.88225720685</v>
      </c>
      <c r="C101" s="484">
        <v>1155.4742100000001</v>
      </c>
      <c r="D101" s="485">
        <v>112.59195279315099</v>
      </c>
      <c r="E101" s="486">
        <v>1.107962286264</v>
      </c>
      <c r="F101" s="484">
        <v>1092.8097691294799</v>
      </c>
      <c r="G101" s="485">
        <v>819.60732684711297</v>
      </c>
      <c r="H101" s="487">
        <v>72.901939999999996</v>
      </c>
      <c r="I101" s="484">
        <v>797.96298000000002</v>
      </c>
      <c r="J101" s="485">
        <v>-21.644346847112999</v>
      </c>
      <c r="K101" s="490">
        <v>0.73019385673600001</v>
      </c>
    </row>
    <row r="102" spans="1:11" ht="14.4" customHeight="1" thickBot="1" x14ac:dyDescent="0.35">
      <c r="A102" s="501" t="s">
        <v>310</v>
      </c>
      <c r="B102" s="479">
        <v>11.000039337674</v>
      </c>
      <c r="C102" s="479">
        <v>4.9406564584124654E-324</v>
      </c>
      <c r="D102" s="480">
        <v>-11.000039337674</v>
      </c>
      <c r="E102" s="481">
        <v>0</v>
      </c>
      <c r="F102" s="479">
        <v>9.011761014547</v>
      </c>
      <c r="G102" s="480">
        <v>6.7588207609099999</v>
      </c>
      <c r="H102" s="482">
        <v>4.9406564584124654E-324</v>
      </c>
      <c r="I102" s="479">
        <v>7.633</v>
      </c>
      <c r="J102" s="480">
        <v>0.87417923908899997</v>
      </c>
      <c r="K102" s="483">
        <v>0.84700426339199997</v>
      </c>
    </row>
    <row r="103" spans="1:11" ht="14.4" customHeight="1" thickBot="1" x14ac:dyDescent="0.35">
      <c r="A103" s="501" t="s">
        <v>311</v>
      </c>
      <c r="B103" s="479">
        <v>654.83876057139901</v>
      </c>
      <c r="C103" s="479">
        <v>926.16715999999997</v>
      </c>
      <c r="D103" s="480">
        <v>271.32839942860102</v>
      </c>
      <c r="E103" s="481">
        <v>1.4143438289929999</v>
      </c>
      <c r="F103" s="479">
        <v>853.81379472231902</v>
      </c>
      <c r="G103" s="480">
        <v>640.36034604173994</v>
      </c>
      <c r="H103" s="482">
        <v>54.248080000000002</v>
      </c>
      <c r="I103" s="479">
        <v>655.66308000000004</v>
      </c>
      <c r="J103" s="480">
        <v>15.302733958259999</v>
      </c>
      <c r="K103" s="483">
        <v>0.767922800091</v>
      </c>
    </row>
    <row r="104" spans="1:11" ht="14.4" customHeight="1" thickBot="1" x14ac:dyDescent="0.35">
      <c r="A104" s="501" t="s">
        <v>312</v>
      </c>
      <c r="B104" s="479">
        <v>3.999959759157</v>
      </c>
      <c r="C104" s="479">
        <v>4.99648</v>
      </c>
      <c r="D104" s="480">
        <v>0.99652024084199997</v>
      </c>
      <c r="E104" s="481">
        <v>1.249132566536</v>
      </c>
      <c r="F104" s="479">
        <v>3.9979378279689999</v>
      </c>
      <c r="G104" s="480">
        <v>2.9984533709769998</v>
      </c>
      <c r="H104" s="482">
        <v>1.61412</v>
      </c>
      <c r="I104" s="479">
        <v>4.2731000000000003</v>
      </c>
      <c r="J104" s="480">
        <v>1.274646629022</v>
      </c>
      <c r="K104" s="483">
        <v>1.068826025783</v>
      </c>
    </row>
    <row r="105" spans="1:11" ht="14.4" customHeight="1" thickBot="1" x14ac:dyDescent="0.35">
      <c r="A105" s="501" t="s">
        <v>313</v>
      </c>
      <c r="B105" s="479">
        <v>4.9406564584124654E-324</v>
      </c>
      <c r="C105" s="479">
        <v>1.9441999999999999</v>
      </c>
      <c r="D105" s="480">
        <v>1.9441999999999999</v>
      </c>
      <c r="E105" s="491" t="s">
        <v>222</v>
      </c>
      <c r="F105" s="479">
        <v>2.2774887556590002</v>
      </c>
      <c r="G105" s="480">
        <v>1.7081165667439999</v>
      </c>
      <c r="H105" s="482">
        <v>4.9406564584124654E-324</v>
      </c>
      <c r="I105" s="479">
        <v>19.291360000000001</v>
      </c>
      <c r="J105" s="480">
        <v>17.583243433254999</v>
      </c>
      <c r="K105" s="483">
        <v>8.4704523576930004</v>
      </c>
    </row>
    <row r="106" spans="1:11" ht="14.4" customHeight="1" thickBot="1" x14ac:dyDescent="0.35">
      <c r="A106" s="501" t="s">
        <v>314</v>
      </c>
      <c r="B106" s="479">
        <v>373.043497538618</v>
      </c>
      <c r="C106" s="479">
        <v>222.36636999999999</v>
      </c>
      <c r="D106" s="480">
        <v>-150.67712753861801</v>
      </c>
      <c r="E106" s="481">
        <v>0.59608697502300001</v>
      </c>
      <c r="F106" s="479">
        <v>223.70878680898801</v>
      </c>
      <c r="G106" s="480">
        <v>167.78159010674099</v>
      </c>
      <c r="H106" s="482">
        <v>17.039739999999998</v>
      </c>
      <c r="I106" s="479">
        <v>111.10244</v>
      </c>
      <c r="J106" s="480">
        <v>-56.679150106740003</v>
      </c>
      <c r="K106" s="483">
        <v>0.49663869526400001</v>
      </c>
    </row>
    <row r="107" spans="1:11" ht="14.4" customHeight="1" thickBot="1" x14ac:dyDescent="0.35">
      <c r="A107" s="500" t="s">
        <v>315</v>
      </c>
      <c r="B107" s="484">
        <v>4.9406564584124654E-324</v>
      </c>
      <c r="C107" s="484">
        <v>3.9746000000000001</v>
      </c>
      <c r="D107" s="485">
        <v>3.9746000000000001</v>
      </c>
      <c r="E107" s="492" t="s">
        <v>222</v>
      </c>
      <c r="F107" s="484">
        <v>3.5001279331489998</v>
      </c>
      <c r="G107" s="485">
        <v>2.6250959498620001</v>
      </c>
      <c r="H107" s="487">
        <v>4.9406564584124654E-324</v>
      </c>
      <c r="I107" s="484">
        <v>1.3635600000000001</v>
      </c>
      <c r="J107" s="485">
        <v>-1.261535949862</v>
      </c>
      <c r="K107" s="490">
        <v>0.38957433157900001</v>
      </c>
    </row>
    <row r="108" spans="1:11" ht="14.4" customHeight="1" thickBot="1" x14ac:dyDescent="0.35">
      <c r="A108" s="501" t="s">
        <v>316</v>
      </c>
      <c r="B108" s="479">
        <v>4.9406564584124654E-324</v>
      </c>
      <c r="C108" s="479">
        <v>2.2736000000000001</v>
      </c>
      <c r="D108" s="480">
        <v>2.2736000000000001</v>
      </c>
      <c r="E108" s="491" t="s">
        <v>222</v>
      </c>
      <c r="F108" s="479">
        <v>3.5001279331489998</v>
      </c>
      <c r="G108" s="480">
        <v>2.6250959498620001</v>
      </c>
      <c r="H108" s="482">
        <v>4.9406564584124654E-324</v>
      </c>
      <c r="I108" s="479">
        <v>1.3635600000000001</v>
      </c>
      <c r="J108" s="480">
        <v>-1.261535949862</v>
      </c>
      <c r="K108" s="483">
        <v>0.38957433157900001</v>
      </c>
    </row>
    <row r="109" spans="1:11" ht="14.4" customHeight="1" thickBot="1" x14ac:dyDescent="0.35">
      <c r="A109" s="501" t="s">
        <v>317</v>
      </c>
      <c r="B109" s="479">
        <v>4.9406564584124654E-324</v>
      </c>
      <c r="C109" s="479">
        <v>1.7010000000000001</v>
      </c>
      <c r="D109" s="480">
        <v>1.7010000000000001</v>
      </c>
      <c r="E109" s="491" t="s">
        <v>222</v>
      </c>
      <c r="F109" s="479">
        <v>0</v>
      </c>
      <c r="G109" s="480">
        <v>0</v>
      </c>
      <c r="H109" s="482">
        <v>4.9406564584124654E-324</v>
      </c>
      <c r="I109" s="479">
        <v>4.4465908125712189E-323</v>
      </c>
      <c r="J109" s="480">
        <v>4.4465908125712189E-323</v>
      </c>
      <c r="K109" s="489" t="s">
        <v>216</v>
      </c>
    </row>
    <row r="110" spans="1:11" ht="14.4" customHeight="1" thickBot="1" x14ac:dyDescent="0.35">
      <c r="A110" s="498" t="s">
        <v>51</v>
      </c>
      <c r="B110" s="479">
        <v>39702.997809436398</v>
      </c>
      <c r="C110" s="479">
        <v>41483.585630000001</v>
      </c>
      <c r="D110" s="480">
        <v>1780.58782056359</v>
      </c>
      <c r="E110" s="481">
        <v>1.0448476920830001</v>
      </c>
      <c r="F110" s="479">
        <v>37935.989767666098</v>
      </c>
      <c r="G110" s="480">
        <v>28451.992325749601</v>
      </c>
      <c r="H110" s="482">
        <v>3196.3629900000001</v>
      </c>
      <c r="I110" s="479">
        <v>29792.276160000001</v>
      </c>
      <c r="J110" s="480">
        <v>1340.2838342503901</v>
      </c>
      <c r="K110" s="483">
        <v>0.78533014012400004</v>
      </c>
    </row>
    <row r="111" spans="1:11" ht="14.4" customHeight="1" thickBot="1" x14ac:dyDescent="0.35">
      <c r="A111" s="503" t="s">
        <v>318</v>
      </c>
      <c r="B111" s="484">
        <v>29405.998229430701</v>
      </c>
      <c r="C111" s="484">
        <v>30799.249</v>
      </c>
      <c r="D111" s="485">
        <v>1393.2507705692699</v>
      </c>
      <c r="E111" s="486">
        <v>1.047379815495</v>
      </c>
      <c r="F111" s="484">
        <v>28122.999999998501</v>
      </c>
      <c r="G111" s="485">
        <v>21092.249999998799</v>
      </c>
      <c r="H111" s="487">
        <v>2370.9659999999999</v>
      </c>
      <c r="I111" s="484">
        <v>22104.595000000001</v>
      </c>
      <c r="J111" s="485">
        <v>1012.34500000115</v>
      </c>
      <c r="K111" s="490">
        <v>0.785997048679</v>
      </c>
    </row>
    <row r="112" spans="1:11" ht="14.4" customHeight="1" thickBot="1" x14ac:dyDescent="0.35">
      <c r="A112" s="500" t="s">
        <v>319</v>
      </c>
      <c r="B112" s="484">
        <v>29314.9982749099</v>
      </c>
      <c r="C112" s="484">
        <v>30611.191999999999</v>
      </c>
      <c r="D112" s="485">
        <v>1296.1937250900501</v>
      </c>
      <c r="E112" s="486">
        <v>1.044216060084</v>
      </c>
      <c r="F112" s="484">
        <v>28037.999999998501</v>
      </c>
      <c r="G112" s="485">
        <v>21028.499999998901</v>
      </c>
      <c r="H112" s="487">
        <v>2355.346</v>
      </c>
      <c r="I112" s="484">
        <v>21903.291000000001</v>
      </c>
      <c r="J112" s="485">
        <v>874.79100000114704</v>
      </c>
      <c r="K112" s="490">
        <v>0.78120019259499995</v>
      </c>
    </row>
    <row r="113" spans="1:11" ht="14.4" customHeight="1" thickBot="1" x14ac:dyDescent="0.35">
      <c r="A113" s="501" t="s">
        <v>320</v>
      </c>
      <c r="B113" s="479">
        <v>29314.9982749099</v>
      </c>
      <c r="C113" s="479">
        <v>30611.191999999999</v>
      </c>
      <c r="D113" s="480">
        <v>1296.1937250900501</v>
      </c>
      <c r="E113" s="481">
        <v>1.044216060084</v>
      </c>
      <c r="F113" s="479">
        <v>28037.999999998501</v>
      </c>
      <c r="G113" s="480">
        <v>21028.499999998901</v>
      </c>
      <c r="H113" s="482">
        <v>2355.346</v>
      </c>
      <c r="I113" s="479">
        <v>21903.291000000001</v>
      </c>
      <c r="J113" s="480">
        <v>874.79100000114704</v>
      </c>
      <c r="K113" s="483">
        <v>0.78120019259499995</v>
      </c>
    </row>
    <row r="114" spans="1:11" ht="14.4" customHeight="1" thickBot="1" x14ac:dyDescent="0.35">
      <c r="A114" s="500" t="s">
        <v>321</v>
      </c>
      <c r="B114" s="484">
        <v>4.9406564584124654E-324</v>
      </c>
      <c r="C114" s="484">
        <v>85.08</v>
      </c>
      <c r="D114" s="485">
        <v>85.08</v>
      </c>
      <c r="E114" s="492" t="s">
        <v>222</v>
      </c>
      <c r="F114" s="484">
        <v>84.999999999994998</v>
      </c>
      <c r="G114" s="485">
        <v>63.749999999996</v>
      </c>
      <c r="H114" s="487">
        <v>15.62</v>
      </c>
      <c r="I114" s="484">
        <v>107.03</v>
      </c>
      <c r="J114" s="485">
        <v>43.280000000003</v>
      </c>
      <c r="K114" s="490">
        <v>1.259176470588</v>
      </c>
    </row>
    <row r="115" spans="1:11" ht="14.4" customHeight="1" thickBot="1" x14ac:dyDescent="0.35">
      <c r="A115" s="501" t="s">
        <v>322</v>
      </c>
      <c r="B115" s="479">
        <v>4.9406564584124654E-324</v>
      </c>
      <c r="C115" s="479">
        <v>85.08</v>
      </c>
      <c r="D115" s="480">
        <v>85.08</v>
      </c>
      <c r="E115" s="491" t="s">
        <v>222</v>
      </c>
      <c r="F115" s="479">
        <v>84.999999999994998</v>
      </c>
      <c r="G115" s="480">
        <v>63.749999999996</v>
      </c>
      <c r="H115" s="482">
        <v>15.62</v>
      </c>
      <c r="I115" s="479">
        <v>107.03</v>
      </c>
      <c r="J115" s="480">
        <v>43.280000000003</v>
      </c>
      <c r="K115" s="483">
        <v>1.259176470588</v>
      </c>
    </row>
    <row r="116" spans="1:11" ht="14.4" customHeight="1" thickBot="1" x14ac:dyDescent="0.35">
      <c r="A116" s="500" t="s">
        <v>323</v>
      </c>
      <c r="B116" s="484">
        <v>90.999954520787</v>
      </c>
      <c r="C116" s="484">
        <v>102.977</v>
      </c>
      <c r="D116" s="485">
        <v>11.977045479212</v>
      </c>
      <c r="E116" s="486">
        <v>1.131615950164</v>
      </c>
      <c r="F116" s="484">
        <v>0</v>
      </c>
      <c r="G116" s="485">
        <v>0</v>
      </c>
      <c r="H116" s="487">
        <v>4.9406564584124654E-324</v>
      </c>
      <c r="I116" s="484">
        <v>94.274000000000001</v>
      </c>
      <c r="J116" s="485">
        <v>94.274000000000001</v>
      </c>
      <c r="K116" s="488" t="s">
        <v>216</v>
      </c>
    </row>
    <row r="117" spans="1:11" ht="14.4" customHeight="1" thickBot="1" x14ac:dyDescent="0.35">
      <c r="A117" s="501" t="s">
        <v>324</v>
      </c>
      <c r="B117" s="479">
        <v>90.999954520787</v>
      </c>
      <c r="C117" s="479">
        <v>102.977</v>
      </c>
      <c r="D117" s="480">
        <v>11.977045479212</v>
      </c>
      <c r="E117" s="481">
        <v>1.131615950164</v>
      </c>
      <c r="F117" s="479">
        <v>0</v>
      </c>
      <c r="G117" s="480">
        <v>0</v>
      </c>
      <c r="H117" s="482">
        <v>4.9406564584124654E-324</v>
      </c>
      <c r="I117" s="479">
        <v>94.274000000000001</v>
      </c>
      <c r="J117" s="480">
        <v>94.274000000000001</v>
      </c>
      <c r="K117" s="489" t="s">
        <v>216</v>
      </c>
    </row>
    <row r="118" spans="1:11" ht="14.4" customHeight="1" thickBot="1" x14ac:dyDescent="0.35">
      <c r="A118" s="499" t="s">
        <v>325</v>
      </c>
      <c r="B118" s="479">
        <v>10000.999437828201</v>
      </c>
      <c r="C118" s="479">
        <v>10377.192580000001</v>
      </c>
      <c r="D118" s="480">
        <v>376.19314217178697</v>
      </c>
      <c r="E118" s="481">
        <v>1.037615554776</v>
      </c>
      <c r="F118" s="479">
        <v>9533.9897676677101</v>
      </c>
      <c r="G118" s="480">
        <v>7150.4923257507799</v>
      </c>
      <c r="H118" s="482">
        <v>801.84365000000003</v>
      </c>
      <c r="I118" s="479">
        <v>7467.70532</v>
      </c>
      <c r="J118" s="480">
        <v>317.21299424921801</v>
      </c>
      <c r="K118" s="483">
        <v>0.78327179931699997</v>
      </c>
    </row>
    <row r="119" spans="1:11" ht="14.4" customHeight="1" thickBot="1" x14ac:dyDescent="0.35">
      <c r="A119" s="500" t="s">
        <v>326</v>
      </c>
      <c r="B119" s="484">
        <v>2647.9998805608602</v>
      </c>
      <c r="C119" s="484">
        <v>2762.6583999999998</v>
      </c>
      <c r="D119" s="485">
        <v>114.658519439145</v>
      </c>
      <c r="E119" s="486">
        <v>1.0433000470580001</v>
      </c>
      <c r="F119" s="484">
        <v>2523.9999805729799</v>
      </c>
      <c r="G119" s="485">
        <v>1892.99998542974</v>
      </c>
      <c r="H119" s="487">
        <v>212.25712999999999</v>
      </c>
      <c r="I119" s="484">
        <v>1976.74476</v>
      </c>
      <c r="J119" s="485">
        <v>83.744774570263004</v>
      </c>
      <c r="K119" s="490">
        <v>0.78317938796099995</v>
      </c>
    </row>
    <row r="120" spans="1:11" ht="14.4" customHeight="1" thickBot="1" x14ac:dyDescent="0.35">
      <c r="A120" s="501" t="s">
        <v>327</v>
      </c>
      <c r="B120" s="479">
        <v>2647.9998805608602</v>
      </c>
      <c r="C120" s="479">
        <v>2762.6583999999998</v>
      </c>
      <c r="D120" s="480">
        <v>114.658519439145</v>
      </c>
      <c r="E120" s="481">
        <v>1.0433000470580001</v>
      </c>
      <c r="F120" s="479">
        <v>2523.9999805729799</v>
      </c>
      <c r="G120" s="480">
        <v>1892.99998542974</v>
      </c>
      <c r="H120" s="482">
        <v>212.25712999999999</v>
      </c>
      <c r="I120" s="479">
        <v>1976.74476</v>
      </c>
      <c r="J120" s="480">
        <v>83.744774570263004</v>
      </c>
      <c r="K120" s="483">
        <v>0.78317938796099995</v>
      </c>
    </row>
    <row r="121" spans="1:11" ht="14.4" customHeight="1" thickBot="1" x14ac:dyDescent="0.35">
      <c r="A121" s="500" t="s">
        <v>328</v>
      </c>
      <c r="B121" s="484">
        <v>7352.9995572673697</v>
      </c>
      <c r="C121" s="484">
        <v>7614.5341799999997</v>
      </c>
      <c r="D121" s="485">
        <v>261.53462273263398</v>
      </c>
      <c r="E121" s="486">
        <v>1.035568426285</v>
      </c>
      <c r="F121" s="484">
        <v>7009.9897870947198</v>
      </c>
      <c r="G121" s="485">
        <v>5257.4923403210396</v>
      </c>
      <c r="H121" s="487">
        <v>589.58651999999995</v>
      </c>
      <c r="I121" s="484">
        <v>5490.9605600000004</v>
      </c>
      <c r="J121" s="485">
        <v>233.46821967895499</v>
      </c>
      <c r="K121" s="490">
        <v>0.78330507272700001</v>
      </c>
    </row>
    <row r="122" spans="1:11" ht="14.4" customHeight="1" thickBot="1" x14ac:dyDescent="0.35">
      <c r="A122" s="501" t="s">
        <v>329</v>
      </c>
      <c r="B122" s="479">
        <v>7352.9995572673697</v>
      </c>
      <c r="C122" s="479">
        <v>7614.5341799999997</v>
      </c>
      <c r="D122" s="480">
        <v>261.53462273263398</v>
      </c>
      <c r="E122" s="481">
        <v>1.035568426285</v>
      </c>
      <c r="F122" s="479">
        <v>7009.9897870947198</v>
      </c>
      <c r="G122" s="480">
        <v>5257.4923403210396</v>
      </c>
      <c r="H122" s="482">
        <v>589.58651999999995</v>
      </c>
      <c r="I122" s="479">
        <v>5490.9605600000004</v>
      </c>
      <c r="J122" s="480">
        <v>233.46821967895499</v>
      </c>
      <c r="K122" s="483">
        <v>0.78330507272700001</v>
      </c>
    </row>
    <row r="123" spans="1:11" ht="14.4" customHeight="1" thickBot="1" x14ac:dyDescent="0.35">
      <c r="A123" s="499" t="s">
        <v>330</v>
      </c>
      <c r="B123" s="479">
        <v>296.00014217748799</v>
      </c>
      <c r="C123" s="479">
        <v>307.14404999999999</v>
      </c>
      <c r="D123" s="480">
        <v>11.143907822511</v>
      </c>
      <c r="E123" s="481">
        <v>1.037648319154</v>
      </c>
      <c r="F123" s="479">
        <v>278.99999999998499</v>
      </c>
      <c r="G123" s="480">
        <v>209.24999999998801</v>
      </c>
      <c r="H123" s="482">
        <v>23.553339999999999</v>
      </c>
      <c r="I123" s="479">
        <v>219.97584000000001</v>
      </c>
      <c r="J123" s="480">
        <v>10.725840000011001</v>
      </c>
      <c r="K123" s="483">
        <v>0.78844387096699997</v>
      </c>
    </row>
    <row r="124" spans="1:11" ht="14.4" customHeight="1" thickBot="1" x14ac:dyDescent="0.35">
      <c r="A124" s="500" t="s">
        <v>331</v>
      </c>
      <c r="B124" s="484">
        <v>296.00014217748799</v>
      </c>
      <c r="C124" s="484">
        <v>307.14404999999999</v>
      </c>
      <c r="D124" s="485">
        <v>11.143907822511</v>
      </c>
      <c r="E124" s="486">
        <v>1.037648319154</v>
      </c>
      <c r="F124" s="484">
        <v>278.99999999998499</v>
      </c>
      <c r="G124" s="485">
        <v>209.24999999998801</v>
      </c>
      <c r="H124" s="487">
        <v>23.553339999999999</v>
      </c>
      <c r="I124" s="484">
        <v>219.97584000000001</v>
      </c>
      <c r="J124" s="485">
        <v>10.725840000011001</v>
      </c>
      <c r="K124" s="490">
        <v>0.78844387096699997</v>
      </c>
    </row>
    <row r="125" spans="1:11" ht="14.4" customHeight="1" thickBot="1" x14ac:dyDescent="0.35">
      <c r="A125" s="501" t="s">
        <v>332</v>
      </c>
      <c r="B125" s="479">
        <v>296.00014217748799</v>
      </c>
      <c r="C125" s="479">
        <v>307.14404999999999</v>
      </c>
      <c r="D125" s="480">
        <v>11.143907822511</v>
      </c>
      <c r="E125" s="481">
        <v>1.037648319154</v>
      </c>
      <c r="F125" s="479">
        <v>278.99999999998499</v>
      </c>
      <c r="G125" s="480">
        <v>209.24999999998801</v>
      </c>
      <c r="H125" s="482">
        <v>23.553339999999999</v>
      </c>
      <c r="I125" s="479">
        <v>219.97584000000001</v>
      </c>
      <c r="J125" s="480">
        <v>10.725840000011001</v>
      </c>
      <c r="K125" s="483">
        <v>0.78844387096699997</v>
      </c>
    </row>
    <row r="126" spans="1:11" ht="14.4" customHeight="1" thickBot="1" x14ac:dyDescent="0.35">
      <c r="A126" s="498" t="s">
        <v>333</v>
      </c>
      <c r="B126" s="479">
        <v>4.9406564584124654E-324</v>
      </c>
      <c r="C126" s="479">
        <v>71.791799999999995</v>
      </c>
      <c r="D126" s="480">
        <v>71.791799999999995</v>
      </c>
      <c r="E126" s="491" t="s">
        <v>222</v>
      </c>
      <c r="F126" s="479">
        <v>0</v>
      </c>
      <c r="G126" s="480">
        <v>0</v>
      </c>
      <c r="H126" s="482">
        <v>0.7</v>
      </c>
      <c r="I126" s="479">
        <v>21.771450000000002</v>
      </c>
      <c r="J126" s="480">
        <v>21.771450000000002</v>
      </c>
      <c r="K126" s="489" t="s">
        <v>216</v>
      </c>
    </row>
    <row r="127" spans="1:11" ht="14.4" customHeight="1" thickBot="1" x14ac:dyDescent="0.35">
      <c r="A127" s="499" t="s">
        <v>334</v>
      </c>
      <c r="B127" s="479">
        <v>4.9406564584124654E-324</v>
      </c>
      <c r="C127" s="479">
        <v>71.791799999999995</v>
      </c>
      <c r="D127" s="480">
        <v>71.791799999999995</v>
      </c>
      <c r="E127" s="491" t="s">
        <v>222</v>
      </c>
      <c r="F127" s="479">
        <v>0</v>
      </c>
      <c r="G127" s="480">
        <v>0</v>
      </c>
      <c r="H127" s="482">
        <v>0.7</v>
      </c>
      <c r="I127" s="479">
        <v>21.771450000000002</v>
      </c>
      <c r="J127" s="480">
        <v>21.771450000000002</v>
      </c>
      <c r="K127" s="489" t="s">
        <v>216</v>
      </c>
    </row>
    <row r="128" spans="1:11" ht="14.4" customHeight="1" thickBot="1" x14ac:dyDescent="0.35">
      <c r="A128" s="500" t="s">
        <v>335</v>
      </c>
      <c r="B128" s="484">
        <v>4.9406564584124654E-324</v>
      </c>
      <c r="C128" s="484">
        <v>58.151800000000001</v>
      </c>
      <c r="D128" s="485">
        <v>58.151800000000001</v>
      </c>
      <c r="E128" s="492" t="s">
        <v>222</v>
      </c>
      <c r="F128" s="484">
        <v>0</v>
      </c>
      <c r="G128" s="485">
        <v>0</v>
      </c>
      <c r="H128" s="487">
        <v>4.9406564584124654E-324</v>
      </c>
      <c r="I128" s="484">
        <v>13.27145</v>
      </c>
      <c r="J128" s="485">
        <v>13.27145</v>
      </c>
      <c r="K128" s="488" t="s">
        <v>216</v>
      </c>
    </row>
    <row r="129" spans="1:11" ht="14.4" customHeight="1" thickBot="1" x14ac:dyDescent="0.35">
      <c r="A129" s="501" t="s">
        <v>336</v>
      </c>
      <c r="B129" s="479">
        <v>4.9406564584124654E-324</v>
      </c>
      <c r="C129" s="479">
        <v>6.7127999999999997</v>
      </c>
      <c r="D129" s="480">
        <v>6.7127999999999997</v>
      </c>
      <c r="E129" s="491" t="s">
        <v>222</v>
      </c>
      <c r="F129" s="479">
        <v>0</v>
      </c>
      <c r="G129" s="480">
        <v>0</v>
      </c>
      <c r="H129" s="482">
        <v>4.9406564584124654E-324</v>
      </c>
      <c r="I129" s="479">
        <v>4.9894499999999997</v>
      </c>
      <c r="J129" s="480">
        <v>4.9894499999999997</v>
      </c>
      <c r="K129" s="489" t="s">
        <v>216</v>
      </c>
    </row>
    <row r="130" spans="1:11" ht="14.4" customHeight="1" thickBot="1" x14ac:dyDescent="0.35">
      <c r="A130" s="501" t="s">
        <v>337</v>
      </c>
      <c r="B130" s="479">
        <v>4.9406564584124654E-324</v>
      </c>
      <c r="C130" s="479">
        <v>3</v>
      </c>
      <c r="D130" s="480">
        <v>3</v>
      </c>
      <c r="E130" s="491" t="s">
        <v>222</v>
      </c>
      <c r="F130" s="479">
        <v>0</v>
      </c>
      <c r="G130" s="480">
        <v>0</v>
      </c>
      <c r="H130" s="482">
        <v>4.9406564584124654E-324</v>
      </c>
      <c r="I130" s="479">
        <v>0.599999999999</v>
      </c>
      <c r="J130" s="480">
        <v>0.599999999999</v>
      </c>
      <c r="K130" s="489" t="s">
        <v>216</v>
      </c>
    </row>
    <row r="131" spans="1:11" ht="14.4" customHeight="1" thickBot="1" x14ac:dyDescent="0.35">
      <c r="A131" s="501" t="s">
        <v>338</v>
      </c>
      <c r="B131" s="479">
        <v>4.9406564584124654E-324</v>
      </c>
      <c r="C131" s="479">
        <v>48.439</v>
      </c>
      <c r="D131" s="480">
        <v>48.439</v>
      </c>
      <c r="E131" s="491" t="s">
        <v>222</v>
      </c>
      <c r="F131" s="479">
        <v>0</v>
      </c>
      <c r="G131" s="480">
        <v>0</v>
      </c>
      <c r="H131" s="482">
        <v>4.9406564584124654E-324</v>
      </c>
      <c r="I131" s="479">
        <v>7.6820000000000004</v>
      </c>
      <c r="J131" s="480">
        <v>7.6820000000000004</v>
      </c>
      <c r="K131" s="489" t="s">
        <v>216</v>
      </c>
    </row>
    <row r="132" spans="1:11" ht="14.4" customHeight="1" thickBot="1" x14ac:dyDescent="0.35">
      <c r="A132" s="504" t="s">
        <v>339</v>
      </c>
      <c r="B132" s="479">
        <v>4.9406564584124654E-324</v>
      </c>
      <c r="C132" s="479">
        <v>5.8</v>
      </c>
      <c r="D132" s="480">
        <v>5.8</v>
      </c>
      <c r="E132" s="491" t="s">
        <v>222</v>
      </c>
      <c r="F132" s="479">
        <v>0</v>
      </c>
      <c r="G132" s="480">
        <v>0</v>
      </c>
      <c r="H132" s="482">
        <v>0.7</v>
      </c>
      <c r="I132" s="479">
        <v>6.1</v>
      </c>
      <c r="J132" s="480">
        <v>6.1</v>
      </c>
      <c r="K132" s="489" t="s">
        <v>216</v>
      </c>
    </row>
    <row r="133" spans="1:11" ht="14.4" customHeight="1" thickBot="1" x14ac:dyDescent="0.35">
      <c r="A133" s="501" t="s">
        <v>340</v>
      </c>
      <c r="B133" s="479">
        <v>4.9406564584124654E-324</v>
      </c>
      <c r="C133" s="479">
        <v>5.8</v>
      </c>
      <c r="D133" s="480">
        <v>5.8</v>
      </c>
      <c r="E133" s="491" t="s">
        <v>222</v>
      </c>
      <c r="F133" s="479">
        <v>0</v>
      </c>
      <c r="G133" s="480">
        <v>0</v>
      </c>
      <c r="H133" s="482">
        <v>0.7</v>
      </c>
      <c r="I133" s="479">
        <v>6.1</v>
      </c>
      <c r="J133" s="480">
        <v>6.1</v>
      </c>
      <c r="K133" s="489" t="s">
        <v>216</v>
      </c>
    </row>
    <row r="134" spans="1:11" ht="14.4" customHeight="1" thickBot="1" x14ac:dyDescent="0.35">
      <c r="A134" s="500" t="s">
        <v>341</v>
      </c>
      <c r="B134" s="484">
        <v>4.9406564584124654E-324</v>
      </c>
      <c r="C134" s="484">
        <v>7.84</v>
      </c>
      <c r="D134" s="485">
        <v>7.84</v>
      </c>
      <c r="E134" s="492" t="s">
        <v>222</v>
      </c>
      <c r="F134" s="484">
        <v>0</v>
      </c>
      <c r="G134" s="485">
        <v>0</v>
      </c>
      <c r="H134" s="487">
        <v>4.9406564584124654E-324</v>
      </c>
      <c r="I134" s="484">
        <v>2.4</v>
      </c>
      <c r="J134" s="485">
        <v>2.4</v>
      </c>
      <c r="K134" s="488" t="s">
        <v>216</v>
      </c>
    </row>
    <row r="135" spans="1:11" ht="14.4" customHeight="1" thickBot="1" x14ac:dyDescent="0.35">
      <c r="A135" s="501" t="s">
        <v>342</v>
      </c>
      <c r="B135" s="479">
        <v>4.9406564584124654E-324</v>
      </c>
      <c r="C135" s="479">
        <v>7.84</v>
      </c>
      <c r="D135" s="480">
        <v>7.84</v>
      </c>
      <c r="E135" s="491" t="s">
        <v>222</v>
      </c>
      <c r="F135" s="479">
        <v>0</v>
      </c>
      <c r="G135" s="480">
        <v>0</v>
      </c>
      <c r="H135" s="482">
        <v>4.9406564584124654E-324</v>
      </c>
      <c r="I135" s="479">
        <v>2.4</v>
      </c>
      <c r="J135" s="480">
        <v>2.4</v>
      </c>
      <c r="K135" s="489" t="s">
        <v>216</v>
      </c>
    </row>
    <row r="136" spans="1:11" ht="14.4" customHeight="1" thickBot="1" x14ac:dyDescent="0.35">
      <c r="A136" s="498" t="s">
        <v>343</v>
      </c>
      <c r="B136" s="479">
        <v>2723.29975602696</v>
      </c>
      <c r="C136" s="479">
        <v>2515.7130400000001</v>
      </c>
      <c r="D136" s="480">
        <v>-207.58671602696299</v>
      </c>
      <c r="E136" s="481">
        <v>0.92377382784700002</v>
      </c>
      <c r="F136" s="479">
        <v>2180.9999999998799</v>
      </c>
      <c r="G136" s="480">
        <v>1635.74999999991</v>
      </c>
      <c r="H136" s="482">
        <v>197.41269</v>
      </c>
      <c r="I136" s="479">
        <v>1583.4468300000001</v>
      </c>
      <c r="J136" s="480">
        <v>-52.303169999909002</v>
      </c>
      <c r="K136" s="483">
        <v>0.72601872076999996</v>
      </c>
    </row>
    <row r="137" spans="1:11" ht="14.4" customHeight="1" thickBot="1" x14ac:dyDescent="0.35">
      <c r="A137" s="499" t="s">
        <v>344</v>
      </c>
      <c r="B137" s="479">
        <v>2694.9997977309399</v>
      </c>
      <c r="C137" s="479">
        <v>2328.5880000000002</v>
      </c>
      <c r="D137" s="480">
        <v>-366.41179773093597</v>
      </c>
      <c r="E137" s="481">
        <v>0.86404013905999999</v>
      </c>
      <c r="F137" s="479">
        <v>2180.9999999998799</v>
      </c>
      <c r="G137" s="480">
        <v>1635.74999999991</v>
      </c>
      <c r="H137" s="482">
        <v>173.31899999999999</v>
      </c>
      <c r="I137" s="479">
        <v>1357.2329999999999</v>
      </c>
      <c r="J137" s="480">
        <v>-278.51699999991001</v>
      </c>
      <c r="K137" s="483">
        <v>0.62229848693199996</v>
      </c>
    </row>
    <row r="138" spans="1:11" ht="14.4" customHeight="1" thickBot="1" x14ac:dyDescent="0.35">
      <c r="A138" s="500" t="s">
        <v>345</v>
      </c>
      <c r="B138" s="484">
        <v>2694.9997977309399</v>
      </c>
      <c r="C138" s="484">
        <v>2282.7829999999999</v>
      </c>
      <c r="D138" s="485">
        <v>-412.21679773093598</v>
      </c>
      <c r="E138" s="486">
        <v>0.84704384836000002</v>
      </c>
      <c r="F138" s="484">
        <v>2180.9999999998799</v>
      </c>
      <c r="G138" s="485">
        <v>1635.74999999991</v>
      </c>
      <c r="H138" s="487">
        <v>173.31899999999999</v>
      </c>
      <c r="I138" s="484">
        <v>1357.2329999999999</v>
      </c>
      <c r="J138" s="485">
        <v>-278.51699999991001</v>
      </c>
      <c r="K138" s="490">
        <v>0.62229848693199996</v>
      </c>
    </row>
    <row r="139" spans="1:11" ht="14.4" customHeight="1" thickBot="1" x14ac:dyDescent="0.35">
      <c r="A139" s="501" t="s">
        <v>346</v>
      </c>
      <c r="B139" s="479">
        <v>59.000036447539003</v>
      </c>
      <c r="C139" s="479">
        <v>58.173000000000002</v>
      </c>
      <c r="D139" s="480">
        <v>-0.82703644753899996</v>
      </c>
      <c r="E139" s="481">
        <v>0.98598244175100003</v>
      </c>
      <c r="F139" s="479">
        <v>35.999999999998003</v>
      </c>
      <c r="G139" s="480">
        <v>26.999999999998</v>
      </c>
      <c r="H139" s="482">
        <v>8.5850000000000009</v>
      </c>
      <c r="I139" s="479">
        <v>48.515999999999998</v>
      </c>
      <c r="J139" s="480">
        <v>21.516000000001</v>
      </c>
      <c r="K139" s="483">
        <v>1.347666666666</v>
      </c>
    </row>
    <row r="140" spans="1:11" ht="14.4" customHeight="1" thickBot="1" x14ac:dyDescent="0.35">
      <c r="A140" s="501" t="s">
        <v>347</v>
      </c>
      <c r="B140" s="479">
        <v>2005.9997992164199</v>
      </c>
      <c r="C140" s="479">
        <v>1601.1389999999999</v>
      </c>
      <c r="D140" s="480">
        <v>-404.86079921642499</v>
      </c>
      <c r="E140" s="481">
        <v>0.79817505496499996</v>
      </c>
      <c r="F140" s="479">
        <v>1591.99999999991</v>
      </c>
      <c r="G140" s="480">
        <v>1193.99999999993</v>
      </c>
      <c r="H140" s="482">
        <v>113.831</v>
      </c>
      <c r="I140" s="479">
        <v>875.15899999999999</v>
      </c>
      <c r="J140" s="480">
        <v>-318.84099999993401</v>
      </c>
      <c r="K140" s="483">
        <v>0.54972298994900004</v>
      </c>
    </row>
    <row r="141" spans="1:11" ht="14.4" customHeight="1" thickBot="1" x14ac:dyDescent="0.35">
      <c r="A141" s="501" t="s">
        <v>348</v>
      </c>
      <c r="B141" s="479">
        <v>4.9406564584124654E-324</v>
      </c>
      <c r="C141" s="479">
        <v>4.9406564584124654E-324</v>
      </c>
      <c r="D141" s="480">
        <v>0</v>
      </c>
      <c r="E141" s="481">
        <v>1</v>
      </c>
      <c r="F141" s="479">
        <v>4.9999999999989999</v>
      </c>
      <c r="G141" s="480">
        <v>3.7499999999989999</v>
      </c>
      <c r="H141" s="482">
        <v>5.1079999999999997</v>
      </c>
      <c r="I141" s="479">
        <v>22.013000000000002</v>
      </c>
      <c r="J141" s="480">
        <v>18.263000000000002</v>
      </c>
      <c r="K141" s="483">
        <v>4.4025999999999996</v>
      </c>
    </row>
    <row r="142" spans="1:11" ht="14.4" customHeight="1" thickBot="1" x14ac:dyDescent="0.35">
      <c r="A142" s="501" t="s">
        <v>349</v>
      </c>
      <c r="B142" s="479">
        <v>2.9998798193730001</v>
      </c>
      <c r="C142" s="479">
        <v>2.532</v>
      </c>
      <c r="D142" s="480">
        <v>-0.46787981937299999</v>
      </c>
      <c r="E142" s="481">
        <v>0.84403381216999995</v>
      </c>
      <c r="F142" s="479">
        <v>0.99999999999900002</v>
      </c>
      <c r="G142" s="480">
        <v>0.74999999999900002</v>
      </c>
      <c r="H142" s="482">
        <v>0.26200000000000001</v>
      </c>
      <c r="I142" s="479">
        <v>1.7370000000000001</v>
      </c>
      <c r="J142" s="480">
        <v>0.98699999999999999</v>
      </c>
      <c r="K142" s="483">
        <v>1.7370000000000001</v>
      </c>
    </row>
    <row r="143" spans="1:11" ht="14.4" customHeight="1" thickBot="1" x14ac:dyDescent="0.35">
      <c r="A143" s="501" t="s">
        <v>350</v>
      </c>
      <c r="B143" s="479">
        <v>627.00008224759699</v>
      </c>
      <c r="C143" s="479">
        <v>620.93899999999996</v>
      </c>
      <c r="D143" s="480">
        <v>-6.0610822475969997</v>
      </c>
      <c r="E143" s="481">
        <v>0.990333203424</v>
      </c>
      <c r="F143" s="479">
        <v>546.99999999996999</v>
      </c>
      <c r="G143" s="480">
        <v>410.24999999997698</v>
      </c>
      <c r="H143" s="482">
        <v>45.533000000000001</v>
      </c>
      <c r="I143" s="479">
        <v>409.80799999999999</v>
      </c>
      <c r="J143" s="480">
        <v>-0.44199999997700001</v>
      </c>
      <c r="K143" s="483">
        <v>0.74919195612400002</v>
      </c>
    </row>
    <row r="144" spans="1:11" ht="14.4" customHeight="1" thickBot="1" x14ac:dyDescent="0.35">
      <c r="A144" s="500" t="s">
        <v>351</v>
      </c>
      <c r="B144" s="484">
        <v>4.9406564584124654E-324</v>
      </c>
      <c r="C144" s="484">
        <v>45.805</v>
      </c>
      <c r="D144" s="485">
        <v>45.805</v>
      </c>
      <c r="E144" s="492" t="s">
        <v>222</v>
      </c>
      <c r="F144" s="484">
        <v>0</v>
      </c>
      <c r="G144" s="485">
        <v>0</v>
      </c>
      <c r="H144" s="487">
        <v>4.9406564584124654E-324</v>
      </c>
      <c r="I144" s="484">
        <v>4.4465908125712189E-323</v>
      </c>
      <c r="J144" s="485">
        <v>4.4465908125712189E-323</v>
      </c>
      <c r="K144" s="488" t="s">
        <v>216</v>
      </c>
    </row>
    <row r="145" spans="1:11" ht="14.4" customHeight="1" thickBot="1" x14ac:dyDescent="0.35">
      <c r="A145" s="501" t="s">
        <v>352</v>
      </c>
      <c r="B145" s="479">
        <v>4.9406564584124654E-324</v>
      </c>
      <c r="C145" s="479">
        <v>45.805</v>
      </c>
      <c r="D145" s="480">
        <v>45.805</v>
      </c>
      <c r="E145" s="491" t="s">
        <v>222</v>
      </c>
      <c r="F145" s="479">
        <v>0</v>
      </c>
      <c r="G145" s="480">
        <v>0</v>
      </c>
      <c r="H145" s="482">
        <v>4.9406564584124654E-324</v>
      </c>
      <c r="I145" s="479">
        <v>4.4465908125712189E-323</v>
      </c>
      <c r="J145" s="480">
        <v>4.4465908125712189E-323</v>
      </c>
      <c r="K145" s="489" t="s">
        <v>216</v>
      </c>
    </row>
    <row r="146" spans="1:11" ht="14.4" customHeight="1" thickBot="1" x14ac:dyDescent="0.35">
      <c r="A146" s="499" t="s">
        <v>353</v>
      </c>
      <c r="B146" s="479">
        <v>28.299958296025999</v>
      </c>
      <c r="C146" s="479">
        <v>187.12504000000001</v>
      </c>
      <c r="D146" s="480">
        <v>158.82508170397301</v>
      </c>
      <c r="E146" s="481">
        <v>6.6122019701439996</v>
      </c>
      <c r="F146" s="479">
        <v>0</v>
      </c>
      <c r="G146" s="480">
        <v>0</v>
      </c>
      <c r="H146" s="482">
        <v>24.093689999999999</v>
      </c>
      <c r="I146" s="479">
        <v>226.21383</v>
      </c>
      <c r="J146" s="480">
        <v>226.21383</v>
      </c>
      <c r="K146" s="489" t="s">
        <v>216</v>
      </c>
    </row>
    <row r="147" spans="1:11" ht="14.4" customHeight="1" thickBot="1" x14ac:dyDescent="0.35">
      <c r="A147" s="500" t="s">
        <v>354</v>
      </c>
      <c r="B147" s="484">
        <v>28.299958296025999</v>
      </c>
      <c r="C147" s="484">
        <v>68.912239999999997</v>
      </c>
      <c r="D147" s="485">
        <v>40.612281703972997</v>
      </c>
      <c r="E147" s="486">
        <v>2.435065072504</v>
      </c>
      <c r="F147" s="484">
        <v>0</v>
      </c>
      <c r="G147" s="485">
        <v>0</v>
      </c>
      <c r="H147" s="487">
        <v>10.51369</v>
      </c>
      <c r="I147" s="484">
        <v>122.41992999999999</v>
      </c>
      <c r="J147" s="485">
        <v>122.41992999999999</v>
      </c>
      <c r="K147" s="488" t="s">
        <v>216</v>
      </c>
    </row>
    <row r="148" spans="1:11" ht="14.4" customHeight="1" thickBot="1" x14ac:dyDescent="0.35">
      <c r="A148" s="501" t="s">
        <v>355</v>
      </c>
      <c r="B148" s="479">
        <v>28.299958296025999</v>
      </c>
      <c r="C148" s="479">
        <v>28.313020000000002</v>
      </c>
      <c r="D148" s="480">
        <v>1.3061703972999999E-2</v>
      </c>
      <c r="E148" s="481">
        <v>1.0004615449900001</v>
      </c>
      <c r="F148" s="479">
        <v>0</v>
      </c>
      <c r="G148" s="480">
        <v>0</v>
      </c>
      <c r="H148" s="482">
        <v>10.51369</v>
      </c>
      <c r="I148" s="479">
        <v>88.419659999999993</v>
      </c>
      <c r="J148" s="480">
        <v>88.419659999999993</v>
      </c>
      <c r="K148" s="489" t="s">
        <v>216</v>
      </c>
    </row>
    <row r="149" spans="1:11" ht="14.4" customHeight="1" thickBot="1" x14ac:dyDescent="0.35">
      <c r="A149" s="501" t="s">
        <v>356</v>
      </c>
      <c r="B149" s="479">
        <v>4.9406564584124654E-324</v>
      </c>
      <c r="C149" s="479">
        <v>9.3369999999999997</v>
      </c>
      <c r="D149" s="480">
        <v>9.3369999999999997</v>
      </c>
      <c r="E149" s="491" t="s">
        <v>222</v>
      </c>
      <c r="F149" s="479">
        <v>0</v>
      </c>
      <c r="G149" s="480">
        <v>0</v>
      </c>
      <c r="H149" s="482">
        <v>4.9406564584124654E-324</v>
      </c>
      <c r="I149" s="479">
        <v>4.4465908125712189E-323</v>
      </c>
      <c r="J149" s="480">
        <v>4.4465908125712189E-323</v>
      </c>
      <c r="K149" s="489" t="s">
        <v>216</v>
      </c>
    </row>
    <row r="150" spans="1:11" ht="14.4" customHeight="1" thickBot="1" x14ac:dyDescent="0.35">
      <c r="A150" s="501" t="s">
        <v>357</v>
      </c>
      <c r="B150" s="479">
        <v>4.9406564584124654E-324</v>
      </c>
      <c r="C150" s="479">
        <v>31.262219999999999</v>
      </c>
      <c r="D150" s="480">
        <v>31.262219999999999</v>
      </c>
      <c r="E150" s="491" t="s">
        <v>222</v>
      </c>
      <c r="F150" s="479">
        <v>0</v>
      </c>
      <c r="G150" s="480">
        <v>0</v>
      </c>
      <c r="H150" s="482">
        <v>4.9406564584124654E-324</v>
      </c>
      <c r="I150" s="479">
        <v>34.00027</v>
      </c>
      <c r="J150" s="480">
        <v>34.00027</v>
      </c>
      <c r="K150" s="489" t="s">
        <v>216</v>
      </c>
    </row>
    <row r="151" spans="1:11" ht="14.4" customHeight="1" thickBot="1" x14ac:dyDescent="0.35">
      <c r="A151" s="500" t="s">
        <v>358</v>
      </c>
      <c r="B151" s="484">
        <v>4.9406564584124654E-324</v>
      </c>
      <c r="C151" s="484">
        <v>10.99</v>
      </c>
      <c r="D151" s="485">
        <v>10.99</v>
      </c>
      <c r="E151" s="492" t="s">
        <v>222</v>
      </c>
      <c r="F151" s="484">
        <v>0</v>
      </c>
      <c r="G151" s="485">
        <v>0</v>
      </c>
      <c r="H151" s="487">
        <v>13.58</v>
      </c>
      <c r="I151" s="484">
        <v>18.98</v>
      </c>
      <c r="J151" s="485">
        <v>18.98</v>
      </c>
      <c r="K151" s="488" t="s">
        <v>216</v>
      </c>
    </row>
    <row r="152" spans="1:11" ht="14.4" customHeight="1" thickBot="1" x14ac:dyDescent="0.35">
      <c r="A152" s="501" t="s">
        <v>359</v>
      </c>
      <c r="B152" s="479">
        <v>4.9406564584124654E-324</v>
      </c>
      <c r="C152" s="479">
        <v>10.99</v>
      </c>
      <c r="D152" s="480">
        <v>10.99</v>
      </c>
      <c r="E152" s="491" t="s">
        <v>222</v>
      </c>
      <c r="F152" s="479">
        <v>0</v>
      </c>
      <c r="G152" s="480">
        <v>0</v>
      </c>
      <c r="H152" s="482">
        <v>13.58</v>
      </c>
      <c r="I152" s="479">
        <v>13.58</v>
      </c>
      <c r="J152" s="480">
        <v>13.58</v>
      </c>
      <c r="K152" s="489" t="s">
        <v>216</v>
      </c>
    </row>
    <row r="153" spans="1:11" ht="14.4" customHeight="1" thickBot="1" x14ac:dyDescent="0.35">
      <c r="A153" s="501" t="s">
        <v>360</v>
      </c>
      <c r="B153" s="479">
        <v>4.9406564584124654E-324</v>
      </c>
      <c r="C153" s="479">
        <v>4.9406564584124654E-324</v>
      </c>
      <c r="D153" s="480">
        <v>0</v>
      </c>
      <c r="E153" s="481">
        <v>1</v>
      </c>
      <c r="F153" s="479">
        <v>4.9406564584124654E-324</v>
      </c>
      <c r="G153" s="480">
        <v>0</v>
      </c>
      <c r="H153" s="482">
        <v>4.9406564584124654E-324</v>
      </c>
      <c r="I153" s="479">
        <v>5.4</v>
      </c>
      <c r="J153" s="480">
        <v>5.4</v>
      </c>
      <c r="K153" s="489" t="s">
        <v>222</v>
      </c>
    </row>
    <row r="154" spans="1:11" ht="14.4" customHeight="1" thickBot="1" x14ac:dyDescent="0.35">
      <c r="A154" s="500" t="s">
        <v>361</v>
      </c>
      <c r="B154" s="484">
        <v>4.9406564584124654E-324</v>
      </c>
      <c r="C154" s="484">
        <v>107.22280000000001</v>
      </c>
      <c r="D154" s="485">
        <v>107.22280000000001</v>
      </c>
      <c r="E154" s="492" t="s">
        <v>222</v>
      </c>
      <c r="F154" s="484">
        <v>0</v>
      </c>
      <c r="G154" s="485">
        <v>0</v>
      </c>
      <c r="H154" s="487">
        <v>4.9406564584124654E-324</v>
      </c>
      <c r="I154" s="484">
        <v>49.067999999999003</v>
      </c>
      <c r="J154" s="485">
        <v>49.067999999999003</v>
      </c>
      <c r="K154" s="488" t="s">
        <v>216</v>
      </c>
    </row>
    <row r="155" spans="1:11" ht="14.4" customHeight="1" thickBot="1" x14ac:dyDescent="0.35">
      <c r="A155" s="501" t="s">
        <v>362</v>
      </c>
      <c r="B155" s="479">
        <v>4.9406564584124654E-324</v>
      </c>
      <c r="C155" s="479">
        <v>58.522799999999997</v>
      </c>
      <c r="D155" s="480">
        <v>58.522799999999997</v>
      </c>
      <c r="E155" s="491" t="s">
        <v>222</v>
      </c>
      <c r="F155" s="479">
        <v>0</v>
      </c>
      <c r="G155" s="480">
        <v>0</v>
      </c>
      <c r="H155" s="482">
        <v>4.9406564584124654E-324</v>
      </c>
      <c r="I155" s="479">
        <v>49.067999999999003</v>
      </c>
      <c r="J155" s="480">
        <v>49.067999999999003</v>
      </c>
      <c r="K155" s="489" t="s">
        <v>216</v>
      </c>
    </row>
    <row r="156" spans="1:11" ht="14.4" customHeight="1" thickBot="1" x14ac:dyDescent="0.35">
      <c r="A156" s="501" t="s">
        <v>363</v>
      </c>
      <c r="B156" s="479">
        <v>4.9406564584124654E-324</v>
      </c>
      <c r="C156" s="479">
        <v>48.7</v>
      </c>
      <c r="D156" s="480">
        <v>48.7</v>
      </c>
      <c r="E156" s="491" t="s">
        <v>222</v>
      </c>
      <c r="F156" s="479">
        <v>0</v>
      </c>
      <c r="G156" s="480">
        <v>0</v>
      </c>
      <c r="H156" s="482">
        <v>4.9406564584124654E-324</v>
      </c>
      <c r="I156" s="479">
        <v>4.4465908125712189E-323</v>
      </c>
      <c r="J156" s="480">
        <v>4.4465908125712189E-323</v>
      </c>
      <c r="K156" s="489" t="s">
        <v>216</v>
      </c>
    </row>
    <row r="157" spans="1:11" ht="14.4" customHeight="1" thickBot="1" x14ac:dyDescent="0.35">
      <c r="A157" s="500" t="s">
        <v>364</v>
      </c>
      <c r="B157" s="484">
        <v>4.9406564584124654E-324</v>
      </c>
      <c r="C157" s="484">
        <v>4.9406564584124654E-324</v>
      </c>
      <c r="D157" s="485">
        <v>0</v>
      </c>
      <c r="E157" s="486">
        <v>1</v>
      </c>
      <c r="F157" s="484">
        <v>4.9406564584124654E-324</v>
      </c>
      <c r="G157" s="485">
        <v>0</v>
      </c>
      <c r="H157" s="487">
        <v>4.9406564584124654E-324</v>
      </c>
      <c r="I157" s="484">
        <v>35.745899999999999</v>
      </c>
      <c r="J157" s="485">
        <v>35.745899999999999</v>
      </c>
      <c r="K157" s="488" t="s">
        <v>222</v>
      </c>
    </row>
    <row r="158" spans="1:11" ht="14.4" customHeight="1" thickBot="1" x14ac:dyDescent="0.35">
      <c r="A158" s="501" t="s">
        <v>365</v>
      </c>
      <c r="B158" s="479">
        <v>4.9406564584124654E-324</v>
      </c>
      <c r="C158" s="479">
        <v>4.9406564584124654E-324</v>
      </c>
      <c r="D158" s="480">
        <v>0</v>
      </c>
      <c r="E158" s="481">
        <v>1</v>
      </c>
      <c r="F158" s="479">
        <v>4.9406564584124654E-324</v>
      </c>
      <c r="G158" s="480">
        <v>0</v>
      </c>
      <c r="H158" s="482">
        <v>4.9406564584124654E-324</v>
      </c>
      <c r="I158" s="479">
        <v>6.3498999999999999</v>
      </c>
      <c r="J158" s="480">
        <v>6.3498999999999999</v>
      </c>
      <c r="K158" s="489" t="s">
        <v>222</v>
      </c>
    </row>
    <row r="159" spans="1:11" ht="14.4" customHeight="1" thickBot="1" x14ac:dyDescent="0.35">
      <c r="A159" s="501" t="s">
        <v>366</v>
      </c>
      <c r="B159" s="479">
        <v>4.9406564584124654E-324</v>
      </c>
      <c r="C159" s="479">
        <v>4.9406564584124654E-324</v>
      </c>
      <c r="D159" s="480">
        <v>0</v>
      </c>
      <c r="E159" s="481">
        <v>1</v>
      </c>
      <c r="F159" s="479">
        <v>4.9406564584124654E-324</v>
      </c>
      <c r="G159" s="480">
        <v>0</v>
      </c>
      <c r="H159" s="482">
        <v>4.9406564584124654E-324</v>
      </c>
      <c r="I159" s="479">
        <v>29.396000000000001</v>
      </c>
      <c r="J159" s="480">
        <v>29.396000000000001</v>
      </c>
      <c r="K159" s="489" t="s">
        <v>222</v>
      </c>
    </row>
    <row r="160" spans="1:11" ht="14.4" customHeight="1" thickBot="1" x14ac:dyDescent="0.35">
      <c r="A160" s="498" t="s">
        <v>367</v>
      </c>
      <c r="B160" s="479">
        <v>4.9406564584124654E-324</v>
      </c>
      <c r="C160" s="479">
        <v>5.25</v>
      </c>
      <c r="D160" s="480">
        <v>5.25</v>
      </c>
      <c r="E160" s="491" t="s">
        <v>222</v>
      </c>
      <c r="F160" s="479">
        <v>0</v>
      </c>
      <c r="G160" s="480">
        <v>0</v>
      </c>
      <c r="H160" s="482">
        <v>4.9406564584124654E-324</v>
      </c>
      <c r="I160" s="479">
        <v>4.4465908125712189E-323</v>
      </c>
      <c r="J160" s="480">
        <v>4.4465908125712189E-323</v>
      </c>
      <c r="K160" s="489" t="s">
        <v>216</v>
      </c>
    </row>
    <row r="161" spans="1:11" ht="14.4" customHeight="1" thickBot="1" x14ac:dyDescent="0.35">
      <c r="A161" s="499" t="s">
        <v>368</v>
      </c>
      <c r="B161" s="479">
        <v>4.9406564584124654E-324</v>
      </c>
      <c r="C161" s="479">
        <v>5.25</v>
      </c>
      <c r="D161" s="480">
        <v>5.25</v>
      </c>
      <c r="E161" s="491" t="s">
        <v>222</v>
      </c>
      <c r="F161" s="479">
        <v>0</v>
      </c>
      <c r="G161" s="480">
        <v>0</v>
      </c>
      <c r="H161" s="482">
        <v>4.9406564584124654E-324</v>
      </c>
      <c r="I161" s="479">
        <v>4.4465908125712189E-323</v>
      </c>
      <c r="J161" s="480">
        <v>4.4465908125712189E-323</v>
      </c>
      <c r="K161" s="489" t="s">
        <v>216</v>
      </c>
    </row>
    <row r="162" spans="1:11" ht="14.4" customHeight="1" thickBot="1" x14ac:dyDescent="0.35">
      <c r="A162" s="500" t="s">
        <v>369</v>
      </c>
      <c r="B162" s="484">
        <v>4.9406564584124654E-324</v>
      </c>
      <c r="C162" s="484">
        <v>5.25</v>
      </c>
      <c r="D162" s="485">
        <v>5.25</v>
      </c>
      <c r="E162" s="492" t="s">
        <v>222</v>
      </c>
      <c r="F162" s="484">
        <v>0</v>
      </c>
      <c r="G162" s="485">
        <v>0</v>
      </c>
      <c r="H162" s="487">
        <v>4.9406564584124654E-324</v>
      </c>
      <c r="I162" s="484">
        <v>4.4465908125712189E-323</v>
      </c>
      <c r="J162" s="485">
        <v>4.4465908125712189E-323</v>
      </c>
      <c r="K162" s="488" t="s">
        <v>216</v>
      </c>
    </row>
    <row r="163" spans="1:11" ht="14.4" customHeight="1" thickBot="1" x14ac:dyDescent="0.35">
      <c r="A163" s="501" t="s">
        <v>370</v>
      </c>
      <c r="B163" s="479">
        <v>4.9406564584124654E-324</v>
      </c>
      <c r="C163" s="479">
        <v>5.25</v>
      </c>
      <c r="D163" s="480">
        <v>5.25</v>
      </c>
      <c r="E163" s="491" t="s">
        <v>222</v>
      </c>
      <c r="F163" s="479">
        <v>0</v>
      </c>
      <c r="G163" s="480">
        <v>0</v>
      </c>
      <c r="H163" s="482">
        <v>4.9406564584124654E-324</v>
      </c>
      <c r="I163" s="479">
        <v>4.4465908125712189E-323</v>
      </c>
      <c r="J163" s="480">
        <v>4.4465908125712189E-323</v>
      </c>
      <c r="K163" s="489" t="s">
        <v>216</v>
      </c>
    </row>
    <row r="164" spans="1:11" ht="14.4" customHeight="1" thickBot="1" x14ac:dyDescent="0.35">
      <c r="A164" s="497" t="s">
        <v>371</v>
      </c>
      <c r="B164" s="479">
        <v>71839.114933803503</v>
      </c>
      <c r="C164" s="479">
        <v>69226.653376576898</v>
      </c>
      <c r="D164" s="480">
        <v>-2612.4615572265302</v>
      </c>
      <c r="E164" s="481">
        <v>0.96363455257399999</v>
      </c>
      <c r="F164" s="479">
        <v>72279.131266304496</v>
      </c>
      <c r="G164" s="480">
        <v>54209.348449728299</v>
      </c>
      <c r="H164" s="482">
        <v>7124.1586900000002</v>
      </c>
      <c r="I164" s="479">
        <v>61463.228230000001</v>
      </c>
      <c r="J164" s="480">
        <v>7253.8797802716599</v>
      </c>
      <c r="K164" s="483">
        <v>0.85035925519800004</v>
      </c>
    </row>
    <row r="165" spans="1:11" ht="14.4" customHeight="1" thickBot="1" x14ac:dyDescent="0.35">
      <c r="A165" s="498" t="s">
        <v>372</v>
      </c>
      <c r="B165" s="479">
        <v>71381.732917229907</v>
      </c>
      <c r="C165" s="479">
        <v>67523.071164066801</v>
      </c>
      <c r="D165" s="480">
        <v>-3858.66175316313</v>
      </c>
      <c r="E165" s="481">
        <v>0.94594328835300001</v>
      </c>
      <c r="F165" s="479">
        <v>71350.136503434696</v>
      </c>
      <c r="G165" s="480">
        <v>53512.602377576099</v>
      </c>
      <c r="H165" s="482">
        <v>7047.76998</v>
      </c>
      <c r="I165" s="479">
        <v>60172.404369999997</v>
      </c>
      <c r="J165" s="480">
        <v>6659.8019924239297</v>
      </c>
      <c r="K165" s="483">
        <v>0.84333972321200001</v>
      </c>
    </row>
    <row r="166" spans="1:11" ht="14.4" customHeight="1" thickBot="1" x14ac:dyDescent="0.35">
      <c r="A166" s="499" t="s">
        <v>373</v>
      </c>
      <c r="B166" s="479">
        <v>71381.732917229907</v>
      </c>
      <c r="C166" s="479">
        <v>67523.071164066801</v>
      </c>
      <c r="D166" s="480">
        <v>-3858.66175316313</v>
      </c>
      <c r="E166" s="481">
        <v>0.94594328835300001</v>
      </c>
      <c r="F166" s="479">
        <v>71350.136503434696</v>
      </c>
      <c r="G166" s="480">
        <v>53512.602377576099</v>
      </c>
      <c r="H166" s="482">
        <v>7033.6302800000003</v>
      </c>
      <c r="I166" s="479">
        <v>60158.264669999997</v>
      </c>
      <c r="J166" s="480">
        <v>6645.66229242393</v>
      </c>
      <c r="K166" s="483">
        <v>0.8431415498</v>
      </c>
    </row>
    <row r="167" spans="1:11" ht="14.4" customHeight="1" thickBot="1" x14ac:dyDescent="0.35">
      <c r="A167" s="500" t="s">
        <v>374</v>
      </c>
      <c r="B167" s="484">
        <v>26.728651552915998</v>
      </c>
      <c r="C167" s="484">
        <v>48.401206089574003</v>
      </c>
      <c r="D167" s="485">
        <v>21.672554536657</v>
      </c>
      <c r="E167" s="486">
        <v>1.810836060837</v>
      </c>
      <c r="F167" s="484">
        <v>40.136748537496999</v>
      </c>
      <c r="G167" s="485">
        <v>30.102561403123001</v>
      </c>
      <c r="H167" s="487">
        <v>4.9406564584124654E-324</v>
      </c>
      <c r="I167" s="484">
        <v>20.564219999999999</v>
      </c>
      <c r="J167" s="485">
        <v>-9.5383414031230007</v>
      </c>
      <c r="K167" s="490">
        <v>0.51235390880700005</v>
      </c>
    </row>
    <row r="168" spans="1:11" ht="14.4" customHeight="1" thickBot="1" x14ac:dyDescent="0.35">
      <c r="A168" s="501" t="s">
        <v>375</v>
      </c>
      <c r="B168" s="479">
        <v>0.10370000602399999</v>
      </c>
      <c r="C168" s="479">
        <v>0.20248998145700001</v>
      </c>
      <c r="D168" s="480">
        <v>9.8789975431999993E-2</v>
      </c>
      <c r="E168" s="481">
        <v>1.95265158817</v>
      </c>
      <c r="F168" s="479">
        <v>0.207124298176</v>
      </c>
      <c r="G168" s="480">
        <v>0.15534322363200001</v>
      </c>
      <c r="H168" s="482">
        <v>4.9406564584124654E-324</v>
      </c>
      <c r="I168" s="479">
        <v>4.4465908125712189E-323</v>
      </c>
      <c r="J168" s="480">
        <v>-0.15534322363200001</v>
      </c>
      <c r="K168" s="483">
        <v>2.1244822771173601E-322</v>
      </c>
    </row>
    <row r="169" spans="1:11" ht="14.4" customHeight="1" thickBot="1" x14ac:dyDescent="0.35">
      <c r="A169" s="501" t="s">
        <v>376</v>
      </c>
      <c r="B169" s="479">
        <v>26.624951546891001</v>
      </c>
      <c r="C169" s="479">
        <v>48.123716114983999</v>
      </c>
      <c r="D169" s="480">
        <v>21.498764568092</v>
      </c>
      <c r="E169" s="481">
        <v>1.807466805347</v>
      </c>
      <c r="F169" s="479">
        <v>39.852782776868999</v>
      </c>
      <c r="G169" s="480">
        <v>29.889587082652</v>
      </c>
      <c r="H169" s="482">
        <v>4.9406564584124654E-324</v>
      </c>
      <c r="I169" s="479">
        <v>14.336819999999999</v>
      </c>
      <c r="J169" s="480">
        <v>-15.552767082652</v>
      </c>
      <c r="K169" s="483">
        <v>0.35974451471199997</v>
      </c>
    </row>
    <row r="170" spans="1:11" ht="14.4" customHeight="1" thickBot="1" x14ac:dyDescent="0.35">
      <c r="A170" s="501" t="s">
        <v>377</v>
      </c>
      <c r="B170" s="479">
        <v>4.9406564584124654E-324</v>
      </c>
      <c r="C170" s="479">
        <v>7.4999993131999995E-2</v>
      </c>
      <c r="D170" s="480">
        <v>7.4999993131999995E-2</v>
      </c>
      <c r="E170" s="491" t="s">
        <v>222</v>
      </c>
      <c r="F170" s="479">
        <v>7.6841462451E-2</v>
      </c>
      <c r="G170" s="480">
        <v>5.7631096838000002E-2</v>
      </c>
      <c r="H170" s="482">
        <v>4.9406564584124654E-324</v>
      </c>
      <c r="I170" s="479">
        <v>6.2274000000000003</v>
      </c>
      <c r="J170" s="480">
        <v>6.1697689031609997</v>
      </c>
      <c r="K170" s="483">
        <v>81.042184795999006</v>
      </c>
    </row>
    <row r="171" spans="1:11" ht="14.4" customHeight="1" thickBot="1" x14ac:dyDescent="0.35">
      <c r="A171" s="500" t="s">
        <v>378</v>
      </c>
      <c r="B171" s="484">
        <v>62.000043602159998</v>
      </c>
      <c r="C171" s="484">
        <v>60.312614881225997</v>
      </c>
      <c r="D171" s="485">
        <v>-1.687428720934</v>
      </c>
      <c r="E171" s="486">
        <v>0.97278342686700003</v>
      </c>
      <c r="F171" s="484">
        <v>0</v>
      </c>
      <c r="G171" s="485">
        <v>0</v>
      </c>
      <c r="H171" s="487">
        <v>5.5308000000000002</v>
      </c>
      <c r="I171" s="484">
        <v>27.6388</v>
      </c>
      <c r="J171" s="485">
        <v>27.6388</v>
      </c>
      <c r="K171" s="488" t="s">
        <v>216</v>
      </c>
    </row>
    <row r="172" spans="1:11" ht="14.4" customHeight="1" thickBot="1" x14ac:dyDescent="0.35">
      <c r="A172" s="501" t="s">
        <v>379</v>
      </c>
      <c r="B172" s="479">
        <v>51.000002963065</v>
      </c>
      <c r="C172" s="479">
        <v>19.613718203948999</v>
      </c>
      <c r="D172" s="480">
        <v>-31.386284759115998</v>
      </c>
      <c r="E172" s="481">
        <v>0.38458268753699998</v>
      </c>
      <c r="F172" s="479">
        <v>0</v>
      </c>
      <c r="G172" s="480">
        <v>0</v>
      </c>
      <c r="H172" s="482">
        <v>4.9406564584124654E-324</v>
      </c>
      <c r="I172" s="479">
        <v>4.4465908125712189E-323</v>
      </c>
      <c r="J172" s="480">
        <v>4.4465908125712189E-323</v>
      </c>
      <c r="K172" s="489" t="s">
        <v>216</v>
      </c>
    </row>
    <row r="173" spans="1:11" ht="14.4" customHeight="1" thickBot="1" x14ac:dyDescent="0.35">
      <c r="A173" s="501" t="s">
        <v>380</v>
      </c>
      <c r="B173" s="479">
        <v>11.000040639093999</v>
      </c>
      <c r="C173" s="479">
        <v>40.698896677275997</v>
      </c>
      <c r="D173" s="480">
        <v>29.698856038182001</v>
      </c>
      <c r="E173" s="481">
        <v>3.699886028841</v>
      </c>
      <c r="F173" s="479">
        <v>0</v>
      </c>
      <c r="G173" s="480">
        <v>0</v>
      </c>
      <c r="H173" s="482">
        <v>5.5308000000000002</v>
      </c>
      <c r="I173" s="479">
        <v>27.6388</v>
      </c>
      <c r="J173" s="480">
        <v>27.6388</v>
      </c>
      <c r="K173" s="489" t="s">
        <v>216</v>
      </c>
    </row>
    <row r="174" spans="1:11" ht="14.4" customHeight="1" thickBot="1" x14ac:dyDescent="0.35">
      <c r="A174" s="500" t="s">
        <v>381</v>
      </c>
      <c r="B174" s="484">
        <v>4.9406564584124654E-324</v>
      </c>
      <c r="C174" s="484">
        <v>5.4534000000000002</v>
      </c>
      <c r="D174" s="485">
        <v>5.4534000000000002</v>
      </c>
      <c r="E174" s="492" t="s">
        <v>222</v>
      </c>
      <c r="F174" s="484">
        <v>0</v>
      </c>
      <c r="G174" s="485">
        <v>0</v>
      </c>
      <c r="H174" s="487">
        <v>4.9406564584124654E-324</v>
      </c>
      <c r="I174" s="484">
        <v>5.4463699999999999</v>
      </c>
      <c r="J174" s="485">
        <v>5.4463699999999999</v>
      </c>
      <c r="K174" s="488" t="s">
        <v>216</v>
      </c>
    </row>
    <row r="175" spans="1:11" ht="14.4" customHeight="1" thickBot="1" x14ac:dyDescent="0.35">
      <c r="A175" s="501" t="s">
        <v>382</v>
      </c>
      <c r="B175" s="479">
        <v>4.9406564584124654E-324</v>
      </c>
      <c r="C175" s="479">
        <v>5.4534000000000002</v>
      </c>
      <c r="D175" s="480">
        <v>5.4534000000000002</v>
      </c>
      <c r="E175" s="491" t="s">
        <v>222</v>
      </c>
      <c r="F175" s="479">
        <v>0</v>
      </c>
      <c r="G175" s="480">
        <v>0</v>
      </c>
      <c r="H175" s="482">
        <v>4.9406564584124654E-324</v>
      </c>
      <c r="I175" s="479">
        <v>5.4463699999999999</v>
      </c>
      <c r="J175" s="480">
        <v>5.4463699999999999</v>
      </c>
      <c r="K175" s="489" t="s">
        <v>216</v>
      </c>
    </row>
    <row r="176" spans="1:11" ht="14.4" customHeight="1" thickBot="1" x14ac:dyDescent="0.35">
      <c r="A176" s="500" t="s">
        <v>383</v>
      </c>
      <c r="B176" s="484">
        <v>71293.0042220748</v>
      </c>
      <c r="C176" s="484">
        <v>65051.806886683204</v>
      </c>
      <c r="D176" s="485">
        <v>-6241.1973353916001</v>
      </c>
      <c r="E176" s="486">
        <v>0.91245708602800002</v>
      </c>
      <c r="F176" s="484">
        <v>71309.999754897202</v>
      </c>
      <c r="G176" s="485">
        <v>53482.499816172902</v>
      </c>
      <c r="H176" s="487">
        <v>6412.74082</v>
      </c>
      <c r="I176" s="484">
        <v>57410.118349999997</v>
      </c>
      <c r="J176" s="485">
        <v>3927.6185338270602</v>
      </c>
      <c r="K176" s="490">
        <v>0.80507808929000002</v>
      </c>
    </row>
    <row r="177" spans="1:11" ht="14.4" customHeight="1" thickBot="1" x14ac:dyDescent="0.35">
      <c r="A177" s="501" t="s">
        <v>384</v>
      </c>
      <c r="B177" s="479">
        <v>29124.001692084599</v>
      </c>
      <c r="C177" s="479">
        <v>18717.848487626699</v>
      </c>
      <c r="D177" s="480">
        <v>-10406.1532044579</v>
      </c>
      <c r="E177" s="481">
        <v>0.64269493888600004</v>
      </c>
      <c r="F177" s="479">
        <v>21491.999935206899</v>
      </c>
      <c r="G177" s="480">
        <v>16118.9999514052</v>
      </c>
      <c r="H177" s="482">
        <v>1113.83944</v>
      </c>
      <c r="I177" s="479">
        <v>20165.838009999999</v>
      </c>
      <c r="J177" s="480">
        <v>4046.8380585947998</v>
      </c>
      <c r="K177" s="483">
        <v>0.93829508983700005</v>
      </c>
    </row>
    <row r="178" spans="1:11" ht="14.4" customHeight="1" thickBot="1" x14ac:dyDescent="0.35">
      <c r="A178" s="501" t="s">
        <v>385</v>
      </c>
      <c r="B178" s="479">
        <v>42169.002529990197</v>
      </c>
      <c r="C178" s="479">
        <v>46285.847023462098</v>
      </c>
      <c r="D178" s="480">
        <v>4116.84449347192</v>
      </c>
      <c r="E178" s="481">
        <v>1.097627267577</v>
      </c>
      <c r="F178" s="479">
        <v>49769.999819690303</v>
      </c>
      <c r="G178" s="480">
        <v>37327.499864767698</v>
      </c>
      <c r="H178" s="482">
        <v>5298.9013800000002</v>
      </c>
      <c r="I178" s="479">
        <v>36997.708899999998</v>
      </c>
      <c r="J178" s="480">
        <v>-329.79096476772997</v>
      </c>
      <c r="K178" s="483">
        <v>0.74337369969900002</v>
      </c>
    </row>
    <row r="179" spans="1:11" ht="14.4" customHeight="1" thickBot="1" x14ac:dyDescent="0.35">
      <c r="A179" s="501" t="s">
        <v>386</v>
      </c>
      <c r="B179" s="479">
        <v>4.9406564584124654E-324</v>
      </c>
      <c r="C179" s="479">
        <v>4.9406564584124654E-324</v>
      </c>
      <c r="D179" s="480">
        <v>0</v>
      </c>
      <c r="E179" s="481">
        <v>1</v>
      </c>
      <c r="F179" s="479">
        <v>4.9406564584124654E-324</v>
      </c>
      <c r="G179" s="480">
        <v>0</v>
      </c>
      <c r="H179" s="482">
        <v>4.9406564584124654E-324</v>
      </c>
      <c r="I179" s="479">
        <v>102.7381</v>
      </c>
      <c r="J179" s="480">
        <v>102.7381</v>
      </c>
      <c r="K179" s="489" t="s">
        <v>222</v>
      </c>
    </row>
    <row r="180" spans="1:11" ht="14.4" customHeight="1" thickBot="1" x14ac:dyDescent="0.35">
      <c r="A180" s="501" t="s">
        <v>387</v>
      </c>
      <c r="B180" s="479">
        <v>4.9406564584124654E-324</v>
      </c>
      <c r="C180" s="479">
        <v>48.111375594385002</v>
      </c>
      <c r="D180" s="480">
        <v>48.111375594385002</v>
      </c>
      <c r="E180" s="491" t="s">
        <v>222</v>
      </c>
      <c r="F180" s="479">
        <v>48</v>
      </c>
      <c r="G180" s="480">
        <v>36</v>
      </c>
      <c r="H180" s="482">
        <v>4.9406564584124654E-324</v>
      </c>
      <c r="I180" s="479">
        <v>143.83333999999999</v>
      </c>
      <c r="J180" s="480">
        <v>107.83334000000001</v>
      </c>
      <c r="K180" s="483">
        <v>2.9965279166659999</v>
      </c>
    </row>
    <row r="181" spans="1:11" ht="14.4" customHeight="1" thickBot="1" x14ac:dyDescent="0.35">
      <c r="A181" s="500" t="s">
        <v>388</v>
      </c>
      <c r="B181" s="484">
        <v>4.9406564584124654E-324</v>
      </c>
      <c r="C181" s="484">
        <v>2357.0970564127501</v>
      </c>
      <c r="D181" s="485">
        <v>2357.0970564127501</v>
      </c>
      <c r="E181" s="492" t="s">
        <v>222</v>
      </c>
      <c r="F181" s="484">
        <v>0</v>
      </c>
      <c r="G181" s="485">
        <v>0</v>
      </c>
      <c r="H181" s="487">
        <v>615.35865999999999</v>
      </c>
      <c r="I181" s="484">
        <v>2694.4969299999998</v>
      </c>
      <c r="J181" s="485">
        <v>2694.4969299999998</v>
      </c>
      <c r="K181" s="488" t="s">
        <v>216</v>
      </c>
    </row>
    <row r="182" spans="1:11" ht="14.4" customHeight="1" thickBot="1" x14ac:dyDescent="0.35">
      <c r="A182" s="501" t="s">
        <v>389</v>
      </c>
      <c r="B182" s="479">
        <v>4.9406564584124654E-324</v>
      </c>
      <c r="C182" s="479">
        <v>4.9406564584124654E-324</v>
      </c>
      <c r="D182" s="480">
        <v>0</v>
      </c>
      <c r="E182" s="481">
        <v>1</v>
      </c>
      <c r="F182" s="479">
        <v>4.9406564584124654E-324</v>
      </c>
      <c r="G182" s="480">
        <v>0</v>
      </c>
      <c r="H182" s="482">
        <v>4.9406564584124654E-324</v>
      </c>
      <c r="I182" s="479">
        <v>1583.12563</v>
      </c>
      <c r="J182" s="480">
        <v>1583.12563</v>
      </c>
      <c r="K182" s="489" t="s">
        <v>222</v>
      </c>
    </row>
    <row r="183" spans="1:11" ht="14.4" customHeight="1" thickBot="1" x14ac:dyDescent="0.35">
      <c r="A183" s="501" t="s">
        <v>390</v>
      </c>
      <c r="B183" s="479">
        <v>4.9406564584124654E-324</v>
      </c>
      <c r="C183" s="479">
        <v>2357.0970564127501</v>
      </c>
      <c r="D183" s="480">
        <v>2357.0970564127501</v>
      </c>
      <c r="E183" s="491" t="s">
        <v>222</v>
      </c>
      <c r="F183" s="479">
        <v>0</v>
      </c>
      <c r="G183" s="480">
        <v>0</v>
      </c>
      <c r="H183" s="482">
        <v>615.35865999999999</v>
      </c>
      <c r="I183" s="479">
        <v>1111.3713</v>
      </c>
      <c r="J183" s="480">
        <v>1111.3713</v>
      </c>
      <c r="K183" s="489" t="s">
        <v>216</v>
      </c>
    </row>
    <row r="184" spans="1:11" ht="14.4" customHeight="1" thickBot="1" x14ac:dyDescent="0.35">
      <c r="A184" s="499" t="s">
        <v>391</v>
      </c>
      <c r="B184" s="479">
        <v>4.9406564584124654E-324</v>
      </c>
      <c r="C184" s="479">
        <v>4.9406564584124654E-324</v>
      </c>
      <c r="D184" s="480">
        <v>0</v>
      </c>
      <c r="E184" s="481">
        <v>1</v>
      </c>
      <c r="F184" s="479">
        <v>4.9406564584124654E-324</v>
      </c>
      <c r="G184" s="480">
        <v>0</v>
      </c>
      <c r="H184" s="482">
        <v>14.139699999999999</v>
      </c>
      <c r="I184" s="479">
        <v>14.139699999999999</v>
      </c>
      <c r="J184" s="480">
        <v>14.139699999999999</v>
      </c>
      <c r="K184" s="489" t="s">
        <v>222</v>
      </c>
    </row>
    <row r="185" spans="1:11" ht="14.4" customHeight="1" thickBot="1" x14ac:dyDescent="0.35">
      <c r="A185" s="500" t="s">
        <v>392</v>
      </c>
      <c r="B185" s="484">
        <v>4.9406564584124654E-324</v>
      </c>
      <c r="C185" s="484">
        <v>4.9406564584124654E-324</v>
      </c>
      <c r="D185" s="485">
        <v>0</v>
      </c>
      <c r="E185" s="486">
        <v>1</v>
      </c>
      <c r="F185" s="484">
        <v>4.9406564584124654E-324</v>
      </c>
      <c r="G185" s="485">
        <v>0</v>
      </c>
      <c r="H185" s="487">
        <v>14.139699999999999</v>
      </c>
      <c r="I185" s="484">
        <v>14.139699999999999</v>
      </c>
      <c r="J185" s="485">
        <v>14.139699999999999</v>
      </c>
      <c r="K185" s="488" t="s">
        <v>222</v>
      </c>
    </row>
    <row r="186" spans="1:11" ht="14.4" customHeight="1" thickBot="1" x14ac:dyDescent="0.35">
      <c r="A186" s="501" t="s">
        <v>393</v>
      </c>
      <c r="B186" s="479">
        <v>4.9406564584124654E-324</v>
      </c>
      <c r="C186" s="479">
        <v>4.9406564584124654E-324</v>
      </c>
      <c r="D186" s="480">
        <v>0</v>
      </c>
      <c r="E186" s="481">
        <v>1</v>
      </c>
      <c r="F186" s="479">
        <v>4.9406564584124654E-324</v>
      </c>
      <c r="G186" s="480">
        <v>0</v>
      </c>
      <c r="H186" s="482">
        <v>14.139699999999999</v>
      </c>
      <c r="I186" s="479">
        <v>14.139699999999999</v>
      </c>
      <c r="J186" s="480">
        <v>14.139699999999999</v>
      </c>
      <c r="K186" s="489" t="s">
        <v>222</v>
      </c>
    </row>
    <row r="187" spans="1:11" ht="14.4" customHeight="1" thickBot="1" x14ac:dyDescent="0.35">
      <c r="A187" s="498" t="s">
        <v>394</v>
      </c>
      <c r="B187" s="479">
        <v>457.38201657358201</v>
      </c>
      <c r="C187" s="479">
        <v>1686.61922027677</v>
      </c>
      <c r="D187" s="480">
        <v>1229.2372037031801</v>
      </c>
      <c r="E187" s="481">
        <v>3.6875503608810001</v>
      </c>
      <c r="F187" s="479">
        <v>928.99476286971696</v>
      </c>
      <c r="G187" s="480">
        <v>696.74607215228798</v>
      </c>
      <c r="H187" s="482">
        <v>76.388710000000003</v>
      </c>
      <c r="I187" s="479">
        <v>1290.82386</v>
      </c>
      <c r="J187" s="480">
        <v>594.07778784771199</v>
      </c>
      <c r="K187" s="483">
        <v>1.3894845391940001</v>
      </c>
    </row>
    <row r="188" spans="1:11" ht="14.4" customHeight="1" thickBot="1" x14ac:dyDescent="0.35">
      <c r="A188" s="499" t="s">
        <v>395</v>
      </c>
      <c r="B188" s="479">
        <v>396.00002300733098</v>
      </c>
      <c r="C188" s="479">
        <v>582.28744007006901</v>
      </c>
      <c r="D188" s="480">
        <v>186.287417062738</v>
      </c>
      <c r="E188" s="481">
        <v>1.470422743029</v>
      </c>
      <c r="F188" s="479">
        <v>876.660282367283</v>
      </c>
      <c r="G188" s="480">
        <v>657.49521177546205</v>
      </c>
      <c r="H188" s="482">
        <v>76.388710000000003</v>
      </c>
      <c r="I188" s="479">
        <v>715.71162000000004</v>
      </c>
      <c r="J188" s="480">
        <v>58.216408224538</v>
      </c>
      <c r="K188" s="483">
        <v>0.81640703291200001</v>
      </c>
    </row>
    <row r="189" spans="1:11" ht="14.4" customHeight="1" thickBot="1" x14ac:dyDescent="0.35">
      <c r="A189" s="500" t="s">
        <v>396</v>
      </c>
      <c r="B189" s="484">
        <v>396.00002300733098</v>
      </c>
      <c r="C189" s="484">
        <v>582.28744007006901</v>
      </c>
      <c r="D189" s="485">
        <v>186.287417062738</v>
      </c>
      <c r="E189" s="486">
        <v>1.470422743029</v>
      </c>
      <c r="F189" s="484">
        <v>876.660282367283</v>
      </c>
      <c r="G189" s="485">
        <v>657.49521177546205</v>
      </c>
      <c r="H189" s="487">
        <v>76.388710000000003</v>
      </c>
      <c r="I189" s="484">
        <v>715.71162000000004</v>
      </c>
      <c r="J189" s="485">
        <v>58.216408224538</v>
      </c>
      <c r="K189" s="490">
        <v>0.81640703291200001</v>
      </c>
    </row>
    <row r="190" spans="1:11" ht="14.4" customHeight="1" thickBot="1" x14ac:dyDescent="0.35">
      <c r="A190" s="501" t="s">
        <v>397</v>
      </c>
      <c r="B190" s="479">
        <v>396.00002300733098</v>
      </c>
      <c r="C190" s="479">
        <v>-165.18998497821099</v>
      </c>
      <c r="D190" s="480">
        <v>-561.19000798554202</v>
      </c>
      <c r="E190" s="481">
        <v>-0.41714640247599999</v>
      </c>
      <c r="F190" s="479">
        <v>876.660282367283</v>
      </c>
      <c r="G190" s="480">
        <v>657.49521177546205</v>
      </c>
      <c r="H190" s="482">
        <v>4.9406564584124654E-324</v>
      </c>
      <c r="I190" s="479">
        <v>4.4465908125712189E-323</v>
      </c>
      <c r="J190" s="480">
        <v>-657.49521177546205</v>
      </c>
      <c r="K190" s="483">
        <v>0</v>
      </c>
    </row>
    <row r="191" spans="1:11" ht="14.4" customHeight="1" thickBot="1" x14ac:dyDescent="0.35">
      <c r="A191" s="501" t="s">
        <v>398</v>
      </c>
      <c r="B191" s="479">
        <v>4.9406564584124654E-324</v>
      </c>
      <c r="C191" s="479">
        <v>480.04018847920901</v>
      </c>
      <c r="D191" s="480">
        <v>480.04018847920901</v>
      </c>
      <c r="E191" s="491" t="s">
        <v>222</v>
      </c>
      <c r="F191" s="479">
        <v>0</v>
      </c>
      <c r="G191" s="480">
        <v>0</v>
      </c>
      <c r="H191" s="482">
        <v>58.018749999999997</v>
      </c>
      <c r="I191" s="479">
        <v>651.82586000000003</v>
      </c>
      <c r="J191" s="480">
        <v>651.82586000000003</v>
      </c>
      <c r="K191" s="489" t="s">
        <v>216</v>
      </c>
    </row>
    <row r="192" spans="1:11" ht="14.4" customHeight="1" thickBot="1" x14ac:dyDescent="0.35">
      <c r="A192" s="501" t="s">
        <v>399</v>
      </c>
      <c r="B192" s="479">
        <v>4.9406564584124654E-324</v>
      </c>
      <c r="C192" s="479">
        <v>4.2</v>
      </c>
      <c r="D192" s="480">
        <v>4.2</v>
      </c>
      <c r="E192" s="491" t="s">
        <v>222</v>
      </c>
      <c r="F192" s="479">
        <v>0</v>
      </c>
      <c r="G192" s="480">
        <v>0</v>
      </c>
      <c r="H192" s="482">
        <v>4.9406564584124654E-324</v>
      </c>
      <c r="I192" s="479">
        <v>4.4465908125712189E-323</v>
      </c>
      <c r="J192" s="480">
        <v>4.4465908125712189E-323</v>
      </c>
      <c r="K192" s="489" t="s">
        <v>216</v>
      </c>
    </row>
    <row r="193" spans="1:11" ht="14.4" customHeight="1" thickBot="1" x14ac:dyDescent="0.35">
      <c r="A193" s="501" t="s">
        <v>400</v>
      </c>
      <c r="B193" s="479">
        <v>4.9406564584124654E-324</v>
      </c>
      <c r="C193" s="479">
        <v>12.134999280708</v>
      </c>
      <c r="D193" s="480">
        <v>12.134999280708</v>
      </c>
      <c r="E193" s="491" t="s">
        <v>222</v>
      </c>
      <c r="F193" s="479">
        <v>0</v>
      </c>
      <c r="G193" s="480">
        <v>0</v>
      </c>
      <c r="H193" s="482">
        <v>4.9406564584124654E-324</v>
      </c>
      <c r="I193" s="479">
        <v>5.1311</v>
      </c>
      <c r="J193" s="480">
        <v>5.1311</v>
      </c>
      <c r="K193" s="489" t="s">
        <v>216</v>
      </c>
    </row>
    <row r="194" spans="1:11" ht="14.4" customHeight="1" thickBot="1" x14ac:dyDescent="0.35">
      <c r="A194" s="501" t="s">
        <v>401</v>
      </c>
      <c r="B194" s="479">
        <v>4.9406564584124654E-324</v>
      </c>
      <c r="C194" s="479">
        <v>127.470778399878</v>
      </c>
      <c r="D194" s="480">
        <v>127.470778399878</v>
      </c>
      <c r="E194" s="491" t="s">
        <v>222</v>
      </c>
      <c r="F194" s="479">
        <v>0</v>
      </c>
      <c r="G194" s="480">
        <v>0</v>
      </c>
      <c r="H194" s="482">
        <v>13.897180000000001</v>
      </c>
      <c r="I194" s="479">
        <v>26.859290000000001</v>
      </c>
      <c r="J194" s="480">
        <v>26.859290000000001</v>
      </c>
      <c r="K194" s="489" t="s">
        <v>216</v>
      </c>
    </row>
    <row r="195" spans="1:11" ht="14.4" customHeight="1" thickBot="1" x14ac:dyDescent="0.35">
      <c r="A195" s="501" t="s">
        <v>402</v>
      </c>
      <c r="B195" s="479">
        <v>4.9406564584124654E-324</v>
      </c>
      <c r="C195" s="479">
        <v>123.631458888484</v>
      </c>
      <c r="D195" s="480">
        <v>123.631458888484</v>
      </c>
      <c r="E195" s="491" t="s">
        <v>222</v>
      </c>
      <c r="F195" s="479">
        <v>0</v>
      </c>
      <c r="G195" s="480">
        <v>0</v>
      </c>
      <c r="H195" s="482">
        <v>4.4727800000000002</v>
      </c>
      <c r="I195" s="479">
        <v>31.89537</v>
      </c>
      <c r="J195" s="480">
        <v>31.89537</v>
      </c>
      <c r="K195" s="489" t="s">
        <v>216</v>
      </c>
    </row>
    <row r="196" spans="1:11" ht="14.4" customHeight="1" thickBot="1" x14ac:dyDescent="0.35">
      <c r="A196" s="503" t="s">
        <v>403</v>
      </c>
      <c r="B196" s="484">
        <v>61.381993566250998</v>
      </c>
      <c r="C196" s="484">
        <v>1104.3317802066999</v>
      </c>
      <c r="D196" s="485">
        <v>1042.9497866404399</v>
      </c>
      <c r="E196" s="486">
        <v>17.991135772002998</v>
      </c>
      <c r="F196" s="484">
        <v>52.334480502433998</v>
      </c>
      <c r="G196" s="485">
        <v>39.250860376825003</v>
      </c>
      <c r="H196" s="487">
        <v>4.9406564584124654E-324</v>
      </c>
      <c r="I196" s="484">
        <v>575.11224000000004</v>
      </c>
      <c r="J196" s="485">
        <v>535.861379623174</v>
      </c>
      <c r="K196" s="490">
        <v>10.989164972665</v>
      </c>
    </row>
    <row r="197" spans="1:11" ht="14.4" customHeight="1" thickBot="1" x14ac:dyDescent="0.35">
      <c r="A197" s="500" t="s">
        <v>404</v>
      </c>
      <c r="B197" s="484">
        <v>4.9406564584124654E-324</v>
      </c>
      <c r="C197" s="484">
        <v>4.9406564584124654E-324</v>
      </c>
      <c r="D197" s="485">
        <v>0</v>
      </c>
      <c r="E197" s="486">
        <v>1</v>
      </c>
      <c r="F197" s="484">
        <v>4.9406564584124654E-324</v>
      </c>
      <c r="G197" s="485">
        <v>0</v>
      </c>
      <c r="H197" s="487">
        <v>4.9406564584124654E-324</v>
      </c>
      <c r="I197" s="484">
        <v>42.293999999999997</v>
      </c>
      <c r="J197" s="485">
        <v>42.293999999999997</v>
      </c>
      <c r="K197" s="488" t="s">
        <v>222</v>
      </c>
    </row>
    <row r="198" spans="1:11" ht="14.4" customHeight="1" thickBot="1" x14ac:dyDescent="0.35">
      <c r="A198" s="501" t="s">
        <v>405</v>
      </c>
      <c r="B198" s="479">
        <v>4.9406564584124654E-324</v>
      </c>
      <c r="C198" s="479">
        <v>4.9406564584124654E-324</v>
      </c>
      <c r="D198" s="480">
        <v>0</v>
      </c>
      <c r="E198" s="481">
        <v>1</v>
      </c>
      <c r="F198" s="479">
        <v>4.9406564584124654E-324</v>
      </c>
      <c r="G198" s="480">
        <v>0</v>
      </c>
      <c r="H198" s="482">
        <v>4.9406564584124654E-324</v>
      </c>
      <c r="I198" s="479">
        <v>42.293999999999997</v>
      </c>
      <c r="J198" s="480">
        <v>42.293999999999997</v>
      </c>
      <c r="K198" s="489" t="s">
        <v>222</v>
      </c>
    </row>
    <row r="199" spans="1:11" ht="14.4" customHeight="1" thickBot="1" x14ac:dyDescent="0.35">
      <c r="A199" s="500" t="s">
        <v>406</v>
      </c>
      <c r="B199" s="484">
        <v>4.9406564584124654E-324</v>
      </c>
      <c r="C199" s="484">
        <v>1.8399998639999999E-3</v>
      </c>
      <c r="D199" s="485">
        <v>1.8399998639999999E-3</v>
      </c>
      <c r="E199" s="492" t="s">
        <v>222</v>
      </c>
      <c r="F199" s="484">
        <v>0</v>
      </c>
      <c r="G199" s="485">
        <v>0</v>
      </c>
      <c r="H199" s="487">
        <v>4.9406564584124654E-324</v>
      </c>
      <c r="I199" s="484">
        <v>4.4000000000000002E-4</v>
      </c>
      <c r="J199" s="485">
        <v>4.4000000000000002E-4</v>
      </c>
      <c r="K199" s="488" t="s">
        <v>216</v>
      </c>
    </row>
    <row r="200" spans="1:11" ht="14.4" customHeight="1" thickBot="1" x14ac:dyDescent="0.35">
      <c r="A200" s="501" t="s">
        <v>407</v>
      </c>
      <c r="B200" s="479">
        <v>4.9406564584124654E-324</v>
      </c>
      <c r="C200" s="479">
        <v>1.8399998639999999E-3</v>
      </c>
      <c r="D200" s="480">
        <v>1.8399998639999999E-3</v>
      </c>
      <c r="E200" s="491" t="s">
        <v>222</v>
      </c>
      <c r="F200" s="479">
        <v>0</v>
      </c>
      <c r="G200" s="480">
        <v>0</v>
      </c>
      <c r="H200" s="482">
        <v>4.9406564584124654E-324</v>
      </c>
      <c r="I200" s="479">
        <v>4.4000000000000002E-4</v>
      </c>
      <c r="J200" s="480">
        <v>4.4000000000000002E-4</v>
      </c>
      <c r="K200" s="489" t="s">
        <v>216</v>
      </c>
    </row>
    <row r="201" spans="1:11" ht="14.4" customHeight="1" thickBot="1" x14ac:dyDescent="0.35">
      <c r="A201" s="500" t="s">
        <v>408</v>
      </c>
      <c r="B201" s="484">
        <v>61.381993566250998</v>
      </c>
      <c r="C201" s="484">
        <v>948.88971444067295</v>
      </c>
      <c r="D201" s="485">
        <v>887.50772087442101</v>
      </c>
      <c r="E201" s="486">
        <v>15.458763381748</v>
      </c>
      <c r="F201" s="484">
        <v>52.334480502433998</v>
      </c>
      <c r="G201" s="485">
        <v>39.250860376825003</v>
      </c>
      <c r="H201" s="487">
        <v>4.9406564584124654E-324</v>
      </c>
      <c r="I201" s="484">
        <v>32.731529999999999</v>
      </c>
      <c r="J201" s="485">
        <v>-6.5193303768249997</v>
      </c>
      <c r="K201" s="490">
        <v>0.62542953872399998</v>
      </c>
    </row>
    <row r="202" spans="1:11" ht="14.4" customHeight="1" thickBot="1" x14ac:dyDescent="0.35">
      <c r="A202" s="501" t="s">
        <v>409</v>
      </c>
      <c r="B202" s="479">
        <v>4.9406564584124654E-324</v>
      </c>
      <c r="C202" s="479">
        <v>542.747950299943</v>
      </c>
      <c r="D202" s="480">
        <v>542.747950299943</v>
      </c>
      <c r="E202" s="491" t="s">
        <v>222</v>
      </c>
      <c r="F202" s="479">
        <v>0</v>
      </c>
      <c r="G202" s="480">
        <v>0</v>
      </c>
      <c r="H202" s="482">
        <v>4.9406564584124654E-324</v>
      </c>
      <c r="I202" s="479">
        <v>4.4465908125712189E-323</v>
      </c>
      <c r="J202" s="480">
        <v>4.4465908125712189E-323</v>
      </c>
      <c r="K202" s="489" t="s">
        <v>216</v>
      </c>
    </row>
    <row r="203" spans="1:11" ht="14.4" customHeight="1" thickBot="1" x14ac:dyDescent="0.35">
      <c r="A203" s="501" t="s">
        <v>410</v>
      </c>
      <c r="B203" s="479">
        <v>4.9406564584124654E-324</v>
      </c>
      <c r="C203" s="479">
        <v>350.48996790522898</v>
      </c>
      <c r="D203" s="480">
        <v>350.48996790522898</v>
      </c>
      <c r="E203" s="491" t="s">
        <v>222</v>
      </c>
      <c r="F203" s="479">
        <v>0</v>
      </c>
      <c r="G203" s="480">
        <v>0</v>
      </c>
      <c r="H203" s="482">
        <v>4.9406564584124654E-324</v>
      </c>
      <c r="I203" s="479">
        <v>4.4465908125712189E-323</v>
      </c>
      <c r="J203" s="480">
        <v>4.4465908125712189E-323</v>
      </c>
      <c r="K203" s="489" t="s">
        <v>216</v>
      </c>
    </row>
    <row r="204" spans="1:11" ht="14.4" customHeight="1" thickBot="1" x14ac:dyDescent="0.35">
      <c r="A204" s="501" t="s">
        <v>411</v>
      </c>
      <c r="B204" s="479">
        <v>4.9406564584124654E-324</v>
      </c>
      <c r="C204" s="479">
        <v>0.73499993269499997</v>
      </c>
      <c r="D204" s="480">
        <v>0.73499993269499997</v>
      </c>
      <c r="E204" s="491" t="s">
        <v>222</v>
      </c>
      <c r="F204" s="479">
        <v>0</v>
      </c>
      <c r="G204" s="480">
        <v>0</v>
      </c>
      <c r="H204" s="482">
        <v>4.9406564584124654E-324</v>
      </c>
      <c r="I204" s="479">
        <v>2.2770000000000001</v>
      </c>
      <c r="J204" s="480">
        <v>2.2770000000000001</v>
      </c>
      <c r="K204" s="489" t="s">
        <v>216</v>
      </c>
    </row>
    <row r="205" spans="1:11" ht="14.4" customHeight="1" thickBot="1" x14ac:dyDescent="0.35">
      <c r="A205" s="501" t="s">
        <v>412</v>
      </c>
      <c r="B205" s="479">
        <v>61.381993566250998</v>
      </c>
      <c r="C205" s="479">
        <v>54.916796302804997</v>
      </c>
      <c r="D205" s="480">
        <v>-6.465197263446</v>
      </c>
      <c r="E205" s="481">
        <v>0.89467273889499999</v>
      </c>
      <c r="F205" s="479">
        <v>52.334480502433998</v>
      </c>
      <c r="G205" s="480">
        <v>39.250860376825003</v>
      </c>
      <c r="H205" s="482">
        <v>4.9406564584124654E-324</v>
      </c>
      <c r="I205" s="479">
        <v>30.454529999999998</v>
      </c>
      <c r="J205" s="480">
        <v>-8.7963303768250007</v>
      </c>
      <c r="K205" s="483">
        <v>0.581920938311</v>
      </c>
    </row>
    <row r="206" spans="1:11" ht="14.4" customHeight="1" thickBot="1" x14ac:dyDescent="0.35">
      <c r="A206" s="500" t="s">
        <v>413</v>
      </c>
      <c r="B206" s="484">
        <v>4.9406564584124654E-324</v>
      </c>
      <c r="C206" s="484">
        <v>155.44022576615899</v>
      </c>
      <c r="D206" s="485">
        <v>155.44022576615899</v>
      </c>
      <c r="E206" s="492" t="s">
        <v>222</v>
      </c>
      <c r="F206" s="484">
        <v>0</v>
      </c>
      <c r="G206" s="485">
        <v>0</v>
      </c>
      <c r="H206" s="487">
        <v>4.9406564584124654E-324</v>
      </c>
      <c r="I206" s="484">
        <v>500.08627000000001</v>
      </c>
      <c r="J206" s="485">
        <v>500.08627000000001</v>
      </c>
      <c r="K206" s="488" t="s">
        <v>216</v>
      </c>
    </row>
    <row r="207" spans="1:11" ht="14.4" customHeight="1" thickBot="1" x14ac:dyDescent="0.35">
      <c r="A207" s="501" t="s">
        <v>414</v>
      </c>
      <c r="B207" s="479">
        <v>4.9406564584124654E-324</v>
      </c>
      <c r="C207" s="479">
        <v>155.44022576615899</v>
      </c>
      <c r="D207" s="480">
        <v>155.44022576615899</v>
      </c>
      <c r="E207" s="491" t="s">
        <v>222</v>
      </c>
      <c r="F207" s="479">
        <v>0</v>
      </c>
      <c r="G207" s="480">
        <v>0</v>
      </c>
      <c r="H207" s="482">
        <v>4.9406564584124654E-324</v>
      </c>
      <c r="I207" s="479">
        <v>500.08627000000001</v>
      </c>
      <c r="J207" s="480">
        <v>500.08627000000001</v>
      </c>
      <c r="K207" s="489" t="s">
        <v>216</v>
      </c>
    </row>
    <row r="208" spans="1:11" ht="14.4" customHeight="1" thickBot="1" x14ac:dyDescent="0.35">
      <c r="A208" s="498" t="s">
        <v>415</v>
      </c>
      <c r="B208" s="479">
        <v>4.9406564584124654E-324</v>
      </c>
      <c r="C208" s="479">
        <v>16.962992233392999</v>
      </c>
      <c r="D208" s="480">
        <v>16.962992233392999</v>
      </c>
      <c r="E208" s="491" t="s">
        <v>222</v>
      </c>
      <c r="F208" s="479">
        <v>0</v>
      </c>
      <c r="G208" s="480">
        <v>0</v>
      </c>
      <c r="H208" s="482">
        <v>4.9406564584124654E-324</v>
      </c>
      <c r="I208" s="479">
        <v>4.4465908125712189E-323</v>
      </c>
      <c r="J208" s="480">
        <v>4.4465908125712189E-323</v>
      </c>
      <c r="K208" s="489" t="s">
        <v>216</v>
      </c>
    </row>
    <row r="209" spans="1:11" ht="14.4" customHeight="1" thickBot="1" x14ac:dyDescent="0.35">
      <c r="A209" s="503" t="s">
        <v>416</v>
      </c>
      <c r="B209" s="484">
        <v>4.9406564584124654E-324</v>
      </c>
      <c r="C209" s="484">
        <v>16.962992233392999</v>
      </c>
      <c r="D209" s="485">
        <v>16.962992233392999</v>
      </c>
      <c r="E209" s="492" t="s">
        <v>222</v>
      </c>
      <c r="F209" s="484">
        <v>0</v>
      </c>
      <c r="G209" s="485">
        <v>0</v>
      </c>
      <c r="H209" s="487">
        <v>4.9406564584124654E-324</v>
      </c>
      <c r="I209" s="484">
        <v>4.4465908125712189E-323</v>
      </c>
      <c r="J209" s="485">
        <v>4.4465908125712189E-323</v>
      </c>
      <c r="K209" s="488" t="s">
        <v>216</v>
      </c>
    </row>
    <row r="210" spans="1:11" ht="14.4" customHeight="1" thickBot="1" x14ac:dyDescent="0.35">
      <c r="A210" s="500" t="s">
        <v>417</v>
      </c>
      <c r="B210" s="484">
        <v>4.9406564584124654E-324</v>
      </c>
      <c r="C210" s="484">
        <v>16.962992233392999</v>
      </c>
      <c r="D210" s="485">
        <v>16.962992233392999</v>
      </c>
      <c r="E210" s="492" t="s">
        <v>222</v>
      </c>
      <c r="F210" s="484">
        <v>0</v>
      </c>
      <c r="G210" s="485">
        <v>0</v>
      </c>
      <c r="H210" s="487">
        <v>4.9406564584124654E-324</v>
      </c>
      <c r="I210" s="484">
        <v>4.4465908125712189E-323</v>
      </c>
      <c r="J210" s="485">
        <v>4.4465908125712189E-323</v>
      </c>
      <c r="K210" s="488" t="s">
        <v>216</v>
      </c>
    </row>
    <row r="211" spans="1:11" ht="14.4" customHeight="1" thickBot="1" x14ac:dyDescent="0.35">
      <c r="A211" s="501" t="s">
        <v>418</v>
      </c>
      <c r="B211" s="479">
        <v>4.9406564584124654E-324</v>
      </c>
      <c r="C211" s="479">
        <v>16.962992233392999</v>
      </c>
      <c r="D211" s="480">
        <v>16.962992233392999</v>
      </c>
      <c r="E211" s="491" t="s">
        <v>222</v>
      </c>
      <c r="F211" s="479">
        <v>0</v>
      </c>
      <c r="G211" s="480">
        <v>0</v>
      </c>
      <c r="H211" s="482">
        <v>4.9406564584124654E-324</v>
      </c>
      <c r="I211" s="479">
        <v>4.4465908125712189E-323</v>
      </c>
      <c r="J211" s="480">
        <v>4.4465908125712189E-323</v>
      </c>
      <c r="K211" s="489" t="s">
        <v>216</v>
      </c>
    </row>
    <row r="212" spans="1:11" ht="14.4" customHeight="1" thickBot="1" x14ac:dyDescent="0.35">
      <c r="A212" s="497" t="s">
        <v>419</v>
      </c>
      <c r="B212" s="479">
        <v>6125.9956370863501</v>
      </c>
      <c r="C212" s="479">
        <v>7818.9967947097002</v>
      </c>
      <c r="D212" s="480">
        <v>1693.0011576233501</v>
      </c>
      <c r="E212" s="481">
        <v>1.276363428562</v>
      </c>
      <c r="F212" s="479">
        <v>6874.5315545786698</v>
      </c>
      <c r="G212" s="480">
        <v>5155.8986659339998</v>
      </c>
      <c r="H212" s="482">
        <v>551.05927999999994</v>
      </c>
      <c r="I212" s="479">
        <v>5425.0974299999998</v>
      </c>
      <c r="J212" s="480">
        <v>269.19876406599798</v>
      </c>
      <c r="K212" s="483">
        <v>0.789158852051</v>
      </c>
    </row>
    <row r="213" spans="1:11" ht="14.4" customHeight="1" thickBot="1" x14ac:dyDescent="0.35">
      <c r="A213" s="502" t="s">
        <v>420</v>
      </c>
      <c r="B213" s="484">
        <v>6125.9956370863501</v>
      </c>
      <c r="C213" s="484">
        <v>7818.9967947097002</v>
      </c>
      <c r="D213" s="485">
        <v>1693.0011576233501</v>
      </c>
      <c r="E213" s="486">
        <v>1.276363428562</v>
      </c>
      <c r="F213" s="484">
        <v>6874.5315545786698</v>
      </c>
      <c r="G213" s="485">
        <v>5155.8986659339998</v>
      </c>
      <c r="H213" s="487">
        <v>551.05927999999994</v>
      </c>
      <c r="I213" s="484">
        <v>5425.0974299999998</v>
      </c>
      <c r="J213" s="485">
        <v>269.19876406599798</v>
      </c>
      <c r="K213" s="490">
        <v>0.789158852051</v>
      </c>
    </row>
    <row r="214" spans="1:11" ht="14.4" customHeight="1" thickBot="1" x14ac:dyDescent="0.35">
      <c r="A214" s="503" t="s">
        <v>57</v>
      </c>
      <c r="B214" s="484">
        <v>6125.9956370863501</v>
      </c>
      <c r="C214" s="484">
        <v>7818.9967947097002</v>
      </c>
      <c r="D214" s="485">
        <v>1693.0011576233501</v>
      </c>
      <c r="E214" s="486">
        <v>1.276363428562</v>
      </c>
      <c r="F214" s="484">
        <v>6874.5315545786698</v>
      </c>
      <c r="G214" s="485">
        <v>5155.8986659339998</v>
      </c>
      <c r="H214" s="487">
        <v>551.05927999999994</v>
      </c>
      <c r="I214" s="484">
        <v>5425.0974299999998</v>
      </c>
      <c r="J214" s="485">
        <v>269.19876406599798</v>
      </c>
      <c r="K214" s="490">
        <v>0.789158852051</v>
      </c>
    </row>
    <row r="215" spans="1:11" ht="14.4" customHeight="1" thickBot="1" x14ac:dyDescent="0.35">
      <c r="A215" s="500" t="s">
        <v>421</v>
      </c>
      <c r="B215" s="484">
        <v>31.999897836614</v>
      </c>
      <c r="C215" s="484">
        <v>71.774995183900998</v>
      </c>
      <c r="D215" s="485">
        <v>39.775097347287002</v>
      </c>
      <c r="E215" s="486">
        <v>2.2429757604340002</v>
      </c>
      <c r="F215" s="484">
        <v>63.999999999998998</v>
      </c>
      <c r="G215" s="485">
        <v>47.999999999998998</v>
      </c>
      <c r="H215" s="487">
        <v>5.9812500000000002</v>
      </c>
      <c r="I215" s="484">
        <v>53.831249999999997</v>
      </c>
      <c r="J215" s="485">
        <v>5.8312499999999998</v>
      </c>
      <c r="K215" s="490">
        <v>0.84111328124999996</v>
      </c>
    </row>
    <row r="216" spans="1:11" ht="14.4" customHeight="1" thickBot="1" x14ac:dyDescent="0.35">
      <c r="A216" s="501" t="s">
        <v>422</v>
      </c>
      <c r="B216" s="479">
        <v>31.999897836614</v>
      </c>
      <c r="C216" s="479">
        <v>71.774995183900998</v>
      </c>
      <c r="D216" s="480">
        <v>39.775097347287002</v>
      </c>
      <c r="E216" s="481">
        <v>2.2429757604340002</v>
      </c>
      <c r="F216" s="479">
        <v>63.999999999998998</v>
      </c>
      <c r="G216" s="480">
        <v>47.999999999998998</v>
      </c>
      <c r="H216" s="482">
        <v>5.9812500000000002</v>
      </c>
      <c r="I216" s="479">
        <v>53.831249999999997</v>
      </c>
      <c r="J216" s="480">
        <v>5.8312499999999998</v>
      </c>
      <c r="K216" s="483">
        <v>0.84111328124999996</v>
      </c>
    </row>
    <row r="217" spans="1:11" ht="14.4" customHeight="1" thickBot="1" x14ac:dyDescent="0.35">
      <c r="A217" s="500" t="s">
        <v>423</v>
      </c>
      <c r="B217" s="484">
        <v>76.999986669191998</v>
      </c>
      <c r="C217" s="484">
        <v>28.474998183873002</v>
      </c>
      <c r="D217" s="485">
        <v>-48.524988485319</v>
      </c>
      <c r="E217" s="486">
        <v>0.36980523524199999</v>
      </c>
      <c r="F217" s="484">
        <v>62.458526697604</v>
      </c>
      <c r="G217" s="485">
        <v>46.843895023202997</v>
      </c>
      <c r="H217" s="487">
        <v>2.84</v>
      </c>
      <c r="I217" s="484">
        <v>25.254999999999999</v>
      </c>
      <c r="J217" s="485">
        <v>-21.588895023203001</v>
      </c>
      <c r="K217" s="490">
        <v>0.40434831455800002</v>
      </c>
    </row>
    <row r="218" spans="1:11" ht="14.4" customHeight="1" thickBot="1" x14ac:dyDescent="0.35">
      <c r="A218" s="501" t="s">
        <v>424</v>
      </c>
      <c r="B218" s="479">
        <v>76.999986669191998</v>
      </c>
      <c r="C218" s="479">
        <v>28.474998183873002</v>
      </c>
      <c r="D218" s="480">
        <v>-48.524988485319</v>
      </c>
      <c r="E218" s="481">
        <v>0.36980523524199999</v>
      </c>
      <c r="F218" s="479">
        <v>62.458526697604</v>
      </c>
      <c r="G218" s="480">
        <v>46.843895023202997</v>
      </c>
      <c r="H218" s="482">
        <v>2.84</v>
      </c>
      <c r="I218" s="479">
        <v>25.254999999999999</v>
      </c>
      <c r="J218" s="480">
        <v>-21.588895023203001</v>
      </c>
      <c r="K218" s="483">
        <v>0.40434831455800002</v>
      </c>
    </row>
    <row r="219" spans="1:11" ht="14.4" customHeight="1" thickBot="1" x14ac:dyDescent="0.35">
      <c r="A219" s="500" t="s">
        <v>425</v>
      </c>
      <c r="B219" s="484">
        <v>1239.99910116669</v>
      </c>
      <c r="C219" s="484">
        <v>1144.6802235740099</v>
      </c>
      <c r="D219" s="485">
        <v>-95.318877592679996</v>
      </c>
      <c r="E219" s="486">
        <v>0.92312988170400001</v>
      </c>
      <c r="F219" s="484">
        <v>1134.07302788114</v>
      </c>
      <c r="G219" s="485">
        <v>850.55477091085402</v>
      </c>
      <c r="H219" s="487">
        <v>99.301900000000003</v>
      </c>
      <c r="I219" s="484">
        <v>963.50890000000004</v>
      </c>
      <c r="J219" s="485">
        <v>112.95412908914599</v>
      </c>
      <c r="K219" s="490">
        <v>0.84960040165999995</v>
      </c>
    </row>
    <row r="220" spans="1:11" ht="14.4" customHeight="1" thickBot="1" x14ac:dyDescent="0.35">
      <c r="A220" s="501" t="s">
        <v>426</v>
      </c>
      <c r="B220" s="479">
        <v>1239.99910116669</v>
      </c>
      <c r="C220" s="479">
        <v>1144.6802235740099</v>
      </c>
      <c r="D220" s="480">
        <v>-95.318877592679996</v>
      </c>
      <c r="E220" s="481">
        <v>0.92312988170400001</v>
      </c>
      <c r="F220" s="479">
        <v>1134.07302788114</v>
      </c>
      <c r="G220" s="480">
        <v>850.55477091085402</v>
      </c>
      <c r="H220" s="482">
        <v>99.301900000000003</v>
      </c>
      <c r="I220" s="479">
        <v>963.50890000000004</v>
      </c>
      <c r="J220" s="480">
        <v>112.95412908914599</v>
      </c>
      <c r="K220" s="483">
        <v>0.84960040165999995</v>
      </c>
    </row>
    <row r="221" spans="1:11" ht="14.4" customHeight="1" thickBot="1" x14ac:dyDescent="0.35">
      <c r="A221" s="500" t="s">
        <v>427</v>
      </c>
      <c r="B221" s="484">
        <v>4.9406564584124654E-324</v>
      </c>
      <c r="C221" s="484">
        <v>1.8359998521650001</v>
      </c>
      <c r="D221" s="485">
        <v>1.8359998521650001</v>
      </c>
      <c r="E221" s="492" t="s">
        <v>222</v>
      </c>
      <c r="F221" s="484">
        <v>0</v>
      </c>
      <c r="G221" s="485">
        <v>0</v>
      </c>
      <c r="H221" s="487">
        <v>1.296</v>
      </c>
      <c r="I221" s="484">
        <v>9.0510000000000002</v>
      </c>
      <c r="J221" s="485">
        <v>9.0510000000000002</v>
      </c>
      <c r="K221" s="488" t="s">
        <v>216</v>
      </c>
    </row>
    <row r="222" spans="1:11" ht="14.4" customHeight="1" thickBot="1" x14ac:dyDescent="0.35">
      <c r="A222" s="501" t="s">
        <v>428</v>
      </c>
      <c r="B222" s="479">
        <v>4.9406564584124654E-324</v>
      </c>
      <c r="C222" s="479">
        <v>1.8359998521650001</v>
      </c>
      <c r="D222" s="480">
        <v>1.8359998521650001</v>
      </c>
      <c r="E222" s="491" t="s">
        <v>222</v>
      </c>
      <c r="F222" s="479">
        <v>0</v>
      </c>
      <c r="G222" s="480">
        <v>0</v>
      </c>
      <c r="H222" s="482">
        <v>1.296</v>
      </c>
      <c r="I222" s="479">
        <v>9.0510000000000002</v>
      </c>
      <c r="J222" s="480">
        <v>9.0510000000000002</v>
      </c>
      <c r="K222" s="489" t="s">
        <v>216</v>
      </c>
    </row>
    <row r="223" spans="1:11" ht="14.4" customHeight="1" thickBot="1" x14ac:dyDescent="0.35">
      <c r="A223" s="500" t="s">
        <v>429</v>
      </c>
      <c r="B223" s="484">
        <v>525.999595688466</v>
      </c>
      <c r="C223" s="484">
        <v>467.36087916876801</v>
      </c>
      <c r="D223" s="485">
        <v>-58.638716519698001</v>
      </c>
      <c r="E223" s="486">
        <v>0.88851946465200005</v>
      </c>
      <c r="F223" s="484">
        <v>466.99999999999397</v>
      </c>
      <c r="G223" s="485">
        <v>350.24999999999602</v>
      </c>
      <c r="H223" s="487">
        <v>25.21217</v>
      </c>
      <c r="I223" s="484">
        <v>308.58139</v>
      </c>
      <c r="J223" s="485">
        <v>-41.668609999994999</v>
      </c>
      <c r="K223" s="490">
        <v>0.66077385438900005</v>
      </c>
    </row>
    <row r="224" spans="1:11" ht="14.4" customHeight="1" thickBot="1" x14ac:dyDescent="0.35">
      <c r="A224" s="501" t="s">
        <v>430</v>
      </c>
      <c r="B224" s="479">
        <v>524.999636381046</v>
      </c>
      <c r="C224" s="479">
        <v>466.70227921975601</v>
      </c>
      <c r="D224" s="480">
        <v>-58.297357161289</v>
      </c>
      <c r="E224" s="481">
        <v>0.88895733802099997</v>
      </c>
      <c r="F224" s="479">
        <v>466.99999999999397</v>
      </c>
      <c r="G224" s="480">
        <v>350.24999999999602</v>
      </c>
      <c r="H224" s="482">
        <v>25.19971</v>
      </c>
      <c r="I224" s="479">
        <v>308.46924999999999</v>
      </c>
      <c r="J224" s="480">
        <v>-41.780749999995002</v>
      </c>
      <c r="K224" s="483">
        <v>0.66053372591000004</v>
      </c>
    </row>
    <row r="225" spans="1:11" ht="14.4" customHeight="1" thickBot="1" x14ac:dyDescent="0.35">
      <c r="A225" s="501" t="s">
        <v>431</v>
      </c>
      <c r="B225" s="479">
        <v>0.99995930742000005</v>
      </c>
      <c r="C225" s="479">
        <v>0.65859994901100005</v>
      </c>
      <c r="D225" s="480">
        <v>-0.34135935840800002</v>
      </c>
      <c r="E225" s="481">
        <v>0.65862675023299999</v>
      </c>
      <c r="F225" s="479">
        <v>0</v>
      </c>
      <c r="G225" s="480">
        <v>0</v>
      </c>
      <c r="H225" s="482">
        <v>1.2460000000000001E-2</v>
      </c>
      <c r="I225" s="479">
        <v>0.11214</v>
      </c>
      <c r="J225" s="480">
        <v>0.11214</v>
      </c>
      <c r="K225" s="489" t="s">
        <v>216</v>
      </c>
    </row>
    <row r="226" spans="1:11" ht="14.4" customHeight="1" thickBot="1" x14ac:dyDescent="0.35">
      <c r="A226" s="500" t="s">
        <v>432</v>
      </c>
      <c r="B226" s="484">
        <v>4.9406564584124654E-324</v>
      </c>
      <c r="C226" s="484">
        <v>1518.36811420089</v>
      </c>
      <c r="D226" s="485">
        <v>1518.36811420089</v>
      </c>
      <c r="E226" s="492" t="s">
        <v>222</v>
      </c>
      <c r="F226" s="484">
        <v>0</v>
      </c>
      <c r="G226" s="485">
        <v>0</v>
      </c>
      <c r="H226" s="487">
        <v>78.041799999999995</v>
      </c>
      <c r="I226" s="484">
        <v>941.17601999999999</v>
      </c>
      <c r="J226" s="485">
        <v>941.17601999999999</v>
      </c>
      <c r="K226" s="488" t="s">
        <v>216</v>
      </c>
    </row>
    <row r="227" spans="1:11" ht="14.4" customHeight="1" thickBot="1" x14ac:dyDescent="0.35">
      <c r="A227" s="501" t="s">
        <v>433</v>
      </c>
      <c r="B227" s="479">
        <v>4.9406564584124654E-324</v>
      </c>
      <c r="C227" s="479">
        <v>21.016298307768999</v>
      </c>
      <c r="D227" s="480">
        <v>21.016298307768999</v>
      </c>
      <c r="E227" s="491" t="s">
        <v>222</v>
      </c>
      <c r="F227" s="479">
        <v>0</v>
      </c>
      <c r="G227" s="480">
        <v>0</v>
      </c>
      <c r="H227" s="482">
        <v>4.9406564584124654E-324</v>
      </c>
      <c r="I227" s="479">
        <v>4.4465908125712189E-323</v>
      </c>
      <c r="J227" s="480">
        <v>4.4465908125712189E-323</v>
      </c>
      <c r="K227" s="489" t="s">
        <v>216</v>
      </c>
    </row>
    <row r="228" spans="1:11" ht="14.4" customHeight="1" thickBot="1" x14ac:dyDescent="0.35">
      <c r="A228" s="501" t="s">
        <v>434</v>
      </c>
      <c r="B228" s="479">
        <v>4.9406564584124654E-324</v>
      </c>
      <c r="C228" s="479">
        <v>1427.3358215308001</v>
      </c>
      <c r="D228" s="480">
        <v>1427.3358215308001</v>
      </c>
      <c r="E228" s="491" t="s">
        <v>222</v>
      </c>
      <c r="F228" s="479">
        <v>0</v>
      </c>
      <c r="G228" s="480">
        <v>0</v>
      </c>
      <c r="H228" s="482">
        <v>78.041799999999995</v>
      </c>
      <c r="I228" s="479">
        <v>941.17601999999999</v>
      </c>
      <c r="J228" s="480">
        <v>941.17601999999999</v>
      </c>
      <c r="K228" s="489" t="s">
        <v>216</v>
      </c>
    </row>
    <row r="229" spans="1:11" ht="14.4" customHeight="1" thickBot="1" x14ac:dyDescent="0.35">
      <c r="A229" s="501" t="s">
        <v>435</v>
      </c>
      <c r="B229" s="479">
        <v>4.9406564584124654E-324</v>
      </c>
      <c r="C229" s="479">
        <v>70.015994362315993</v>
      </c>
      <c r="D229" s="480">
        <v>70.015994362315993</v>
      </c>
      <c r="E229" s="491" t="s">
        <v>222</v>
      </c>
      <c r="F229" s="479">
        <v>0</v>
      </c>
      <c r="G229" s="480">
        <v>0</v>
      </c>
      <c r="H229" s="482">
        <v>4.9406564584124654E-324</v>
      </c>
      <c r="I229" s="479">
        <v>4.4465908125712189E-323</v>
      </c>
      <c r="J229" s="480">
        <v>4.4465908125712189E-323</v>
      </c>
      <c r="K229" s="489" t="s">
        <v>216</v>
      </c>
    </row>
    <row r="230" spans="1:11" ht="14.4" customHeight="1" thickBot="1" x14ac:dyDescent="0.35">
      <c r="A230" s="500" t="s">
        <v>436</v>
      </c>
      <c r="B230" s="484">
        <v>4250.9970557253801</v>
      </c>
      <c r="C230" s="484">
        <v>4586.5015845460903</v>
      </c>
      <c r="D230" s="485">
        <v>335.50452882070903</v>
      </c>
      <c r="E230" s="486">
        <v>1.078923726462</v>
      </c>
      <c r="F230" s="484">
        <v>5146.99999999993</v>
      </c>
      <c r="G230" s="485">
        <v>3860.24999999995</v>
      </c>
      <c r="H230" s="487">
        <v>338.38616000000002</v>
      </c>
      <c r="I230" s="484">
        <v>3123.6938700000001</v>
      </c>
      <c r="J230" s="485">
        <v>-736.55612999995003</v>
      </c>
      <c r="K230" s="490">
        <v>0.60689603069700004</v>
      </c>
    </row>
    <row r="231" spans="1:11" ht="14.4" customHeight="1" thickBot="1" x14ac:dyDescent="0.35">
      <c r="A231" s="501" t="s">
        <v>437</v>
      </c>
      <c r="B231" s="479">
        <v>4250.9970557253801</v>
      </c>
      <c r="C231" s="479">
        <v>4586.5015845460903</v>
      </c>
      <c r="D231" s="480">
        <v>335.50452882070903</v>
      </c>
      <c r="E231" s="481">
        <v>1.078923726462</v>
      </c>
      <c r="F231" s="479">
        <v>5146.99999999993</v>
      </c>
      <c r="G231" s="480">
        <v>3860.24999999995</v>
      </c>
      <c r="H231" s="482">
        <v>338.38616000000002</v>
      </c>
      <c r="I231" s="479">
        <v>3123.6938700000001</v>
      </c>
      <c r="J231" s="480">
        <v>-736.55612999995003</v>
      </c>
      <c r="K231" s="483">
        <v>0.60689603069700004</v>
      </c>
    </row>
    <row r="232" spans="1:11" ht="14.4" customHeight="1" thickBot="1" x14ac:dyDescent="0.35">
      <c r="A232" s="505" t="s">
        <v>438</v>
      </c>
      <c r="B232" s="484">
        <v>4.9406564584124654E-324</v>
      </c>
      <c r="C232" s="484">
        <v>32.897997350986003</v>
      </c>
      <c r="D232" s="485">
        <v>32.897997350986003</v>
      </c>
      <c r="E232" s="492" t="s">
        <v>222</v>
      </c>
      <c r="F232" s="484">
        <v>0</v>
      </c>
      <c r="G232" s="485">
        <v>0</v>
      </c>
      <c r="H232" s="487">
        <v>24.417000000000002</v>
      </c>
      <c r="I232" s="484">
        <v>31.736999999999998</v>
      </c>
      <c r="J232" s="485">
        <v>31.736999999999998</v>
      </c>
      <c r="K232" s="488" t="s">
        <v>216</v>
      </c>
    </row>
    <row r="233" spans="1:11" ht="14.4" customHeight="1" thickBot="1" x14ac:dyDescent="0.35">
      <c r="A233" s="502" t="s">
        <v>439</v>
      </c>
      <c r="B233" s="484">
        <v>4.9406564584124654E-324</v>
      </c>
      <c r="C233" s="484">
        <v>32.897997350986003</v>
      </c>
      <c r="D233" s="485">
        <v>32.897997350986003</v>
      </c>
      <c r="E233" s="492" t="s">
        <v>222</v>
      </c>
      <c r="F233" s="484">
        <v>0</v>
      </c>
      <c r="G233" s="485">
        <v>0</v>
      </c>
      <c r="H233" s="487">
        <v>24.417000000000002</v>
      </c>
      <c r="I233" s="484">
        <v>31.736999999999998</v>
      </c>
      <c r="J233" s="485">
        <v>31.736999999999998</v>
      </c>
      <c r="K233" s="488" t="s">
        <v>216</v>
      </c>
    </row>
    <row r="234" spans="1:11" ht="14.4" customHeight="1" thickBot="1" x14ac:dyDescent="0.35">
      <c r="A234" s="503" t="s">
        <v>440</v>
      </c>
      <c r="B234" s="484">
        <v>4.9406564584124654E-324</v>
      </c>
      <c r="C234" s="484">
        <v>32.897997350986003</v>
      </c>
      <c r="D234" s="485">
        <v>32.897997350986003</v>
      </c>
      <c r="E234" s="492" t="s">
        <v>222</v>
      </c>
      <c r="F234" s="484">
        <v>0</v>
      </c>
      <c r="G234" s="485">
        <v>0</v>
      </c>
      <c r="H234" s="487">
        <v>24.417000000000002</v>
      </c>
      <c r="I234" s="484">
        <v>31.736999999999998</v>
      </c>
      <c r="J234" s="485">
        <v>31.736999999999998</v>
      </c>
      <c r="K234" s="488" t="s">
        <v>216</v>
      </c>
    </row>
    <row r="235" spans="1:11" ht="14.4" customHeight="1" thickBot="1" x14ac:dyDescent="0.35">
      <c r="A235" s="500" t="s">
        <v>441</v>
      </c>
      <c r="B235" s="484">
        <v>4.9406564584124654E-324</v>
      </c>
      <c r="C235" s="484">
        <v>32.897997350986003</v>
      </c>
      <c r="D235" s="485">
        <v>32.897997350986003</v>
      </c>
      <c r="E235" s="492" t="s">
        <v>222</v>
      </c>
      <c r="F235" s="484">
        <v>0</v>
      </c>
      <c r="G235" s="485">
        <v>0</v>
      </c>
      <c r="H235" s="487">
        <v>24.417000000000002</v>
      </c>
      <c r="I235" s="484">
        <v>31.736999999999998</v>
      </c>
      <c r="J235" s="485">
        <v>31.736999999999998</v>
      </c>
      <c r="K235" s="488" t="s">
        <v>216</v>
      </c>
    </row>
    <row r="236" spans="1:11" ht="14.4" customHeight="1" thickBot="1" x14ac:dyDescent="0.35">
      <c r="A236" s="501" t="s">
        <v>442</v>
      </c>
      <c r="B236" s="479">
        <v>4.9406564584124654E-324</v>
      </c>
      <c r="C236" s="479">
        <v>32.897997350986003</v>
      </c>
      <c r="D236" s="480">
        <v>32.897997350986003</v>
      </c>
      <c r="E236" s="491" t="s">
        <v>222</v>
      </c>
      <c r="F236" s="479">
        <v>0</v>
      </c>
      <c r="G236" s="480">
        <v>0</v>
      </c>
      <c r="H236" s="482">
        <v>24.417000000000002</v>
      </c>
      <c r="I236" s="479">
        <v>31.736999999999998</v>
      </c>
      <c r="J236" s="480">
        <v>31.736999999999998</v>
      </c>
      <c r="K236" s="489" t="s">
        <v>216</v>
      </c>
    </row>
    <row r="237" spans="1:11" ht="14.4" customHeight="1" thickBot="1" x14ac:dyDescent="0.35">
      <c r="A237" s="506"/>
      <c r="B237" s="479">
        <v>7754.67803646211</v>
      </c>
      <c r="C237" s="479">
        <v>4.9406564584124654E-324</v>
      </c>
      <c r="D237" s="480">
        <v>-7754.67803646211</v>
      </c>
      <c r="E237" s="481">
        <v>0</v>
      </c>
      <c r="F237" s="479">
        <v>12298.670133461999</v>
      </c>
      <c r="G237" s="480">
        <v>9224.0026000965299</v>
      </c>
      <c r="H237" s="482">
        <v>2230.1791699999999</v>
      </c>
      <c r="I237" s="479">
        <v>14866.494350000001</v>
      </c>
      <c r="J237" s="480">
        <v>5642.49174990346</v>
      </c>
      <c r="K237" s="483">
        <v>1.208788770547</v>
      </c>
    </row>
    <row r="238" spans="1:11" ht="14.4" customHeight="1" thickBot="1" x14ac:dyDescent="0.35">
      <c r="A238" s="507" t="s">
        <v>76</v>
      </c>
      <c r="B238" s="493">
        <v>7754.67803646211</v>
      </c>
      <c r="C238" s="493">
        <v>4441.1888892181596</v>
      </c>
      <c r="D238" s="494">
        <v>-3313.4891472439499</v>
      </c>
      <c r="E238" s="495" t="s">
        <v>222</v>
      </c>
      <c r="F238" s="493">
        <v>12298.670133461999</v>
      </c>
      <c r="G238" s="494">
        <v>9224.0026000965408</v>
      </c>
      <c r="H238" s="493">
        <v>2230.1791699999999</v>
      </c>
      <c r="I238" s="493">
        <v>14866.494350000001</v>
      </c>
      <c r="J238" s="494">
        <v>5642.49174990346</v>
      </c>
      <c r="K238" s="496">
        <v>1.208788770547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3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8" bestFit="1" customWidth="1"/>
    <col min="2" max="2" width="9.33203125" style="88" customWidth="1"/>
    <col min="3" max="3" width="28.88671875" style="69" bestFit="1" customWidth="1"/>
    <col min="4" max="5" width="11.109375" style="89" customWidth="1"/>
    <col min="6" max="6" width="6.6640625" style="90" customWidth="1"/>
    <col min="7" max="7" width="12.21875" style="97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396" t="s">
        <v>194</v>
      </c>
      <c r="B1" s="397"/>
      <c r="C1" s="397"/>
      <c r="D1" s="397"/>
      <c r="E1" s="397"/>
      <c r="F1" s="397"/>
      <c r="G1" s="370"/>
    </row>
    <row r="2" spans="1:8" ht="14.4" customHeight="1" thickBot="1" x14ac:dyDescent="0.35">
      <c r="A2" s="478" t="s">
        <v>215</v>
      </c>
      <c r="B2" s="95"/>
      <c r="C2" s="95"/>
      <c r="D2" s="95"/>
      <c r="E2" s="95"/>
      <c r="F2" s="95"/>
    </row>
    <row r="3" spans="1:8" ht="14.4" customHeight="1" thickBot="1" x14ac:dyDescent="0.35">
      <c r="A3" s="144" t="s">
        <v>0</v>
      </c>
      <c r="B3" s="145" t="s">
        <v>1</v>
      </c>
      <c r="C3" s="272" t="s">
        <v>2</v>
      </c>
      <c r="D3" s="273" t="s">
        <v>3</v>
      </c>
      <c r="E3" s="273" t="s">
        <v>4</v>
      </c>
      <c r="F3" s="273" t="s">
        <v>5</v>
      </c>
      <c r="G3" s="274" t="s">
        <v>202</v>
      </c>
    </row>
    <row r="4" spans="1:8" ht="14.4" customHeight="1" x14ac:dyDescent="0.3">
      <c r="A4" s="508" t="s">
        <v>443</v>
      </c>
      <c r="B4" s="509" t="s">
        <v>444</v>
      </c>
      <c r="C4" s="510" t="s">
        <v>445</v>
      </c>
      <c r="D4" s="510" t="s">
        <v>444</v>
      </c>
      <c r="E4" s="510" t="s">
        <v>444</v>
      </c>
      <c r="F4" s="511" t="s">
        <v>444</v>
      </c>
      <c r="G4" s="510" t="s">
        <v>444</v>
      </c>
      <c r="H4" s="510" t="s">
        <v>96</v>
      </c>
    </row>
    <row r="5" spans="1:8" ht="14.4" customHeight="1" x14ac:dyDescent="0.3">
      <c r="A5" s="508" t="s">
        <v>443</v>
      </c>
      <c r="B5" s="509" t="s">
        <v>446</v>
      </c>
      <c r="C5" s="510" t="s">
        <v>447</v>
      </c>
      <c r="D5" s="510">
        <v>1554618.7861532609</v>
      </c>
      <c r="E5" s="510">
        <v>1383343.6040715848</v>
      </c>
      <c r="F5" s="511">
        <v>0.88982817935355174</v>
      </c>
      <c r="G5" s="510">
        <v>-171275.18208167609</v>
      </c>
      <c r="H5" s="510" t="s">
        <v>2</v>
      </c>
    </row>
    <row r="6" spans="1:8" ht="14.4" customHeight="1" x14ac:dyDescent="0.3">
      <c r="A6" s="508" t="s">
        <v>443</v>
      </c>
      <c r="B6" s="509" t="s">
        <v>448</v>
      </c>
      <c r="C6" s="510" t="s">
        <v>449</v>
      </c>
      <c r="D6" s="510">
        <v>264958.98690932634</v>
      </c>
      <c r="E6" s="510">
        <v>310251.463499996</v>
      </c>
      <c r="F6" s="511">
        <v>1.1709414619937748</v>
      </c>
      <c r="G6" s="510">
        <v>45292.476590669656</v>
      </c>
      <c r="H6" s="510" t="s">
        <v>2</v>
      </c>
    </row>
    <row r="7" spans="1:8" ht="14.4" customHeight="1" x14ac:dyDescent="0.3">
      <c r="A7" s="508" t="s">
        <v>443</v>
      </c>
      <c r="B7" s="509" t="s">
        <v>450</v>
      </c>
      <c r="C7" s="510" t="s">
        <v>451</v>
      </c>
      <c r="D7" s="510">
        <v>38248.82523407205</v>
      </c>
      <c r="E7" s="510">
        <v>22447.85</v>
      </c>
      <c r="F7" s="511">
        <v>0.58688992047796162</v>
      </c>
      <c r="G7" s="510">
        <v>-15800.975234072052</v>
      </c>
      <c r="H7" s="510" t="s">
        <v>2</v>
      </c>
    </row>
    <row r="8" spans="1:8" ht="14.4" customHeight="1" x14ac:dyDescent="0.3">
      <c r="A8" s="508" t="s">
        <v>443</v>
      </c>
      <c r="B8" s="509" t="s">
        <v>452</v>
      </c>
      <c r="C8" s="510" t="s">
        <v>453</v>
      </c>
      <c r="D8" s="510">
        <v>185918.17879293836</v>
      </c>
      <c r="E8" s="510">
        <v>131339.4485338236</v>
      </c>
      <c r="F8" s="511">
        <v>0.70643682821409071</v>
      </c>
      <c r="G8" s="510">
        <v>-54578.73025911476</v>
      </c>
      <c r="H8" s="510" t="s">
        <v>2</v>
      </c>
    </row>
    <row r="9" spans="1:8" ht="14.4" customHeight="1" x14ac:dyDescent="0.3">
      <c r="A9" s="508" t="s">
        <v>443</v>
      </c>
      <c r="B9" s="509" t="s">
        <v>454</v>
      </c>
      <c r="C9" s="510" t="s">
        <v>455</v>
      </c>
      <c r="D9" s="510">
        <v>20196.449846580443</v>
      </c>
      <c r="E9" s="510">
        <v>13619.267718488927</v>
      </c>
      <c r="F9" s="511">
        <v>0.67433968949720491</v>
      </c>
      <c r="G9" s="510">
        <v>-6577.1821280915156</v>
      </c>
      <c r="H9" s="510" t="s">
        <v>2</v>
      </c>
    </row>
    <row r="10" spans="1:8" ht="14.4" customHeight="1" x14ac:dyDescent="0.3">
      <c r="A10" s="508" t="s">
        <v>443</v>
      </c>
      <c r="B10" s="509" t="s">
        <v>456</v>
      </c>
      <c r="C10" s="510" t="s">
        <v>457</v>
      </c>
      <c r="D10" s="510">
        <v>35999.99999999805</v>
      </c>
      <c r="E10" s="510">
        <v>101730.84000000001</v>
      </c>
      <c r="F10" s="511">
        <v>2.8258566666668199</v>
      </c>
      <c r="G10" s="510">
        <v>65730.840000001961</v>
      </c>
      <c r="H10" s="510" t="s">
        <v>2</v>
      </c>
    </row>
    <row r="11" spans="1:8" ht="14.4" customHeight="1" x14ac:dyDescent="0.3">
      <c r="A11" s="508" t="s">
        <v>443</v>
      </c>
      <c r="B11" s="509" t="s">
        <v>6</v>
      </c>
      <c r="C11" s="510" t="s">
        <v>445</v>
      </c>
      <c r="D11" s="510">
        <v>2099941.2269361764</v>
      </c>
      <c r="E11" s="510">
        <v>1962732.4738238936</v>
      </c>
      <c r="F11" s="511">
        <v>0.93466066985480778</v>
      </c>
      <c r="G11" s="510">
        <v>-137208.75311228284</v>
      </c>
      <c r="H11" s="510" t="s">
        <v>458</v>
      </c>
    </row>
    <row r="13" spans="1:8" ht="14.4" customHeight="1" x14ac:dyDescent="0.3">
      <c r="A13" s="508" t="s">
        <v>443</v>
      </c>
      <c r="B13" s="509" t="s">
        <v>444</v>
      </c>
      <c r="C13" s="510" t="s">
        <v>445</v>
      </c>
      <c r="D13" s="510" t="s">
        <v>444</v>
      </c>
      <c r="E13" s="510" t="s">
        <v>444</v>
      </c>
      <c r="F13" s="511" t="s">
        <v>444</v>
      </c>
      <c r="G13" s="510" t="s">
        <v>444</v>
      </c>
      <c r="H13" s="510" t="s">
        <v>96</v>
      </c>
    </row>
    <row r="14" spans="1:8" ht="14.4" customHeight="1" x14ac:dyDescent="0.3">
      <c r="A14" s="508" t="s">
        <v>459</v>
      </c>
      <c r="B14" s="509" t="s">
        <v>446</v>
      </c>
      <c r="C14" s="510" t="s">
        <v>447</v>
      </c>
      <c r="D14" s="510">
        <v>121469.52263658225</v>
      </c>
      <c r="E14" s="510">
        <v>118575.70947845912</v>
      </c>
      <c r="F14" s="511">
        <v>0.97617663183891024</v>
      </c>
      <c r="G14" s="510">
        <v>-2893.8131581231282</v>
      </c>
      <c r="H14" s="510" t="s">
        <v>2</v>
      </c>
    </row>
    <row r="15" spans="1:8" ht="14.4" customHeight="1" x14ac:dyDescent="0.3">
      <c r="A15" s="508" t="s">
        <v>459</v>
      </c>
      <c r="B15" s="509" t="s">
        <v>448</v>
      </c>
      <c r="C15" s="510" t="s">
        <v>449</v>
      </c>
      <c r="D15" s="510">
        <v>29711.800618112404</v>
      </c>
      <c r="E15" s="510">
        <v>37996.860199929128</v>
      </c>
      <c r="F15" s="511">
        <v>1.278847441402327</v>
      </c>
      <c r="G15" s="510">
        <v>8285.0595818167239</v>
      </c>
      <c r="H15" s="510" t="s">
        <v>2</v>
      </c>
    </row>
    <row r="16" spans="1:8" ht="14.4" customHeight="1" x14ac:dyDescent="0.3">
      <c r="A16" s="508" t="s">
        <v>459</v>
      </c>
      <c r="B16" s="509" t="s">
        <v>452</v>
      </c>
      <c r="C16" s="510" t="s">
        <v>453</v>
      </c>
      <c r="D16" s="510">
        <v>3615.7848325405807</v>
      </c>
      <c r="E16" s="510">
        <v>6627.7601265082685</v>
      </c>
      <c r="F16" s="511">
        <v>1.8330073368473547</v>
      </c>
      <c r="G16" s="510">
        <v>3011.9752939676878</v>
      </c>
      <c r="H16" s="510" t="s">
        <v>2</v>
      </c>
    </row>
    <row r="17" spans="1:8" ht="14.4" customHeight="1" x14ac:dyDescent="0.3">
      <c r="A17" s="508" t="s">
        <v>459</v>
      </c>
      <c r="B17" s="509" t="s">
        <v>454</v>
      </c>
      <c r="C17" s="510" t="s">
        <v>455</v>
      </c>
      <c r="D17" s="510">
        <v>1280.6325708243523</v>
      </c>
      <c r="E17" s="510">
        <v>1046.8991820965905</v>
      </c>
      <c r="F17" s="511">
        <v>0.8174859877433025</v>
      </c>
      <c r="G17" s="510">
        <v>-233.73338872776185</v>
      </c>
      <c r="H17" s="510" t="s">
        <v>2</v>
      </c>
    </row>
    <row r="18" spans="1:8" ht="14.4" customHeight="1" x14ac:dyDescent="0.3">
      <c r="A18" s="508" t="s">
        <v>459</v>
      </c>
      <c r="B18" s="509" t="s">
        <v>6</v>
      </c>
      <c r="C18" s="510" t="s">
        <v>460</v>
      </c>
      <c r="D18" s="510">
        <v>156077.74065805957</v>
      </c>
      <c r="E18" s="510">
        <v>164247.22898699311</v>
      </c>
      <c r="F18" s="511">
        <v>1.0523424307302829</v>
      </c>
      <c r="G18" s="510">
        <v>8169.4883289335412</v>
      </c>
      <c r="H18" s="510" t="s">
        <v>461</v>
      </c>
    </row>
    <row r="19" spans="1:8" ht="14.4" customHeight="1" x14ac:dyDescent="0.3">
      <c r="A19" s="508" t="s">
        <v>444</v>
      </c>
      <c r="B19" s="509" t="s">
        <v>444</v>
      </c>
      <c r="C19" s="510" t="s">
        <v>444</v>
      </c>
      <c r="D19" s="510" t="s">
        <v>444</v>
      </c>
      <c r="E19" s="510" t="s">
        <v>444</v>
      </c>
      <c r="F19" s="511" t="s">
        <v>444</v>
      </c>
      <c r="G19" s="510" t="s">
        <v>444</v>
      </c>
      <c r="H19" s="510" t="s">
        <v>462</v>
      </c>
    </row>
    <row r="20" spans="1:8" ht="14.4" customHeight="1" x14ac:dyDescent="0.3">
      <c r="A20" s="508" t="s">
        <v>463</v>
      </c>
      <c r="B20" s="509" t="s">
        <v>446</v>
      </c>
      <c r="C20" s="510" t="s">
        <v>447</v>
      </c>
      <c r="D20" s="510">
        <v>139200.16571275875</v>
      </c>
      <c r="E20" s="510">
        <v>104693.74023026944</v>
      </c>
      <c r="F20" s="511">
        <v>0.75210930744368687</v>
      </c>
      <c r="G20" s="510">
        <v>-34506.425482489314</v>
      </c>
      <c r="H20" s="510" t="s">
        <v>2</v>
      </c>
    </row>
    <row r="21" spans="1:8" ht="14.4" customHeight="1" x14ac:dyDescent="0.3">
      <c r="A21" s="508" t="s">
        <v>463</v>
      </c>
      <c r="B21" s="509" t="s">
        <v>448</v>
      </c>
      <c r="C21" s="510" t="s">
        <v>449</v>
      </c>
      <c r="D21" s="510">
        <v>8024.7562948161749</v>
      </c>
      <c r="E21" s="510">
        <v>13091.786435369359</v>
      </c>
      <c r="F21" s="511">
        <v>1.6314248002554768</v>
      </c>
      <c r="G21" s="510">
        <v>5067.0301405531836</v>
      </c>
      <c r="H21" s="510" t="s">
        <v>2</v>
      </c>
    </row>
    <row r="22" spans="1:8" ht="14.4" customHeight="1" x14ac:dyDescent="0.3">
      <c r="A22" s="508" t="s">
        <v>463</v>
      </c>
      <c r="B22" s="509" t="s">
        <v>452</v>
      </c>
      <c r="C22" s="510" t="s">
        <v>453</v>
      </c>
      <c r="D22" s="510">
        <v>22523.690577661273</v>
      </c>
      <c r="E22" s="510">
        <v>12565.707983242773</v>
      </c>
      <c r="F22" s="511">
        <v>0.55788850143880475</v>
      </c>
      <c r="G22" s="510">
        <v>-9957.9825944184995</v>
      </c>
      <c r="H22" s="510" t="s">
        <v>2</v>
      </c>
    </row>
    <row r="23" spans="1:8" ht="14.4" customHeight="1" x14ac:dyDescent="0.3">
      <c r="A23" s="508" t="s">
        <v>463</v>
      </c>
      <c r="B23" s="509" t="s">
        <v>454</v>
      </c>
      <c r="C23" s="510" t="s">
        <v>455</v>
      </c>
      <c r="D23" s="510">
        <v>952.48503850276518</v>
      </c>
      <c r="E23" s="510">
        <v>622.12976735105735</v>
      </c>
      <c r="F23" s="511">
        <v>0.65316487105036158</v>
      </c>
      <c r="G23" s="510">
        <v>-330.35527115170783</v>
      </c>
      <c r="H23" s="510" t="s">
        <v>2</v>
      </c>
    </row>
    <row r="24" spans="1:8" ht="14.4" customHeight="1" x14ac:dyDescent="0.3">
      <c r="A24" s="508" t="s">
        <v>463</v>
      </c>
      <c r="B24" s="509" t="s">
        <v>6</v>
      </c>
      <c r="C24" s="510" t="s">
        <v>464</v>
      </c>
      <c r="D24" s="510">
        <v>170701.09762373896</v>
      </c>
      <c r="E24" s="510">
        <v>130973.36441623262</v>
      </c>
      <c r="F24" s="511">
        <v>0.76726726564421632</v>
      </c>
      <c r="G24" s="510">
        <v>-39727.733207506331</v>
      </c>
      <c r="H24" s="510" t="s">
        <v>461</v>
      </c>
    </row>
    <row r="25" spans="1:8" ht="14.4" customHeight="1" x14ac:dyDescent="0.3">
      <c r="A25" s="508" t="s">
        <v>444</v>
      </c>
      <c r="B25" s="509" t="s">
        <v>444</v>
      </c>
      <c r="C25" s="510" t="s">
        <v>444</v>
      </c>
      <c r="D25" s="510" t="s">
        <v>444</v>
      </c>
      <c r="E25" s="510" t="s">
        <v>444</v>
      </c>
      <c r="F25" s="511" t="s">
        <v>444</v>
      </c>
      <c r="G25" s="510" t="s">
        <v>444</v>
      </c>
      <c r="H25" s="510" t="s">
        <v>462</v>
      </c>
    </row>
    <row r="26" spans="1:8" ht="14.4" customHeight="1" x14ac:dyDescent="0.3">
      <c r="A26" s="508" t="s">
        <v>465</v>
      </c>
      <c r="B26" s="509" t="s">
        <v>446</v>
      </c>
      <c r="C26" s="510" t="s">
        <v>447</v>
      </c>
      <c r="D26" s="510">
        <v>1293949.09780392</v>
      </c>
      <c r="E26" s="510">
        <v>1160074.1543628569</v>
      </c>
      <c r="F26" s="511">
        <v>0.89653770486932238</v>
      </c>
      <c r="G26" s="510">
        <v>-133874.94344106317</v>
      </c>
      <c r="H26" s="510" t="s">
        <v>2</v>
      </c>
    </row>
    <row r="27" spans="1:8" ht="14.4" customHeight="1" x14ac:dyDescent="0.3">
      <c r="A27" s="508" t="s">
        <v>465</v>
      </c>
      <c r="B27" s="509" t="s">
        <v>448</v>
      </c>
      <c r="C27" s="510" t="s">
        <v>449</v>
      </c>
      <c r="D27" s="510">
        <v>227222.42999639772</v>
      </c>
      <c r="E27" s="510">
        <v>259162.8168646975</v>
      </c>
      <c r="F27" s="511">
        <v>1.1405688112252217</v>
      </c>
      <c r="G27" s="510">
        <v>31940.386868299771</v>
      </c>
      <c r="H27" s="510" t="s">
        <v>2</v>
      </c>
    </row>
    <row r="28" spans="1:8" ht="14.4" customHeight="1" x14ac:dyDescent="0.3">
      <c r="A28" s="508" t="s">
        <v>465</v>
      </c>
      <c r="B28" s="509" t="s">
        <v>450</v>
      </c>
      <c r="C28" s="510" t="s">
        <v>451</v>
      </c>
      <c r="D28" s="510">
        <v>38248.82523407205</v>
      </c>
      <c r="E28" s="510">
        <v>22447.85</v>
      </c>
      <c r="F28" s="511">
        <v>0.58688992047796162</v>
      </c>
      <c r="G28" s="510">
        <v>-15800.975234072052</v>
      </c>
      <c r="H28" s="510" t="s">
        <v>2</v>
      </c>
    </row>
    <row r="29" spans="1:8" ht="14.4" customHeight="1" x14ac:dyDescent="0.3">
      <c r="A29" s="508" t="s">
        <v>465</v>
      </c>
      <c r="B29" s="509" t="s">
        <v>452</v>
      </c>
      <c r="C29" s="510" t="s">
        <v>453</v>
      </c>
      <c r="D29" s="510">
        <v>159778.70338273651</v>
      </c>
      <c r="E29" s="510">
        <v>112145.98042407255</v>
      </c>
      <c r="F29" s="511">
        <v>0.70188315494985742</v>
      </c>
      <c r="G29" s="510">
        <v>-47632.722958663959</v>
      </c>
      <c r="H29" s="510" t="s">
        <v>2</v>
      </c>
    </row>
    <row r="30" spans="1:8" ht="14.4" customHeight="1" x14ac:dyDescent="0.3">
      <c r="A30" s="508" t="s">
        <v>465</v>
      </c>
      <c r="B30" s="509" t="s">
        <v>454</v>
      </c>
      <c r="C30" s="510" t="s">
        <v>455</v>
      </c>
      <c r="D30" s="510">
        <v>17963.332237253326</v>
      </c>
      <c r="E30" s="510">
        <v>11950.23876904128</v>
      </c>
      <c r="F30" s="511">
        <v>0.66525734820281457</v>
      </c>
      <c r="G30" s="510">
        <v>-6013.093468212046</v>
      </c>
      <c r="H30" s="510" t="s">
        <v>2</v>
      </c>
    </row>
    <row r="31" spans="1:8" ht="14.4" customHeight="1" x14ac:dyDescent="0.3">
      <c r="A31" s="508" t="s">
        <v>465</v>
      </c>
      <c r="B31" s="509" t="s">
        <v>456</v>
      </c>
      <c r="C31" s="510" t="s">
        <v>457</v>
      </c>
      <c r="D31" s="510" t="s">
        <v>444</v>
      </c>
      <c r="E31" s="510">
        <v>0</v>
      </c>
      <c r="F31" s="511" t="s">
        <v>444</v>
      </c>
      <c r="G31" s="510">
        <v>0</v>
      </c>
      <c r="H31" s="510" t="s">
        <v>2</v>
      </c>
    </row>
    <row r="32" spans="1:8" ht="14.4" customHeight="1" x14ac:dyDescent="0.3">
      <c r="A32" s="508" t="s">
        <v>465</v>
      </c>
      <c r="B32" s="509" t="s">
        <v>6</v>
      </c>
      <c r="C32" s="510" t="s">
        <v>466</v>
      </c>
      <c r="D32" s="510">
        <v>1737162.3886543799</v>
      </c>
      <c r="E32" s="510">
        <v>1565781.0404206684</v>
      </c>
      <c r="F32" s="511">
        <v>0.90134408311334391</v>
      </c>
      <c r="G32" s="510">
        <v>-171381.34823371144</v>
      </c>
      <c r="H32" s="510" t="s">
        <v>461</v>
      </c>
    </row>
    <row r="33" spans="1:8" ht="14.4" customHeight="1" x14ac:dyDescent="0.3">
      <c r="A33" s="508" t="s">
        <v>444</v>
      </c>
      <c r="B33" s="509" t="s">
        <v>444</v>
      </c>
      <c r="C33" s="510" t="s">
        <v>444</v>
      </c>
      <c r="D33" s="510" t="s">
        <v>444</v>
      </c>
      <c r="E33" s="510" t="s">
        <v>444</v>
      </c>
      <c r="F33" s="511" t="s">
        <v>444</v>
      </c>
      <c r="G33" s="510" t="s">
        <v>444</v>
      </c>
      <c r="H33" s="510" t="s">
        <v>462</v>
      </c>
    </row>
    <row r="34" spans="1:8" ht="14.4" customHeight="1" x14ac:dyDescent="0.3">
      <c r="A34" s="508" t="s">
        <v>467</v>
      </c>
      <c r="B34" s="509" t="s">
        <v>456</v>
      </c>
      <c r="C34" s="510" t="s">
        <v>457</v>
      </c>
      <c r="D34" s="510">
        <v>35999.99999999805</v>
      </c>
      <c r="E34" s="510">
        <v>101730.84000000001</v>
      </c>
      <c r="F34" s="511">
        <v>2.8258566666668199</v>
      </c>
      <c r="G34" s="510">
        <v>65730.840000001961</v>
      </c>
      <c r="H34" s="510" t="s">
        <v>2</v>
      </c>
    </row>
    <row r="35" spans="1:8" ht="14.4" customHeight="1" x14ac:dyDescent="0.3">
      <c r="A35" s="508" t="s">
        <v>467</v>
      </c>
      <c r="B35" s="509" t="s">
        <v>6</v>
      </c>
      <c r="C35" s="510" t="s">
        <v>468</v>
      </c>
      <c r="D35" s="510">
        <v>35999.99999999805</v>
      </c>
      <c r="E35" s="510">
        <v>101730.84000000001</v>
      </c>
      <c r="F35" s="511">
        <v>2.8258566666668199</v>
      </c>
      <c r="G35" s="510">
        <v>65730.840000001961</v>
      </c>
      <c r="H35" s="510" t="s">
        <v>461</v>
      </c>
    </row>
    <row r="36" spans="1:8" ht="14.4" customHeight="1" x14ac:dyDescent="0.3">
      <c r="A36" s="508" t="s">
        <v>444</v>
      </c>
      <c r="B36" s="509" t="s">
        <v>444</v>
      </c>
      <c r="C36" s="510" t="s">
        <v>444</v>
      </c>
      <c r="D36" s="510" t="s">
        <v>444</v>
      </c>
      <c r="E36" s="510" t="s">
        <v>444</v>
      </c>
      <c r="F36" s="511" t="s">
        <v>444</v>
      </c>
      <c r="G36" s="510" t="s">
        <v>444</v>
      </c>
      <c r="H36" s="510" t="s">
        <v>462</v>
      </c>
    </row>
    <row r="37" spans="1:8" ht="14.4" customHeight="1" x14ac:dyDescent="0.3">
      <c r="A37" s="508" t="s">
        <v>443</v>
      </c>
      <c r="B37" s="509" t="s">
        <v>6</v>
      </c>
      <c r="C37" s="510" t="s">
        <v>445</v>
      </c>
      <c r="D37" s="510">
        <v>2099941.2269361764</v>
      </c>
      <c r="E37" s="510">
        <v>1962732.4738238943</v>
      </c>
      <c r="F37" s="511">
        <v>0.93466066985480811</v>
      </c>
      <c r="G37" s="510">
        <v>-137208.75311228214</v>
      </c>
      <c r="H37" s="510" t="s">
        <v>458</v>
      </c>
    </row>
  </sheetData>
  <autoFilter ref="A3:G3"/>
  <mergeCells count="1">
    <mergeCell ref="A1:G1"/>
  </mergeCells>
  <conditionalFormatting sqref="F12 F38:F65536">
    <cfRule type="cellIs" dxfId="57" priority="19" stopIfTrue="1" operator="greaterThan">
      <formula>1</formula>
    </cfRule>
  </conditionalFormatting>
  <conditionalFormatting sqref="F4:F11">
    <cfRule type="cellIs" dxfId="56" priority="14" operator="greaterThan">
      <formula>1</formula>
    </cfRule>
  </conditionalFormatting>
  <conditionalFormatting sqref="B4:B11">
    <cfRule type="expression" dxfId="55" priority="18">
      <formula>AND(LEFT(H4,6)&lt;&gt;"mezera",H4&lt;&gt;"")</formula>
    </cfRule>
  </conditionalFormatting>
  <conditionalFormatting sqref="A4:A11">
    <cfRule type="expression" dxfId="54" priority="15">
      <formula>AND(H4&lt;&gt;"",H4&lt;&gt;"mezeraKL")</formula>
    </cfRule>
  </conditionalFormatting>
  <conditionalFormatting sqref="B4:G11">
    <cfRule type="expression" dxfId="53" priority="16">
      <formula>$H4="SumaNS"</formula>
    </cfRule>
    <cfRule type="expression" dxfId="52" priority="17">
      <formula>OR($H4="KL",$H4="SumaKL")</formula>
    </cfRule>
  </conditionalFormatting>
  <conditionalFormatting sqref="A4:G11">
    <cfRule type="expression" dxfId="51" priority="13">
      <formula>$H4&lt;&gt;""</formula>
    </cfRule>
  </conditionalFormatting>
  <conditionalFormatting sqref="G4:G11">
    <cfRule type="cellIs" dxfId="50" priority="12" operator="greaterThan">
      <formula>0</formula>
    </cfRule>
  </conditionalFormatting>
  <conditionalFormatting sqref="F4:F11">
    <cfRule type="cellIs" dxfId="49" priority="9" operator="greaterThan">
      <formula>1</formula>
    </cfRule>
  </conditionalFormatting>
  <conditionalFormatting sqref="F4:F11">
    <cfRule type="expression" dxfId="48" priority="10">
      <formula>$H4="SumaNS"</formula>
    </cfRule>
    <cfRule type="expression" dxfId="47" priority="11">
      <formula>OR($H4="KL",$H4="SumaKL")</formula>
    </cfRule>
  </conditionalFormatting>
  <conditionalFormatting sqref="F4:F11">
    <cfRule type="expression" dxfId="46" priority="8">
      <formula>$H4&lt;&gt;""</formula>
    </cfRule>
  </conditionalFormatting>
  <conditionalFormatting sqref="F13:F37">
    <cfRule type="cellIs" dxfId="45" priority="3" operator="greaterThan">
      <formula>1</formula>
    </cfRule>
  </conditionalFormatting>
  <conditionalFormatting sqref="B13:B37">
    <cfRule type="expression" dxfId="44" priority="7">
      <formula>AND(LEFT(H13,6)&lt;&gt;"mezera",H13&lt;&gt;"")</formula>
    </cfRule>
  </conditionalFormatting>
  <conditionalFormatting sqref="A13:A37">
    <cfRule type="expression" dxfId="43" priority="4">
      <formula>AND(H13&lt;&gt;"",H13&lt;&gt;"mezeraKL")</formula>
    </cfRule>
  </conditionalFormatting>
  <conditionalFormatting sqref="B13:G37">
    <cfRule type="expression" dxfId="42" priority="5">
      <formula>$H13="SumaNS"</formula>
    </cfRule>
    <cfRule type="expression" dxfId="41" priority="6">
      <formula>OR($H13="KL",$H13="SumaKL")</formula>
    </cfRule>
  </conditionalFormatting>
  <conditionalFormatting sqref="A13:G37">
    <cfRule type="expression" dxfId="40" priority="2">
      <formula>$H13&lt;&gt;""</formula>
    </cfRule>
  </conditionalFormatting>
  <conditionalFormatting sqref="G13:G37">
    <cfRule type="cellIs" dxfId="3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89" bestFit="1" customWidth="1" collapsed="1"/>
    <col min="4" max="4" width="18.77734375" style="91" customWidth="1"/>
    <col min="5" max="5" width="9" style="89" bestFit="1" customWidth="1"/>
    <col min="6" max="6" width="18.77734375" style="91" customWidth="1"/>
    <col min="7" max="7" width="5" style="89" customWidth="1"/>
    <col min="8" max="8" width="12.44140625" style="89" hidden="1" customWidth="1" outlineLevel="1"/>
    <col min="9" max="9" width="8.5546875" style="89" hidden="1" customWidth="1" outlineLevel="1"/>
    <col min="10" max="10" width="25.77734375" style="89" customWidth="1" collapsed="1"/>
    <col min="11" max="11" width="8.77734375" style="89" customWidth="1"/>
    <col min="12" max="13" width="7.77734375" style="97" customWidth="1"/>
    <col min="14" max="14" width="11.109375" style="97" customWidth="1"/>
    <col min="15" max="16384" width="8.88671875" style="69"/>
  </cols>
  <sheetData>
    <row r="1" spans="1:14" ht="18.600000000000001" customHeight="1" thickBot="1" x14ac:dyDescent="0.4">
      <c r="A1" s="402" t="s">
        <v>193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ht="14.4" customHeight="1" thickBot="1" x14ac:dyDescent="0.35">
      <c r="A2" s="478" t="s">
        <v>215</v>
      </c>
      <c r="B2" s="87"/>
      <c r="C2" s="275"/>
      <c r="D2" s="275"/>
      <c r="E2" s="275"/>
      <c r="F2" s="275"/>
      <c r="G2" s="275"/>
      <c r="H2" s="275"/>
      <c r="I2" s="275"/>
      <c r="J2" s="275"/>
      <c r="K2" s="275"/>
      <c r="L2" s="276"/>
      <c r="M2" s="276"/>
      <c r="N2" s="276"/>
    </row>
    <row r="3" spans="1:14" ht="14.4" customHeight="1" thickBot="1" x14ac:dyDescent="0.35">
      <c r="A3" s="87"/>
      <c r="B3" s="87"/>
      <c r="C3" s="398"/>
      <c r="D3" s="399"/>
      <c r="E3" s="399"/>
      <c r="F3" s="399"/>
      <c r="G3" s="399"/>
      <c r="H3" s="399"/>
      <c r="I3" s="399"/>
      <c r="J3" s="400" t="s">
        <v>183</v>
      </c>
      <c r="K3" s="401"/>
      <c r="L3" s="277">
        <f>IF(M3&lt;&gt;0,N3/M3,0)</f>
        <v>155.83631969383427</v>
      </c>
      <c r="M3" s="277">
        <f>SUBTOTAL(9,M5:M1048576)</f>
        <v>12594.833333333336</v>
      </c>
      <c r="N3" s="278">
        <f>SUBTOTAL(9,N5:N1048576)</f>
        <v>1962732.473823894</v>
      </c>
    </row>
    <row r="4" spans="1:14" s="88" customFormat="1" ht="14.4" customHeight="1" thickBot="1" x14ac:dyDescent="0.35">
      <c r="A4" s="512" t="s">
        <v>7</v>
      </c>
      <c r="B4" s="513" t="s">
        <v>8</v>
      </c>
      <c r="C4" s="513" t="s">
        <v>0</v>
      </c>
      <c r="D4" s="513" t="s">
        <v>9</v>
      </c>
      <c r="E4" s="513" t="s">
        <v>10</v>
      </c>
      <c r="F4" s="513" t="s">
        <v>2</v>
      </c>
      <c r="G4" s="513" t="s">
        <v>11</v>
      </c>
      <c r="H4" s="513" t="s">
        <v>12</v>
      </c>
      <c r="I4" s="513" t="s">
        <v>13</v>
      </c>
      <c r="J4" s="514" t="s">
        <v>14</v>
      </c>
      <c r="K4" s="514" t="s">
        <v>15</v>
      </c>
      <c r="L4" s="515" t="s">
        <v>203</v>
      </c>
      <c r="M4" s="515" t="s">
        <v>16</v>
      </c>
      <c r="N4" s="516" t="s">
        <v>214</v>
      </c>
    </row>
    <row r="5" spans="1:14" ht="14.4" customHeight="1" x14ac:dyDescent="0.3">
      <c r="A5" s="517" t="s">
        <v>443</v>
      </c>
      <c r="B5" s="518" t="s">
        <v>445</v>
      </c>
      <c r="C5" s="519" t="s">
        <v>459</v>
      </c>
      <c r="D5" s="520" t="s">
        <v>460</v>
      </c>
      <c r="E5" s="519" t="s">
        <v>446</v>
      </c>
      <c r="F5" s="520" t="s">
        <v>447</v>
      </c>
      <c r="G5" s="519" t="s">
        <v>469</v>
      </c>
      <c r="H5" s="519" t="s">
        <v>470</v>
      </c>
      <c r="I5" s="519" t="s">
        <v>470</v>
      </c>
      <c r="J5" s="519" t="s">
        <v>471</v>
      </c>
      <c r="K5" s="519" t="s">
        <v>472</v>
      </c>
      <c r="L5" s="521">
        <v>259.43906173870681</v>
      </c>
      <c r="M5" s="521">
        <v>6</v>
      </c>
      <c r="N5" s="522">
        <v>1556.634370432241</v>
      </c>
    </row>
    <row r="6" spans="1:14" ht="14.4" customHeight="1" x14ac:dyDescent="0.3">
      <c r="A6" s="523" t="s">
        <v>443</v>
      </c>
      <c r="B6" s="524" t="s">
        <v>445</v>
      </c>
      <c r="C6" s="525" t="s">
        <v>459</v>
      </c>
      <c r="D6" s="526" t="s">
        <v>460</v>
      </c>
      <c r="E6" s="525" t="s">
        <v>446</v>
      </c>
      <c r="F6" s="526" t="s">
        <v>447</v>
      </c>
      <c r="G6" s="525" t="s">
        <v>469</v>
      </c>
      <c r="H6" s="525" t="s">
        <v>473</v>
      </c>
      <c r="I6" s="525" t="s">
        <v>474</v>
      </c>
      <c r="J6" s="525" t="s">
        <v>475</v>
      </c>
      <c r="K6" s="525" t="s">
        <v>476</v>
      </c>
      <c r="L6" s="527">
        <v>85.309825166414157</v>
      </c>
      <c r="M6" s="527">
        <v>4</v>
      </c>
      <c r="N6" s="528">
        <v>341.23930066565663</v>
      </c>
    </row>
    <row r="7" spans="1:14" ht="14.4" customHeight="1" x14ac:dyDescent="0.3">
      <c r="A7" s="523" t="s">
        <v>443</v>
      </c>
      <c r="B7" s="524" t="s">
        <v>445</v>
      </c>
      <c r="C7" s="525" t="s">
        <v>459</v>
      </c>
      <c r="D7" s="526" t="s">
        <v>460</v>
      </c>
      <c r="E7" s="525" t="s">
        <v>446</v>
      </c>
      <c r="F7" s="526" t="s">
        <v>447</v>
      </c>
      <c r="G7" s="525" t="s">
        <v>469</v>
      </c>
      <c r="H7" s="525" t="s">
        <v>477</v>
      </c>
      <c r="I7" s="525" t="s">
        <v>478</v>
      </c>
      <c r="J7" s="525" t="s">
        <v>479</v>
      </c>
      <c r="K7" s="525" t="s">
        <v>480</v>
      </c>
      <c r="L7" s="527">
        <v>73.514545831810977</v>
      </c>
      <c r="M7" s="527">
        <v>33</v>
      </c>
      <c r="N7" s="528">
        <v>2425.9800124497624</v>
      </c>
    </row>
    <row r="8" spans="1:14" ht="14.4" customHeight="1" x14ac:dyDescent="0.3">
      <c r="A8" s="523" t="s">
        <v>443</v>
      </c>
      <c r="B8" s="524" t="s">
        <v>445</v>
      </c>
      <c r="C8" s="525" t="s">
        <v>459</v>
      </c>
      <c r="D8" s="526" t="s">
        <v>460</v>
      </c>
      <c r="E8" s="525" t="s">
        <v>446</v>
      </c>
      <c r="F8" s="526" t="s">
        <v>447</v>
      </c>
      <c r="G8" s="525" t="s">
        <v>469</v>
      </c>
      <c r="H8" s="525" t="s">
        <v>481</v>
      </c>
      <c r="I8" s="525" t="s">
        <v>482</v>
      </c>
      <c r="J8" s="525" t="s">
        <v>483</v>
      </c>
      <c r="K8" s="525" t="s">
        <v>484</v>
      </c>
      <c r="L8" s="527">
        <v>60.353675919086655</v>
      </c>
      <c r="M8" s="527">
        <v>360</v>
      </c>
      <c r="N8" s="528">
        <v>21727.323330871197</v>
      </c>
    </row>
    <row r="9" spans="1:14" ht="14.4" customHeight="1" x14ac:dyDescent="0.3">
      <c r="A9" s="523" t="s">
        <v>443</v>
      </c>
      <c r="B9" s="524" t="s">
        <v>445</v>
      </c>
      <c r="C9" s="525" t="s">
        <v>459</v>
      </c>
      <c r="D9" s="526" t="s">
        <v>460</v>
      </c>
      <c r="E9" s="525" t="s">
        <v>446</v>
      </c>
      <c r="F9" s="526" t="s">
        <v>447</v>
      </c>
      <c r="G9" s="525" t="s">
        <v>469</v>
      </c>
      <c r="H9" s="525" t="s">
        <v>485</v>
      </c>
      <c r="I9" s="525" t="s">
        <v>486</v>
      </c>
      <c r="J9" s="525" t="s">
        <v>487</v>
      </c>
      <c r="K9" s="525" t="s">
        <v>488</v>
      </c>
      <c r="L9" s="527">
        <v>55.52</v>
      </c>
      <c r="M9" s="527">
        <v>1</v>
      </c>
      <c r="N9" s="528">
        <v>55.52</v>
      </c>
    </row>
    <row r="10" spans="1:14" ht="14.4" customHeight="1" x14ac:dyDescent="0.3">
      <c r="A10" s="523" t="s">
        <v>443</v>
      </c>
      <c r="B10" s="524" t="s">
        <v>445</v>
      </c>
      <c r="C10" s="525" t="s">
        <v>459</v>
      </c>
      <c r="D10" s="526" t="s">
        <v>460</v>
      </c>
      <c r="E10" s="525" t="s">
        <v>446</v>
      </c>
      <c r="F10" s="526" t="s">
        <v>447</v>
      </c>
      <c r="G10" s="525" t="s">
        <v>469</v>
      </c>
      <c r="H10" s="525" t="s">
        <v>489</v>
      </c>
      <c r="I10" s="525" t="s">
        <v>490</v>
      </c>
      <c r="J10" s="525" t="s">
        <v>491</v>
      </c>
      <c r="K10" s="525" t="s">
        <v>488</v>
      </c>
      <c r="L10" s="527">
        <v>68.06</v>
      </c>
      <c r="M10" s="527">
        <v>2</v>
      </c>
      <c r="N10" s="528">
        <v>136.12</v>
      </c>
    </row>
    <row r="11" spans="1:14" ht="14.4" customHeight="1" x14ac:dyDescent="0.3">
      <c r="A11" s="523" t="s">
        <v>443</v>
      </c>
      <c r="B11" s="524" t="s">
        <v>445</v>
      </c>
      <c r="C11" s="525" t="s">
        <v>459</v>
      </c>
      <c r="D11" s="526" t="s">
        <v>460</v>
      </c>
      <c r="E11" s="525" t="s">
        <v>446</v>
      </c>
      <c r="F11" s="526" t="s">
        <v>447</v>
      </c>
      <c r="G11" s="525" t="s">
        <v>469</v>
      </c>
      <c r="H11" s="525" t="s">
        <v>492</v>
      </c>
      <c r="I11" s="525" t="s">
        <v>493</v>
      </c>
      <c r="J11" s="525" t="s">
        <v>494</v>
      </c>
      <c r="K11" s="525" t="s">
        <v>495</v>
      </c>
      <c r="L11" s="527">
        <v>38.97</v>
      </c>
      <c r="M11" s="527">
        <v>1</v>
      </c>
      <c r="N11" s="528">
        <v>38.97</v>
      </c>
    </row>
    <row r="12" spans="1:14" ht="14.4" customHeight="1" x14ac:dyDescent="0.3">
      <c r="A12" s="523" t="s">
        <v>443</v>
      </c>
      <c r="B12" s="524" t="s">
        <v>445</v>
      </c>
      <c r="C12" s="525" t="s">
        <v>459</v>
      </c>
      <c r="D12" s="526" t="s">
        <v>460</v>
      </c>
      <c r="E12" s="525" t="s">
        <v>446</v>
      </c>
      <c r="F12" s="526" t="s">
        <v>447</v>
      </c>
      <c r="G12" s="525" t="s">
        <v>469</v>
      </c>
      <c r="H12" s="525" t="s">
        <v>496</v>
      </c>
      <c r="I12" s="525" t="s">
        <v>497</v>
      </c>
      <c r="J12" s="525" t="s">
        <v>498</v>
      </c>
      <c r="K12" s="525"/>
      <c r="L12" s="527">
        <v>97.775086723214088</v>
      </c>
      <c r="M12" s="527">
        <v>41</v>
      </c>
      <c r="N12" s="528">
        <v>4008.7785556517779</v>
      </c>
    </row>
    <row r="13" spans="1:14" ht="14.4" customHeight="1" x14ac:dyDescent="0.3">
      <c r="A13" s="523" t="s">
        <v>443</v>
      </c>
      <c r="B13" s="524" t="s">
        <v>445</v>
      </c>
      <c r="C13" s="525" t="s">
        <v>459</v>
      </c>
      <c r="D13" s="526" t="s">
        <v>460</v>
      </c>
      <c r="E13" s="525" t="s">
        <v>446</v>
      </c>
      <c r="F13" s="526" t="s">
        <v>447</v>
      </c>
      <c r="G13" s="525" t="s">
        <v>469</v>
      </c>
      <c r="H13" s="525" t="s">
        <v>499</v>
      </c>
      <c r="I13" s="525" t="s">
        <v>497</v>
      </c>
      <c r="J13" s="525" t="s">
        <v>500</v>
      </c>
      <c r="K13" s="525"/>
      <c r="L13" s="527">
        <v>216.14</v>
      </c>
      <c r="M13" s="527">
        <v>1</v>
      </c>
      <c r="N13" s="528">
        <v>216.14</v>
      </c>
    </row>
    <row r="14" spans="1:14" ht="14.4" customHeight="1" x14ac:dyDescent="0.3">
      <c r="A14" s="523" t="s">
        <v>443</v>
      </c>
      <c r="B14" s="524" t="s">
        <v>445</v>
      </c>
      <c r="C14" s="525" t="s">
        <v>459</v>
      </c>
      <c r="D14" s="526" t="s">
        <v>460</v>
      </c>
      <c r="E14" s="525" t="s">
        <v>446</v>
      </c>
      <c r="F14" s="526" t="s">
        <v>447</v>
      </c>
      <c r="G14" s="525" t="s">
        <v>469</v>
      </c>
      <c r="H14" s="525" t="s">
        <v>501</v>
      </c>
      <c r="I14" s="525" t="s">
        <v>502</v>
      </c>
      <c r="J14" s="525" t="s">
        <v>503</v>
      </c>
      <c r="K14" s="525" t="s">
        <v>504</v>
      </c>
      <c r="L14" s="527">
        <v>30.133234821369399</v>
      </c>
      <c r="M14" s="527">
        <v>3</v>
      </c>
      <c r="N14" s="528">
        <v>90.399704464108197</v>
      </c>
    </row>
    <row r="15" spans="1:14" ht="14.4" customHeight="1" x14ac:dyDescent="0.3">
      <c r="A15" s="523" t="s">
        <v>443</v>
      </c>
      <c r="B15" s="524" t="s">
        <v>445</v>
      </c>
      <c r="C15" s="525" t="s">
        <v>459</v>
      </c>
      <c r="D15" s="526" t="s">
        <v>460</v>
      </c>
      <c r="E15" s="525" t="s">
        <v>446</v>
      </c>
      <c r="F15" s="526" t="s">
        <v>447</v>
      </c>
      <c r="G15" s="525" t="s">
        <v>469</v>
      </c>
      <c r="H15" s="525" t="s">
        <v>505</v>
      </c>
      <c r="I15" s="525" t="s">
        <v>506</v>
      </c>
      <c r="J15" s="525" t="s">
        <v>507</v>
      </c>
      <c r="K15" s="525" t="s">
        <v>508</v>
      </c>
      <c r="L15" s="527">
        <v>218.177799999999</v>
      </c>
      <c r="M15" s="527">
        <v>1</v>
      </c>
      <c r="N15" s="528">
        <v>218.177799999999</v>
      </c>
    </row>
    <row r="16" spans="1:14" ht="14.4" customHeight="1" x14ac:dyDescent="0.3">
      <c r="A16" s="523" t="s">
        <v>443</v>
      </c>
      <c r="B16" s="524" t="s">
        <v>445</v>
      </c>
      <c r="C16" s="525" t="s">
        <v>459</v>
      </c>
      <c r="D16" s="526" t="s">
        <v>460</v>
      </c>
      <c r="E16" s="525" t="s">
        <v>446</v>
      </c>
      <c r="F16" s="526" t="s">
        <v>447</v>
      </c>
      <c r="G16" s="525" t="s">
        <v>469</v>
      </c>
      <c r="H16" s="525" t="s">
        <v>509</v>
      </c>
      <c r="I16" s="525" t="s">
        <v>497</v>
      </c>
      <c r="J16" s="525" t="s">
        <v>510</v>
      </c>
      <c r="K16" s="525"/>
      <c r="L16" s="527">
        <v>32.964789651119865</v>
      </c>
      <c r="M16" s="527">
        <v>90</v>
      </c>
      <c r="N16" s="528">
        <v>2966.8310686007876</v>
      </c>
    </row>
    <row r="17" spans="1:14" ht="14.4" customHeight="1" x14ac:dyDescent="0.3">
      <c r="A17" s="523" t="s">
        <v>443</v>
      </c>
      <c r="B17" s="524" t="s">
        <v>445</v>
      </c>
      <c r="C17" s="525" t="s">
        <v>459</v>
      </c>
      <c r="D17" s="526" t="s">
        <v>460</v>
      </c>
      <c r="E17" s="525" t="s">
        <v>446</v>
      </c>
      <c r="F17" s="526" t="s">
        <v>447</v>
      </c>
      <c r="G17" s="525" t="s">
        <v>469</v>
      </c>
      <c r="H17" s="525" t="s">
        <v>511</v>
      </c>
      <c r="I17" s="525" t="s">
        <v>512</v>
      </c>
      <c r="J17" s="525" t="s">
        <v>513</v>
      </c>
      <c r="K17" s="525" t="s">
        <v>514</v>
      </c>
      <c r="L17" s="527">
        <v>44.941999999999901</v>
      </c>
      <c r="M17" s="527">
        <v>1</v>
      </c>
      <c r="N17" s="528">
        <v>44.941999999999901</v>
      </c>
    </row>
    <row r="18" spans="1:14" ht="14.4" customHeight="1" x14ac:dyDescent="0.3">
      <c r="A18" s="523" t="s">
        <v>443</v>
      </c>
      <c r="B18" s="524" t="s">
        <v>445</v>
      </c>
      <c r="C18" s="525" t="s">
        <v>459</v>
      </c>
      <c r="D18" s="526" t="s">
        <v>460</v>
      </c>
      <c r="E18" s="525" t="s">
        <v>446</v>
      </c>
      <c r="F18" s="526" t="s">
        <v>447</v>
      </c>
      <c r="G18" s="525" t="s">
        <v>469</v>
      </c>
      <c r="H18" s="525" t="s">
        <v>515</v>
      </c>
      <c r="I18" s="525" t="s">
        <v>497</v>
      </c>
      <c r="J18" s="525" t="s">
        <v>516</v>
      </c>
      <c r="K18" s="525"/>
      <c r="L18" s="527">
        <v>132.77558491874626</v>
      </c>
      <c r="M18" s="527">
        <v>4</v>
      </c>
      <c r="N18" s="528">
        <v>531.10233967498505</v>
      </c>
    </row>
    <row r="19" spans="1:14" ht="14.4" customHeight="1" x14ac:dyDescent="0.3">
      <c r="A19" s="523" t="s">
        <v>443</v>
      </c>
      <c r="B19" s="524" t="s">
        <v>445</v>
      </c>
      <c r="C19" s="525" t="s">
        <v>459</v>
      </c>
      <c r="D19" s="526" t="s">
        <v>460</v>
      </c>
      <c r="E19" s="525" t="s">
        <v>446</v>
      </c>
      <c r="F19" s="526" t="s">
        <v>447</v>
      </c>
      <c r="G19" s="525" t="s">
        <v>469</v>
      </c>
      <c r="H19" s="525" t="s">
        <v>517</v>
      </c>
      <c r="I19" s="525" t="s">
        <v>517</v>
      </c>
      <c r="J19" s="525" t="s">
        <v>518</v>
      </c>
      <c r="K19" s="525" t="s">
        <v>519</v>
      </c>
      <c r="L19" s="527">
        <v>75.894287377525416</v>
      </c>
      <c r="M19" s="527">
        <v>7</v>
      </c>
      <c r="N19" s="528">
        <v>531.26001164267791</v>
      </c>
    </row>
    <row r="20" spans="1:14" ht="14.4" customHeight="1" x14ac:dyDescent="0.3">
      <c r="A20" s="523" t="s">
        <v>443</v>
      </c>
      <c r="B20" s="524" t="s">
        <v>445</v>
      </c>
      <c r="C20" s="525" t="s">
        <v>459</v>
      </c>
      <c r="D20" s="526" t="s">
        <v>460</v>
      </c>
      <c r="E20" s="525" t="s">
        <v>446</v>
      </c>
      <c r="F20" s="526" t="s">
        <v>447</v>
      </c>
      <c r="G20" s="525" t="s">
        <v>469</v>
      </c>
      <c r="H20" s="525" t="s">
        <v>520</v>
      </c>
      <c r="I20" s="525" t="s">
        <v>521</v>
      </c>
      <c r="J20" s="525" t="s">
        <v>522</v>
      </c>
      <c r="K20" s="525" t="s">
        <v>523</v>
      </c>
      <c r="L20" s="527">
        <v>71.54021302289172</v>
      </c>
      <c r="M20" s="527">
        <v>126</v>
      </c>
      <c r="N20" s="528">
        <v>9014.0668408843576</v>
      </c>
    </row>
    <row r="21" spans="1:14" ht="14.4" customHeight="1" x14ac:dyDescent="0.3">
      <c r="A21" s="523" t="s">
        <v>443</v>
      </c>
      <c r="B21" s="524" t="s">
        <v>445</v>
      </c>
      <c r="C21" s="525" t="s">
        <v>459</v>
      </c>
      <c r="D21" s="526" t="s">
        <v>460</v>
      </c>
      <c r="E21" s="525" t="s">
        <v>446</v>
      </c>
      <c r="F21" s="526" t="s">
        <v>447</v>
      </c>
      <c r="G21" s="525" t="s">
        <v>469</v>
      </c>
      <c r="H21" s="525" t="s">
        <v>524</v>
      </c>
      <c r="I21" s="525" t="s">
        <v>497</v>
      </c>
      <c r="J21" s="525" t="s">
        <v>525</v>
      </c>
      <c r="K21" s="525" t="s">
        <v>526</v>
      </c>
      <c r="L21" s="527">
        <v>23.70040868943023</v>
      </c>
      <c r="M21" s="527">
        <v>192</v>
      </c>
      <c r="N21" s="528">
        <v>4550.4784683706039</v>
      </c>
    </row>
    <row r="22" spans="1:14" ht="14.4" customHeight="1" x14ac:dyDescent="0.3">
      <c r="A22" s="523" t="s">
        <v>443</v>
      </c>
      <c r="B22" s="524" t="s">
        <v>445</v>
      </c>
      <c r="C22" s="525" t="s">
        <v>459</v>
      </c>
      <c r="D22" s="526" t="s">
        <v>460</v>
      </c>
      <c r="E22" s="525" t="s">
        <v>446</v>
      </c>
      <c r="F22" s="526" t="s">
        <v>447</v>
      </c>
      <c r="G22" s="525" t="s">
        <v>469</v>
      </c>
      <c r="H22" s="525" t="s">
        <v>527</v>
      </c>
      <c r="I22" s="525" t="s">
        <v>497</v>
      </c>
      <c r="J22" s="525" t="s">
        <v>528</v>
      </c>
      <c r="K22" s="525"/>
      <c r="L22" s="527">
        <v>508.96680738497201</v>
      </c>
      <c r="M22" s="527">
        <v>1</v>
      </c>
      <c r="N22" s="528">
        <v>508.96680738497201</v>
      </c>
    </row>
    <row r="23" spans="1:14" ht="14.4" customHeight="1" x14ac:dyDescent="0.3">
      <c r="A23" s="523" t="s">
        <v>443</v>
      </c>
      <c r="B23" s="524" t="s">
        <v>445</v>
      </c>
      <c r="C23" s="525" t="s">
        <v>459</v>
      </c>
      <c r="D23" s="526" t="s">
        <v>460</v>
      </c>
      <c r="E23" s="525" t="s">
        <v>446</v>
      </c>
      <c r="F23" s="526" t="s">
        <v>447</v>
      </c>
      <c r="G23" s="525" t="s">
        <v>469</v>
      </c>
      <c r="H23" s="525" t="s">
        <v>529</v>
      </c>
      <c r="I23" s="525" t="s">
        <v>497</v>
      </c>
      <c r="J23" s="525" t="s">
        <v>530</v>
      </c>
      <c r="K23" s="525"/>
      <c r="L23" s="527">
        <v>48.741881021780003</v>
      </c>
      <c r="M23" s="527">
        <v>1</v>
      </c>
      <c r="N23" s="528">
        <v>48.741881021780003</v>
      </c>
    </row>
    <row r="24" spans="1:14" ht="14.4" customHeight="1" x14ac:dyDescent="0.3">
      <c r="A24" s="523" t="s">
        <v>443</v>
      </c>
      <c r="B24" s="524" t="s">
        <v>445</v>
      </c>
      <c r="C24" s="525" t="s">
        <v>459</v>
      </c>
      <c r="D24" s="526" t="s">
        <v>460</v>
      </c>
      <c r="E24" s="525" t="s">
        <v>446</v>
      </c>
      <c r="F24" s="526" t="s">
        <v>447</v>
      </c>
      <c r="G24" s="525" t="s">
        <v>469</v>
      </c>
      <c r="H24" s="525" t="s">
        <v>531</v>
      </c>
      <c r="I24" s="525" t="s">
        <v>532</v>
      </c>
      <c r="J24" s="525" t="s">
        <v>533</v>
      </c>
      <c r="K24" s="525" t="s">
        <v>534</v>
      </c>
      <c r="L24" s="527">
        <v>51.049999999999898</v>
      </c>
      <c r="M24" s="527">
        <v>1</v>
      </c>
      <c r="N24" s="528">
        <v>51.049999999999898</v>
      </c>
    </row>
    <row r="25" spans="1:14" ht="14.4" customHeight="1" x14ac:dyDescent="0.3">
      <c r="A25" s="523" t="s">
        <v>443</v>
      </c>
      <c r="B25" s="524" t="s">
        <v>445</v>
      </c>
      <c r="C25" s="525" t="s">
        <v>459</v>
      </c>
      <c r="D25" s="526" t="s">
        <v>460</v>
      </c>
      <c r="E25" s="525" t="s">
        <v>446</v>
      </c>
      <c r="F25" s="526" t="s">
        <v>447</v>
      </c>
      <c r="G25" s="525" t="s">
        <v>469</v>
      </c>
      <c r="H25" s="525" t="s">
        <v>535</v>
      </c>
      <c r="I25" s="525" t="s">
        <v>536</v>
      </c>
      <c r="J25" s="525" t="s">
        <v>537</v>
      </c>
      <c r="K25" s="525" t="s">
        <v>538</v>
      </c>
      <c r="L25" s="527">
        <v>96.719881164369625</v>
      </c>
      <c r="M25" s="527">
        <v>4</v>
      </c>
      <c r="N25" s="528">
        <v>386.8795246574785</v>
      </c>
    </row>
    <row r="26" spans="1:14" ht="14.4" customHeight="1" x14ac:dyDescent="0.3">
      <c r="A26" s="523" t="s">
        <v>443</v>
      </c>
      <c r="B26" s="524" t="s">
        <v>445</v>
      </c>
      <c r="C26" s="525" t="s">
        <v>459</v>
      </c>
      <c r="D26" s="526" t="s">
        <v>460</v>
      </c>
      <c r="E26" s="525" t="s">
        <v>446</v>
      </c>
      <c r="F26" s="526" t="s">
        <v>447</v>
      </c>
      <c r="G26" s="525" t="s">
        <v>469</v>
      </c>
      <c r="H26" s="525" t="s">
        <v>539</v>
      </c>
      <c r="I26" s="525" t="s">
        <v>540</v>
      </c>
      <c r="J26" s="525" t="s">
        <v>541</v>
      </c>
      <c r="K26" s="525" t="s">
        <v>542</v>
      </c>
      <c r="L26" s="527">
        <v>694.96961261263846</v>
      </c>
      <c r="M26" s="527">
        <v>2</v>
      </c>
      <c r="N26" s="528">
        <v>1389.9392252252769</v>
      </c>
    </row>
    <row r="27" spans="1:14" ht="14.4" customHeight="1" x14ac:dyDescent="0.3">
      <c r="A27" s="523" t="s">
        <v>443</v>
      </c>
      <c r="B27" s="524" t="s">
        <v>445</v>
      </c>
      <c r="C27" s="525" t="s">
        <v>459</v>
      </c>
      <c r="D27" s="526" t="s">
        <v>460</v>
      </c>
      <c r="E27" s="525" t="s">
        <v>446</v>
      </c>
      <c r="F27" s="526" t="s">
        <v>447</v>
      </c>
      <c r="G27" s="525" t="s">
        <v>469</v>
      </c>
      <c r="H27" s="525" t="s">
        <v>543</v>
      </c>
      <c r="I27" s="525" t="s">
        <v>544</v>
      </c>
      <c r="J27" s="525" t="s">
        <v>545</v>
      </c>
      <c r="K27" s="525" t="s">
        <v>546</v>
      </c>
      <c r="L27" s="527">
        <v>108.05370746226548</v>
      </c>
      <c r="M27" s="527">
        <v>31</v>
      </c>
      <c r="N27" s="528">
        <v>3349.66493133023</v>
      </c>
    </row>
    <row r="28" spans="1:14" ht="14.4" customHeight="1" x14ac:dyDescent="0.3">
      <c r="A28" s="523" t="s">
        <v>443</v>
      </c>
      <c r="B28" s="524" t="s">
        <v>445</v>
      </c>
      <c r="C28" s="525" t="s">
        <v>459</v>
      </c>
      <c r="D28" s="526" t="s">
        <v>460</v>
      </c>
      <c r="E28" s="525" t="s">
        <v>446</v>
      </c>
      <c r="F28" s="526" t="s">
        <v>447</v>
      </c>
      <c r="G28" s="525" t="s">
        <v>469</v>
      </c>
      <c r="H28" s="525" t="s">
        <v>547</v>
      </c>
      <c r="I28" s="525" t="s">
        <v>497</v>
      </c>
      <c r="J28" s="525" t="s">
        <v>548</v>
      </c>
      <c r="K28" s="525"/>
      <c r="L28" s="527">
        <v>92.623260732708047</v>
      </c>
      <c r="M28" s="527">
        <v>41</v>
      </c>
      <c r="N28" s="528">
        <v>3797.5536900410298</v>
      </c>
    </row>
    <row r="29" spans="1:14" ht="14.4" customHeight="1" x14ac:dyDescent="0.3">
      <c r="A29" s="523" t="s">
        <v>443</v>
      </c>
      <c r="B29" s="524" t="s">
        <v>445</v>
      </c>
      <c r="C29" s="525" t="s">
        <v>459</v>
      </c>
      <c r="D29" s="526" t="s">
        <v>460</v>
      </c>
      <c r="E29" s="525" t="s">
        <v>446</v>
      </c>
      <c r="F29" s="526" t="s">
        <v>447</v>
      </c>
      <c r="G29" s="525" t="s">
        <v>469</v>
      </c>
      <c r="H29" s="525" t="s">
        <v>549</v>
      </c>
      <c r="I29" s="525" t="s">
        <v>497</v>
      </c>
      <c r="J29" s="525" t="s">
        <v>550</v>
      </c>
      <c r="K29" s="525"/>
      <c r="L29" s="527">
        <v>15.093324438135568</v>
      </c>
      <c r="M29" s="527">
        <v>60</v>
      </c>
      <c r="N29" s="528">
        <v>905.59946628813407</v>
      </c>
    </row>
    <row r="30" spans="1:14" ht="14.4" customHeight="1" x14ac:dyDescent="0.3">
      <c r="A30" s="523" t="s">
        <v>443</v>
      </c>
      <c r="B30" s="524" t="s">
        <v>445</v>
      </c>
      <c r="C30" s="525" t="s">
        <v>459</v>
      </c>
      <c r="D30" s="526" t="s">
        <v>460</v>
      </c>
      <c r="E30" s="525" t="s">
        <v>446</v>
      </c>
      <c r="F30" s="526" t="s">
        <v>447</v>
      </c>
      <c r="G30" s="525" t="s">
        <v>469</v>
      </c>
      <c r="H30" s="525" t="s">
        <v>551</v>
      </c>
      <c r="I30" s="525" t="s">
        <v>497</v>
      </c>
      <c r="J30" s="525" t="s">
        <v>552</v>
      </c>
      <c r="K30" s="525"/>
      <c r="L30" s="527">
        <v>50.678902787369076</v>
      </c>
      <c r="M30" s="527">
        <v>115</v>
      </c>
      <c r="N30" s="528">
        <v>5828.0738205474436</v>
      </c>
    </row>
    <row r="31" spans="1:14" ht="14.4" customHeight="1" x14ac:dyDescent="0.3">
      <c r="A31" s="523" t="s">
        <v>443</v>
      </c>
      <c r="B31" s="524" t="s">
        <v>445</v>
      </c>
      <c r="C31" s="525" t="s">
        <v>459</v>
      </c>
      <c r="D31" s="526" t="s">
        <v>460</v>
      </c>
      <c r="E31" s="525" t="s">
        <v>446</v>
      </c>
      <c r="F31" s="526" t="s">
        <v>447</v>
      </c>
      <c r="G31" s="525" t="s">
        <v>469</v>
      </c>
      <c r="H31" s="525" t="s">
        <v>553</v>
      </c>
      <c r="I31" s="525" t="s">
        <v>497</v>
      </c>
      <c r="J31" s="525" t="s">
        <v>554</v>
      </c>
      <c r="K31" s="525"/>
      <c r="L31" s="527">
        <v>8.32</v>
      </c>
      <c r="M31" s="527">
        <v>1</v>
      </c>
      <c r="N31" s="528">
        <v>8.32</v>
      </c>
    </row>
    <row r="32" spans="1:14" ht="14.4" customHeight="1" x14ac:dyDescent="0.3">
      <c r="A32" s="523" t="s">
        <v>443</v>
      </c>
      <c r="B32" s="524" t="s">
        <v>445</v>
      </c>
      <c r="C32" s="525" t="s">
        <v>459</v>
      </c>
      <c r="D32" s="526" t="s">
        <v>460</v>
      </c>
      <c r="E32" s="525" t="s">
        <v>446</v>
      </c>
      <c r="F32" s="526" t="s">
        <v>447</v>
      </c>
      <c r="G32" s="525" t="s">
        <v>469</v>
      </c>
      <c r="H32" s="525" t="s">
        <v>555</v>
      </c>
      <c r="I32" s="525" t="s">
        <v>497</v>
      </c>
      <c r="J32" s="525" t="s">
        <v>556</v>
      </c>
      <c r="K32" s="525"/>
      <c r="L32" s="527">
        <v>8.99</v>
      </c>
      <c r="M32" s="527">
        <v>1</v>
      </c>
      <c r="N32" s="528">
        <v>8.99</v>
      </c>
    </row>
    <row r="33" spans="1:14" ht="14.4" customHeight="1" x14ac:dyDescent="0.3">
      <c r="A33" s="523" t="s">
        <v>443</v>
      </c>
      <c r="B33" s="524" t="s">
        <v>445</v>
      </c>
      <c r="C33" s="525" t="s">
        <v>459</v>
      </c>
      <c r="D33" s="526" t="s">
        <v>460</v>
      </c>
      <c r="E33" s="525" t="s">
        <v>446</v>
      </c>
      <c r="F33" s="526" t="s">
        <v>447</v>
      </c>
      <c r="G33" s="525" t="s">
        <v>469</v>
      </c>
      <c r="H33" s="525" t="s">
        <v>557</v>
      </c>
      <c r="I33" s="525" t="s">
        <v>497</v>
      </c>
      <c r="J33" s="525" t="s">
        <v>558</v>
      </c>
      <c r="K33" s="525"/>
      <c r="L33" s="527">
        <v>57.487204122674754</v>
      </c>
      <c r="M33" s="527">
        <v>104</v>
      </c>
      <c r="N33" s="528">
        <v>5978.6692287581745</v>
      </c>
    </row>
    <row r="34" spans="1:14" ht="14.4" customHeight="1" x14ac:dyDescent="0.3">
      <c r="A34" s="523" t="s">
        <v>443</v>
      </c>
      <c r="B34" s="524" t="s">
        <v>445</v>
      </c>
      <c r="C34" s="525" t="s">
        <v>459</v>
      </c>
      <c r="D34" s="526" t="s">
        <v>460</v>
      </c>
      <c r="E34" s="525" t="s">
        <v>446</v>
      </c>
      <c r="F34" s="526" t="s">
        <v>447</v>
      </c>
      <c r="G34" s="525" t="s">
        <v>469</v>
      </c>
      <c r="H34" s="525" t="s">
        <v>559</v>
      </c>
      <c r="I34" s="525" t="s">
        <v>560</v>
      </c>
      <c r="J34" s="525" t="s">
        <v>561</v>
      </c>
      <c r="K34" s="525" t="s">
        <v>562</v>
      </c>
      <c r="L34" s="527">
        <v>1893.6692962920933</v>
      </c>
      <c r="M34" s="527">
        <v>3</v>
      </c>
      <c r="N34" s="528">
        <v>5681.00788887628</v>
      </c>
    </row>
    <row r="35" spans="1:14" ht="14.4" customHeight="1" x14ac:dyDescent="0.3">
      <c r="A35" s="523" t="s">
        <v>443</v>
      </c>
      <c r="B35" s="524" t="s">
        <v>445</v>
      </c>
      <c r="C35" s="525" t="s">
        <v>459</v>
      </c>
      <c r="D35" s="526" t="s">
        <v>460</v>
      </c>
      <c r="E35" s="525" t="s">
        <v>446</v>
      </c>
      <c r="F35" s="526" t="s">
        <v>447</v>
      </c>
      <c r="G35" s="525" t="s">
        <v>469</v>
      </c>
      <c r="H35" s="525" t="s">
        <v>563</v>
      </c>
      <c r="I35" s="525" t="s">
        <v>497</v>
      </c>
      <c r="J35" s="525" t="s">
        <v>564</v>
      </c>
      <c r="K35" s="525"/>
      <c r="L35" s="527">
        <v>77.280727118561288</v>
      </c>
      <c r="M35" s="527">
        <v>240</v>
      </c>
      <c r="N35" s="528">
        <v>18547.374508454708</v>
      </c>
    </row>
    <row r="36" spans="1:14" ht="14.4" customHeight="1" x14ac:dyDescent="0.3">
      <c r="A36" s="523" t="s">
        <v>443</v>
      </c>
      <c r="B36" s="524" t="s">
        <v>445</v>
      </c>
      <c r="C36" s="525" t="s">
        <v>459</v>
      </c>
      <c r="D36" s="526" t="s">
        <v>460</v>
      </c>
      <c r="E36" s="525" t="s">
        <v>446</v>
      </c>
      <c r="F36" s="526" t="s">
        <v>447</v>
      </c>
      <c r="G36" s="525" t="s">
        <v>469</v>
      </c>
      <c r="H36" s="525" t="s">
        <v>565</v>
      </c>
      <c r="I36" s="525" t="s">
        <v>497</v>
      </c>
      <c r="J36" s="525" t="s">
        <v>566</v>
      </c>
      <c r="K36" s="525"/>
      <c r="L36" s="527">
        <v>156.10685507343649</v>
      </c>
      <c r="M36" s="527">
        <v>4</v>
      </c>
      <c r="N36" s="528">
        <v>624.42742029374597</v>
      </c>
    </row>
    <row r="37" spans="1:14" ht="14.4" customHeight="1" x14ac:dyDescent="0.3">
      <c r="A37" s="523" t="s">
        <v>443</v>
      </c>
      <c r="B37" s="524" t="s">
        <v>445</v>
      </c>
      <c r="C37" s="525" t="s">
        <v>459</v>
      </c>
      <c r="D37" s="526" t="s">
        <v>460</v>
      </c>
      <c r="E37" s="525" t="s">
        <v>446</v>
      </c>
      <c r="F37" s="526" t="s">
        <v>447</v>
      </c>
      <c r="G37" s="525" t="s">
        <v>469</v>
      </c>
      <c r="H37" s="525" t="s">
        <v>567</v>
      </c>
      <c r="I37" s="525" t="s">
        <v>497</v>
      </c>
      <c r="J37" s="525" t="s">
        <v>568</v>
      </c>
      <c r="K37" s="525"/>
      <c r="L37" s="527">
        <v>47.72041967349324</v>
      </c>
      <c r="M37" s="527">
        <v>355</v>
      </c>
      <c r="N37" s="528">
        <v>16940.7489840901</v>
      </c>
    </row>
    <row r="38" spans="1:14" ht="14.4" customHeight="1" x14ac:dyDescent="0.3">
      <c r="A38" s="523" t="s">
        <v>443</v>
      </c>
      <c r="B38" s="524" t="s">
        <v>445</v>
      </c>
      <c r="C38" s="525" t="s">
        <v>459</v>
      </c>
      <c r="D38" s="526" t="s">
        <v>460</v>
      </c>
      <c r="E38" s="525" t="s">
        <v>446</v>
      </c>
      <c r="F38" s="526" t="s">
        <v>447</v>
      </c>
      <c r="G38" s="525" t="s">
        <v>469</v>
      </c>
      <c r="H38" s="525" t="s">
        <v>569</v>
      </c>
      <c r="I38" s="525" t="s">
        <v>497</v>
      </c>
      <c r="J38" s="525" t="s">
        <v>570</v>
      </c>
      <c r="K38" s="525"/>
      <c r="L38" s="527">
        <v>57.224951707311483</v>
      </c>
      <c r="M38" s="527">
        <v>5</v>
      </c>
      <c r="N38" s="528">
        <v>286.12475853655741</v>
      </c>
    </row>
    <row r="39" spans="1:14" ht="14.4" customHeight="1" x14ac:dyDescent="0.3">
      <c r="A39" s="523" t="s">
        <v>443</v>
      </c>
      <c r="B39" s="524" t="s">
        <v>445</v>
      </c>
      <c r="C39" s="525" t="s">
        <v>459</v>
      </c>
      <c r="D39" s="526" t="s">
        <v>460</v>
      </c>
      <c r="E39" s="525" t="s">
        <v>446</v>
      </c>
      <c r="F39" s="526" t="s">
        <v>447</v>
      </c>
      <c r="G39" s="525" t="s">
        <v>469</v>
      </c>
      <c r="H39" s="525" t="s">
        <v>571</v>
      </c>
      <c r="I39" s="525" t="s">
        <v>497</v>
      </c>
      <c r="J39" s="525" t="s">
        <v>572</v>
      </c>
      <c r="K39" s="525"/>
      <c r="L39" s="527">
        <v>93.219573213629673</v>
      </c>
      <c r="M39" s="527">
        <v>62</v>
      </c>
      <c r="N39" s="528">
        <v>5779.6135392450396</v>
      </c>
    </row>
    <row r="40" spans="1:14" ht="14.4" customHeight="1" x14ac:dyDescent="0.3">
      <c r="A40" s="523" t="s">
        <v>443</v>
      </c>
      <c r="B40" s="524" t="s">
        <v>445</v>
      </c>
      <c r="C40" s="525" t="s">
        <v>459</v>
      </c>
      <c r="D40" s="526" t="s">
        <v>460</v>
      </c>
      <c r="E40" s="525" t="s">
        <v>448</v>
      </c>
      <c r="F40" s="526" t="s">
        <v>449</v>
      </c>
      <c r="G40" s="525"/>
      <c r="H40" s="525" t="s">
        <v>573</v>
      </c>
      <c r="I40" s="525" t="s">
        <v>574</v>
      </c>
      <c r="J40" s="525" t="s">
        <v>575</v>
      </c>
      <c r="K40" s="525" t="s">
        <v>576</v>
      </c>
      <c r="L40" s="527">
        <v>219.21428195865252</v>
      </c>
      <c r="M40" s="527">
        <v>4</v>
      </c>
      <c r="N40" s="528">
        <v>876.85712783461008</v>
      </c>
    </row>
    <row r="41" spans="1:14" ht="14.4" customHeight="1" x14ac:dyDescent="0.3">
      <c r="A41" s="523" t="s">
        <v>443</v>
      </c>
      <c r="B41" s="524" t="s">
        <v>445</v>
      </c>
      <c r="C41" s="525" t="s">
        <v>459</v>
      </c>
      <c r="D41" s="526" t="s">
        <v>460</v>
      </c>
      <c r="E41" s="525" t="s">
        <v>448</v>
      </c>
      <c r="F41" s="526" t="s">
        <v>449</v>
      </c>
      <c r="G41" s="525"/>
      <c r="H41" s="525" t="s">
        <v>577</v>
      </c>
      <c r="I41" s="525" t="s">
        <v>578</v>
      </c>
      <c r="J41" s="525" t="s">
        <v>579</v>
      </c>
      <c r="K41" s="525"/>
      <c r="L41" s="527">
        <v>191.61921459121501</v>
      </c>
      <c r="M41" s="527">
        <v>4</v>
      </c>
      <c r="N41" s="528">
        <v>766.47685836486005</v>
      </c>
    </row>
    <row r="42" spans="1:14" ht="14.4" customHeight="1" x14ac:dyDescent="0.3">
      <c r="A42" s="523" t="s">
        <v>443</v>
      </c>
      <c r="B42" s="524" t="s">
        <v>445</v>
      </c>
      <c r="C42" s="525" t="s">
        <v>459</v>
      </c>
      <c r="D42" s="526" t="s">
        <v>460</v>
      </c>
      <c r="E42" s="525" t="s">
        <v>448</v>
      </c>
      <c r="F42" s="526" t="s">
        <v>449</v>
      </c>
      <c r="G42" s="525" t="s">
        <v>469</v>
      </c>
      <c r="H42" s="525" t="s">
        <v>580</v>
      </c>
      <c r="I42" s="525" t="s">
        <v>497</v>
      </c>
      <c r="J42" s="525" t="s">
        <v>581</v>
      </c>
      <c r="K42" s="525"/>
      <c r="L42" s="527">
        <v>314.859443561197</v>
      </c>
      <c r="M42" s="527">
        <v>2</v>
      </c>
      <c r="N42" s="528">
        <v>629.71888712239399</v>
      </c>
    </row>
    <row r="43" spans="1:14" ht="14.4" customHeight="1" x14ac:dyDescent="0.3">
      <c r="A43" s="523" t="s">
        <v>443</v>
      </c>
      <c r="B43" s="524" t="s">
        <v>445</v>
      </c>
      <c r="C43" s="525" t="s">
        <v>459</v>
      </c>
      <c r="D43" s="526" t="s">
        <v>460</v>
      </c>
      <c r="E43" s="525" t="s">
        <v>448</v>
      </c>
      <c r="F43" s="526" t="s">
        <v>449</v>
      </c>
      <c r="G43" s="525" t="s">
        <v>469</v>
      </c>
      <c r="H43" s="525" t="s">
        <v>582</v>
      </c>
      <c r="I43" s="525" t="s">
        <v>497</v>
      </c>
      <c r="J43" s="525" t="s">
        <v>583</v>
      </c>
      <c r="K43" s="525"/>
      <c r="L43" s="527">
        <v>235.12867404790313</v>
      </c>
      <c r="M43" s="527">
        <v>7</v>
      </c>
      <c r="N43" s="528">
        <v>1645.9007183353219</v>
      </c>
    </row>
    <row r="44" spans="1:14" ht="14.4" customHeight="1" x14ac:dyDescent="0.3">
      <c r="A44" s="523" t="s">
        <v>443</v>
      </c>
      <c r="B44" s="524" t="s">
        <v>445</v>
      </c>
      <c r="C44" s="525" t="s">
        <v>459</v>
      </c>
      <c r="D44" s="526" t="s">
        <v>460</v>
      </c>
      <c r="E44" s="525" t="s">
        <v>448</v>
      </c>
      <c r="F44" s="526" t="s">
        <v>449</v>
      </c>
      <c r="G44" s="525" t="s">
        <v>469</v>
      </c>
      <c r="H44" s="525" t="s">
        <v>584</v>
      </c>
      <c r="I44" s="525" t="s">
        <v>497</v>
      </c>
      <c r="J44" s="525" t="s">
        <v>585</v>
      </c>
      <c r="K44" s="525"/>
      <c r="L44" s="527">
        <v>1089.2091089395601</v>
      </c>
      <c r="M44" s="527">
        <v>2</v>
      </c>
      <c r="N44" s="528">
        <v>2178.4182178791202</v>
      </c>
    </row>
    <row r="45" spans="1:14" ht="14.4" customHeight="1" x14ac:dyDescent="0.3">
      <c r="A45" s="523" t="s">
        <v>443</v>
      </c>
      <c r="B45" s="524" t="s">
        <v>445</v>
      </c>
      <c r="C45" s="525" t="s">
        <v>459</v>
      </c>
      <c r="D45" s="526" t="s">
        <v>460</v>
      </c>
      <c r="E45" s="525" t="s">
        <v>448</v>
      </c>
      <c r="F45" s="526" t="s">
        <v>449</v>
      </c>
      <c r="G45" s="525" t="s">
        <v>469</v>
      </c>
      <c r="H45" s="525" t="s">
        <v>586</v>
      </c>
      <c r="I45" s="525" t="s">
        <v>497</v>
      </c>
      <c r="J45" s="525" t="s">
        <v>587</v>
      </c>
      <c r="K45" s="525"/>
      <c r="L45" s="527">
        <v>427.64</v>
      </c>
      <c r="M45" s="527">
        <v>2</v>
      </c>
      <c r="N45" s="528">
        <v>855.28</v>
      </c>
    </row>
    <row r="46" spans="1:14" ht="14.4" customHeight="1" x14ac:dyDescent="0.3">
      <c r="A46" s="523" t="s">
        <v>443</v>
      </c>
      <c r="B46" s="524" t="s">
        <v>445</v>
      </c>
      <c r="C46" s="525" t="s">
        <v>459</v>
      </c>
      <c r="D46" s="526" t="s">
        <v>460</v>
      </c>
      <c r="E46" s="525" t="s">
        <v>448</v>
      </c>
      <c r="F46" s="526" t="s">
        <v>449</v>
      </c>
      <c r="G46" s="525" t="s">
        <v>469</v>
      </c>
      <c r="H46" s="525" t="s">
        <v>588</v>
      </c>
      <c r="I46" s="525" t="s">
        <v>497</v>
      </c>
      <c r="J46" s="525" t="s">
        <v>589</v>
      </c>
      <c r="K46" s="525" t="s">
        <v>590</v>
      </c>
      <c r="L46" s="527">
        <v>893.58333333333201</v>
      </c>
      <c r="M46" s="527">
        <v>3</v>
      </c>
      <c r="N46" s="528">
        <v>2680.7499999999959</v>
      </c>
    </row>
    <row r="47" spans="1:14" ht="14.4" customHeight="1" x14ac:dyDescent="0.3">
      <c r="A47" s="523" t="s">
        <v>443</v>
      </c>
      <c r="B47" s="524" t="s">
        <v>445</v>
      </c>
      <c r="C47" s="525" t="s">
        <v>459</v>
      </c>
      <c r="D47" s="526" t="s">
        <v>460</v>
      </c>
      <c r="E47" s="525" t="s">
        <v>448</v>
      </c>
      <c r="F47" s="526" t="s">
        <v>449</v>
      </c>
      <c r="G47" s="525" t="s">
        <v>469</v>
      </c>
      <c r="H47" s="525" t="s">
        <v>591</v>
      </c>
      <c r="I47" s="525" t="s">
        <v>497</v>
      </c>
      <c r="J47" s="525" t="s">
        <v>592</v>
      </c>
      <c r="K47" s="525" t="s">
        <v>593</v>
      </c>
      <c r="L47" s="527">
        <v>468.34905283269546</v>
      </c>
      <c r="M47" s="527">
        <v>7</v>
      </c>
      <c r="N47" s="528">
        <v>3278.4433698288681</v>
      </c>
    </row>
    <row r="48" spans="1:14" ht="14.4" customHeight="1" x14ac:dyDescent="0.3">
      <c r="A48" s="523" t="s">
        <v>443</v>
      </c>
      <c r="B48" s="524" t="s">
        <v>445</v>
      </c>
      <c r="C48" s="525" t="s">
        <v>459</v>
      </c>
      <c r="D48" s="526" t="s">
        <v>460</v>
      </c>
      <c r="E48" s="525" t="s">
        <v>448</v>
      </c>
      <c r="F48" s="526" t="s">
        <v>449</v>
      </c>
      <c r="G48" s="525" t="s">
        <v>469</v>
      </c>
      <c r="H48" s="525" t="s">
        <v>594</v>
      </c>
      <c r="I48" s="525" t="s">
        <v>497</v>
      </c>
      <c r="J48" s="525" t="s">
        <v>595</v>
      </c>
      <c r="K48" s="525"/>
      <c r="L48" s="527">
        <v>285.08964574352933</v>
      </c>
      <c r="M48" s="527">
        <v>36</v>
      </c>
      <c r="N48" s="528">
        <v>10263.227246767055</v>
      </c>
    </row>
    <row r="49" spans="1:14" ht="14.4" customHeight="1" x14ac:dyDescent="0.3">
      <c r="A49" s="523" t="s">
        <v>443</v>
      </c>
      <c r="B49" s="524" t="s">
        <v>445</v>
      </c>
      <c r="C49" s="525" t="s">
        <v>459</v>
      </c>
      <c r="D49" s="526" t="s">
        <v>460</v>
      </c>
      <c r="E49" s="525" t="s">
        <v>448</v>
      </c>
      <c r="F49" s="526" t="s">
        <v>449</v>
      </c>
      <c r="G49" s="525" t="s">
        <v>469</v>
      </c>
      <c r="H49" s="525" t="s">
        <v>596</v>
      </c>
      <c r="I49" s="525" t="s">
        <v>497</v>
      </c>
      <c r="J49" s="525" t="s">
        <v>597</v>
      </c>
      <c r="K49" s="525"/>
      <c r="L49" s="527">
        <v>705.79941779985234</v>
      </c>
      <c r="M49" s="527">
        <v>21</v>
      </c>
      <c r="N49" s="528">
        <v>14821.787773796899</v>
      </c>
    </row>
    <row r="50" spans="1:14" ht="14.4" customHeight="1" x14ac:dyDescent="0.3">
      <c r="A50" s="523" t="s">
        <v>443</v>
      </c>
      <c r="B50" s="524" t="s">
        <v>445</v>
      </c>
      <c r="C50" s="525" t="s">
        <v>459</v>
      </c>
      <c r="D50" s="526" t="s">
        <v>460</v>
      </c>
      <c r="E50" s="525" t="s">
        <v>452</v>
      </c>
      <c r="F50" s="526" t="s">
        <v>453</v>
      </c>
      <c r="G50" s="525" t="s">
        <v>469</v>
      </c>
      <c r="H50" s="525" t="s">
        <v>598</v>
      </c>
      <c r="I50" s="525" t="s">
        <v>599</v>
      </c>
      <c r="J50" s="525" t="s">
        <v>600</v>
      </c>
      <c r="K50" s="525" t="s">
        <v>601</v>
      </c>
      <c r="L50" s="527">
        <v>37.643108173506668</v>
      </c>
      <c r="M50" s="527">
        <v>3</v>
      </c>
      <c r="N50" s="528">
        <v>112.92932452052</v>
      </c>
    </row>
    <row r="51" spans="1:14" ht="14.4" customHeight="1" x14ac:dyDescent="0.3">
      <c r="A51" s="523" t="s">
        <v>443</v>
      </c>
      <c r="B51" s="524" t="s">
        <v>445</v>
      </c>
      <c r="C51" s="525" t="s">
        <v>459</v>
      </c>
      <c r="D51" s="526" t="s">
        <v>460</v>
      </c>
      <c r="E51" s="525" t="s">
        <v>452</v>
      </c>
      <c r="F51" s="526" t="s">
        <v>453</v>
      </c>
      <c r="G51" s="525" t="s">
        <v>469</v>
      </c>
      <c r="H51" s="525" t="s">
        <v>602</v>
      </c>
      <c r="I51" s="525" t="s">
        <v>603</v>
      </c>
      <c r="J51" s="525" t="s">
        <v>604</v>
      </c>
      <c r="K51" s="525" t="s">
        <v>605</v>
      </c>
      <c r="L51" s="527">
        <v>86.566476576137291</v>
      </c>
      <c r="M51" s="527">
        <v>3</v>
      </c>
      <c r="N51" s="528">
        <v>259.69942972841187</v>
      </c>
    </row>
    <row r="52" spans="1:14" ht="14.4" customHeight="1" x14ac:dyDescent="0.3">
      <c r="A52" s="523" t="s">
        <v>443</v>
      </c>
      <c r="B52" s="524" t="s">
        <v>445</v>
      </c>
      <c r="C52" s="525" t="s">
        <v>459</v>
      </c>
      <c r="D52" s="526" t="s">
        <v>460</v>
      </c>
      <c r="E52" s="525" t="s">
        <v>452</v>
      </c>
      <c r="F52" s="526" t="s">
        <v>453</v>
      </c>
      <c r="G52" s="525" t="s">
        <v>469</v>
      </c>
      <c r="H52" s="525" t="s">
        <v>606</v>
      </c>
      <c r="I52" s="525" t="s">
        <v>607</v>
      </c>
      <c r="J52" s="525" t="s">
        <v>608</v>
      </c>
      <c r="K52" s="525" t="s">
        <v>609</v>
      </c>
      <c r="L52" s="527">
        <v>136.00491551334656</v>
      </c>
      <c r="M52" s="527">
        <v>18</v>
      </c>
      <c r="N52" s="528">
        <v>2448.088479240238</v>
      </c>
    </row>
    <row r="53" spans="1:14" ht="14.4" customHeight="1" x14ac:dyDescent="0.3">
      <c r="A53" s="523" t="s">
        <v>443</v>
      </c>
      <c r="B53" s="524" t="s">
        <v>445</v>
      </c>
      <c r="C53" s="525" t="s">
        <v>459</v>
      </c>
      <c r="D53" s="526" t="s">
        <v>460</v>
      </c>
      <c r="E53" s="525" t="s">
        <v>452</v>
      </c>
      <c r="F53" s="526" t="s">
        <v>453</v>
      </c>
      <c r="G53" s="525" t="s">
        <v>469</v>
      </c>
      <c r="H53" s="525" t="s">
        <v>610</v>
      </c>
      <c r="I53" s="525" t="s">
        <v>611</v>
      </c>
      <c r="J53" s="525" t="s">
        <v>612</v>
      </c>
      <c r="K53" s="525" t="s">
        <v>613</v>
      </c>
      <c r="L53" s="527">
        <v>63.60549884880205</v>
      </c>
      <c r="M53" s="527">
        <v>16</v>
      </c>
      <c r="N53" s="528">
        <v>1017.6879815808328</v>
      </c>
    </row>
    <row r="54" spans="1:14" ht="14.4" customHeight="1" x14ac:dyDescent="0.3">
      <c r="A54" s="523" t="s">
        <v>443</v>
      </c>
      <c r="B54" s="524" t="s">
        <v>445</v>
      </c>
      <c r="C54" s="525" t="s">
        <v>459</v>
      </c>
      <c r="D54" s="526" t="s">
        <v>460</v>
      </c>
      <c r="E54" s="525" t="s">
        <v>452</v>
      </c>
      <c r="F54" s="526" t="s">
        <v>453</v>
      </c>
      <c r="G54" s="525" t="s">
        <v>469</v>
      </c>
      <c r="H54" s="525" t="s">
        <v>614</v>
      </c>
      <c r="I54" s="525" t="s">
        <v>615</v>
      </c>
      <c r="J54" s="525" t="s">
        <v>616</v>
      </c>
      <c r="K54" s="525" t="s">
        <v>617</v>
      </c>
      <c r="L54" s="527">
        <v>70.46668576423933</v>
      </c>
      <c r="M54" s="527">
        <v>3</v>
      </c>
      <c r="N54" s="528">
        <v>211.400057292718</v>
      </c>
    </row>
    <row r="55" spans="1:14" ht="14.4" customHeight="1" x14ac:dyDescent="0.3">
      <c r="A55" s="523" t="s">
        <v>443</v>
      </c>
      <c r="B55" s="524" t="s">
        <v>445</v>
      </c>
      <c r="C55" s="525" t="s">
        <v>459</v>
      </c>
      <c r="D55" s="526" t="s">
        <v>460</v>
      </c>
      <c r="E55" s="525" t="s">
        <v>452</v>
      </c>
      <c r="F55" s="526" t="s">
        <v>453</v>
      </c>
      <c r="G55" s="525" t="s">
        <v>469</v>
      </c>
      <c r="H55" s="525" t="s">
        <v>618</v>
      </c>
      <c r="I55" s="525" t="s">
        <v>619</v>
      </c>
      <c r="J55" s="525" t="s">
        <v>620</v>
      </c>
      <c r="K55" s="525" t="s">
        <v>621</v>
      </c>
      <c r="L55" s="527">
        <v>24.675009774381287</v>
      </c>
      <c r="M55" s="527">
        <v>8</v>
      </c>
      <c r="N55" s="528">
        <v>197.4000781950503</v>
      </c>
    </row>
    <row r="56" spans="1:14" ht="14.4" customHeight="1" x14ac:dyDescent="0.3">
      <c r="A56" s="523" t="s">
        <v>443</v>
      </c>
      <c r="B56" s="524" t="s">
        <v>445</v>
      </c>
      <c r="C56" s="525" t="s">
        <v>459</v>
      </c>
      <c r="D56" s="526" t="s">
        <v>460</v>
      </c>
      <c r="E56" s="525" t="s">
        <v>452</v>
      </c>
      <c r="F56" s="526" t="s">
        <v>453</v>
      </c>
      <c r="G56" s="525" t="s">
        <v>469</v>
      </c>
      <c r="H56" s="525" t="s">
        <v>622</v>
      </c>
      <c r="I56" s="525" t="s">
        <v>623</v>
      </c>
      <c r="J56" s="525" t="s">
        <v>624</v>
      </c>
      <c r="K56" s="525" t="s">
        <v>625</v>
      </c>
      <c r="L56" s="527">
        <v>52.173792284535672</v>
      </c>
      <c r="M56" s="527">
        <v>42</v>
      </c>
      <c r="N56" s="528">
        <v>2191.2992759504982</v>
      </c>
    </row>
    <row r="57" spans="1:14" ht="14.4" customHeight="1" x14ac:dyDescent="0.3">
      <c r="A57" s="523" t="s">
        <v>443</v>
      </c>
      <c r="B57" s="524" t="s">
        <v>445</v>
      </c>
      <c r="C57" s="525" t="s">
        <v>459</v>
      </c>
      <c r="D57" s="526" t="s">
        <v>460</v>
      </c>
      <c r="E57" s="525" t="s">
        <v>452</v>
      </c>
      <c r="F57" s="526" t="s">
        <v>453</v>
      </c>
      <c r="G57" s="525" t="s">
        <v>626</v>
      </c>
      <c r="H57" s="525" t="s">
        <v>627</v>
      </c>
      <c r="I57" s="525" t="s">
        <v>627</v>
      </c>
      <c r="J57" s="525" t="s">
        <v>628</v>
      </c>
      <c r="K57" s="525" t="s">
        <v>629</v>
      </c>
      <c r="L57" s="527">
        <v>189.25550000000001</v>
      </c>
      <c r="M57" s="527">
        <v>1</v>
      </c>
      <c r="N57" s="528">
        <v>189.25550000000001</v>
      </c>
    </row>
    <row r="58" spans="1:14" ht="14.4" customHeight="1" x14ac:dyDescent="0.3">
      <c r="A58" s="523" t="s">
        <v>443</v>
      </c>
      <c r="B58" s="524" t="s">
        <v>445</v>
      </c>
      <c r="C58" s="525" t="s">
        <v>459</v>
      </c>
      <c r="D58" s="526" t="s">
        <v>460</v>
      </c>
      <c r="E58" s="525" t="s">
        <v>454</v>
      </c>
      <c r="F58" s="526" t="s">
        <v>455</v>
      </c>
      <c r="G58" s="525" t="s">
        <v>469</v>
      </c>
      <c r="H58" s="525" t="s">
        <v>630</v>
      </c>
      <c r="I58" s="525" t="s">
        <v>631</v>
      </c>
      <c r="J58" s="525" t="s">
        <v>632</v>
      </c>
      <c r="K58" s="525" t="s">
        <v>633</v>
      </c>
      <c r="L58" s="527">
        <v>77.63</v>
      </c>
      <c r="M58" s="527">
        <v>1</v>
      </c>
      <c r="N58" s="528">
        <v>77.63</v>
      </c>
    </row>
    <row r="59" spans="1:14" ht="14.4" customHeight="1" x14ac:dyDescent="0.3">
      <c r="A59" s="523" t="s">
        <v>443</v>
      </c>
      <c r="B59" s="524" t="s">
        <v>445</v>
      </c>
      <c r="C59" s="525" t="s">
        <v>459</v>
      </c>
      <c r="D59" s="526" t="s">
        <v>460</v>
      </c>
      <c r="E59" s="525" t="s">
        <v>454</v>
      </c>
      <c r="F59" s="526" t="s">
        <v>455</v>
      </c>
      <c r="G59" s="525" t="s">
        <v>469</v>
      </c>
      <c r="H59" s="525" t="s">
        <v>634</v>
      </c>
      <c r="I59" s="525" t="s">
        <v>635</v>
      </c>
      <c r="J59" s="525" t="s">
        <v>636</v>
      </c>
      <c r="K59" s="525" t="s">
        <v>637</v>
      </c>
      <c r="L59" s="527">
        <v>88.402918209659063</v>
      </c>
      <c r="M59" s="527">
        <v>10</v>
      </c>
      <c r="N59" s="528">
        <v>884.0291820965906</v>
      </c>
    </row>
    <row r="60" spans="1:14" ht="14.4" customHeight="1" x14ac:dyDescent="0.3">
      <c r="A60" s="523" t="s">
        <v>443</v>
      </c>
      <c r="B60" s="524" t="s">
        <v>445</v>
      </c>
      <c r="C60" s="525" t="s">
        <v>459</v>
      </c>
      <c r="D60" s="526" t="s">
        <v>460</v>
      </c>
      <c r="E60" s="525" t="s">
        <v>454</v>
      </c>
      <c r="F60" s="526" t="s">
        <v>455</v>
      </c>
      <c r="G60" s="525" t="s">
        <v>469</v>
      </c>
      <c r="H60" s="525" t="s">
        <v>638</v>
      </c>
      <c r="I60" s="525" t="s">
        <v>639</v>
      </c>
      <c r="J60" s="525" t="s">
        <v>640</v>
      </c>
      <c r="K60" s="525" t="s">
        <v>641</v>
      </c>
      <c r="L60" s="527">
        <v>85.239999999999895</v>
      </c>
      <c r="M60" s="527">
        <v>1</v>
      </c>
      <c r="N60" s="528">
        <v>85.239999999999895</v>
      </c>
    </row>
    <row r="61" spans="1:14" ht="14.4" customHeight="1" x14ac:dyDescent="0.3">
      <c r="A61" s="523" t="s">
        <v>443</v>
      </c>
      <c r="B61" s="524" t="s">
        <v>445</v>
      </c>
      <c r="C61" s="525" t="s">
        <v>463</v>
      </c>
      <c r="D61" s="526" t="s">
        <v>464</v>
      </c>
      <c r="E61" s="525" t="s">
        <v>446</v>
      </c>
      <c r="F61" s="526" t="s">
        <v>447</v>
      </c>
      <c r="G61" s="525" t="s">
        <v>469</v>
      </c>
      <c r="H61" s="525" t="s">
        <v>470</v>
      </c>
      <c r="I61" s="525" t="s">
        <v>470</v>
      </c>
      <c r="J61" s="525" t="s">
        <v>471</v>
      </c>
      <c r="K61" s="525" t="s">
        <v>472</v>
      </c>
      <c r="L61" s="527">
        <v>259.44087343529964</v>
      </c>
      <c r="M61" s="527">
        <v>8</v>
      </c>
      <c r="N61" s="528">
        <v>2075.5269874823971</v>
      </c>
    </row>
    <row r="62" spans="1:14" ht="14.4" customHeight="1" x14ac:dyDescent="0.3">
      <c r="A62" s="523" t="s">
        <v>443</v>
      </c>
      <c r="B62" s="524" t="s">
        <v>445</v>
      </c>
      <c r="C62" s="525" t="s">
        <v>463</v>
      </c>
      <c r="D62" s="526" t="s">
        <v>464</v>
      </c>
      <c r="E62" s="525" t="s">
        <v>446</v>
      </c>
      <c r="F62" s="526" t="s">
        <v>447</v>
      </c>
      <c r="G62" s="525" t="s">
        <v>469</v>
      </c>
      <c r="H62" s="525" t="s">
        <v>642</v>
      </c>
      <c r="I62" s="525" t="s">
        <v>642</v>
      </c>
      <c r="J62" s="525" t="s">
        <v>643</v>
      </c>
      <c r="K62" s="525" t="s">
        <v>644</v>
      </c>
      <c r="L62" s="527">
        <v>259.44103717787544</v>
      </c>
      <c r="M62" s="527">
        <v>11</v>
      </c>
      <c r="N62" s="528">
        <v>2853.8514089566302</v>
      </c>
    </row>
    <row r="63" spans="1:14" ht="14.4" customHeight="1" x14ac:dyDescent="0.3">
      <c r="A63" s="523" t="s">
        <v>443</v>
      </c>
      <c r="B63" s="524" t="s">
        <v>445</v>
      </c>
      <c r="C63" s="525" t="s">
        <v>463</v>
      </c>
      <c r="D63" s="526" t="s">
        <v>464</v>
      </c>
      <c r="E63" s="525" t="s">
        <v>446</v>
      </c>
      <c r="F63" s="526" t="s">
        <v>447</v>
      </c>
      <c r="G63" s="525" t="s">
        <v>469</v>
      </c>
      <c r="H63" s="525" t="s">
        <v>473</v>
      </c>
      <c r="I63" s="525" t="s">
        <v>474</v>
      </c>
      <c r="J63" s="525" t="s">
        <v>475</v>
      </c>
      <c r="K63" s="525" t="s">
        <v>476</v>
      </c>
      <c r="L63" s="527">
        <v>84.740621788036705</v>
      </c>
      <c r="M63" s="527">
        <v>2</v>
      </c>
      <c r="N63" s="528">
        <v>169.48124357607341</v>
      </c>
    </row>
    <row r="64" spans="1:14" ht="14.4" customHeight="1" x14ac:dyDescent="0.3">
      <c r="A64" s="523" t="s">
        <v>443</v>
      </c>
      <c r="B64" s="524" t="s">
        <v>445</v>
      </c>
      <c r="C64" s="525" t="s">
        <v>463</v>
      </c>
      <c r="D64" s="526" t="s">
        <v>464</v>
      </c>
      <c r="E64" s="525" t="s">
        <v>446</v>
      </c>
      <c r="F64" s="526" t="s">
        <v>447</v>
      </c>
      <c r="G64" s="525" t="s">
        <v>469</v>
      </c>
      <c r="H64" s="525" t="s">
        <v>477</v>
      </c>
      <c r="I64" s="525" t="s">
        <v>478</v>
      </c>
      <c r="J64" s="525" t="s">
        <v>479</v>
      </c>
      <c r="K64" s="525" t="s">
        <v>480</v>
      </c>
      <c r="L64" s="527">
        <v>74.660001849802029</v>
      </c>
      <c r="M64" s="527">
        <v>7</v>
      </c>
      <c r="N64" s="528">
        <v>522.6200129486142</v>
      </c>
    </row>
    <row r="65" spans="1:14" ht="14.4" customHeight="1" x14ac:dyDescent="0.3">
      <c r="A65" s="523" t="s">
        <v>443</v>
      </c>
      <c r="B65" s="524" t="s">
        <v>445</v>
      </c>
      <c r="C65" s="525" t="s">
        <v>463</v>
      </c>
      <c r="D65" s="526" t="s">
        <v>464</v>
      </c>
      <c r="E65" s="525" t="s">
        <v>446</v>
      </c>
      <c r="F65" s="526" t="s">
        <v>447</v>
      </c>
      <c r="G65" s="525" t="s">
        <v>469</v>
      </c>
      <c r="H65" s="525" t="s">
        <v>481</v>
      </c>
      <c r="I65" s="525" t="s">
        <v>482</v>
      </c>
      <c r="J65" s="525" t="s">
        <v>483</v>
      </c>
      <c r="K65" s="525" t="s">
        <v>484</v>
      </c>
      <c r="L65" s="527">
        <v>60.159878515217031</v>
      </c>
      <c r="M65" s="527">
        <v>193</v>
      </c>
      <c r="N65" s="528">
        <v>11610.856553436886</v>
      </c>
    </row>
    <row r="66" spans="1:14" ht="14.4" customHeight="1" x14ac:dyDescent="0.3">
      <c r="A66" s="523" t="s">
        <v>443</v>
      </c>
      <c r="B66" s="524" t="s">
        <v>445</v>
      </c>
      <c r="C66" s="525" t="s">
        <v>463</v>
      </c>
      <c r="D66" s="526" t="s">
        <v>464</v>
      </c>
      <c r="E66" s="525" t="s">
        <v>446</v>
      </c>
      <c r="F66" s="526" t="s">
        <v>447</v>
      </c>
      <c r="G66" s="525" t="s">
        <v>469</v>
      </c>
      <c r="H66" s="525" t="s">
        <v>489</v>
      </c>
      <c r="I66" s="525" t="s">
        <v>490</v>
      </c>
      <c r="J66" s="525" t="s">
        <v>491</v>
      </c>
      <c r="K66" s="525" t="s">
        <v>488</v>
      </c>
      <c r="L66" s="527">
        <v>67.406657315163301</v>
      </c>
      <c r="M66" s="527">
        <v>3</v>
      </c>
      <c r="N66" s="528">
        <v>202.2199719454899</v>
      </c>
    </row>
    <row r="67" spans="1:14" ht="14.4" customHeight="1" x14ac:dyDescent="0.3">
      <c r="A67" s="523" t="s">
        <v>443</v>
      </c>
      <c r="B67" s="524" t="s">
        <v>445</v>
      </c>
      <c r="C67" s="525" t="s">
        <v>463</v>
      </c>
      <c r="D67" s="526" t="s">
        <v>464</v>
      </c>
      <c r="E67" s="525" t="s">
        <v>446</v>
      </c>
      <c r="F67" s="526" t="s">
        <v>447</v>
      </c>
      <c r="G67" s="525" t="s">
        <v>469</v>
      </c>
      <c r="H67" s="525" t="s">
        <v>645</v>
      </c>
      <c r="I67" s="525" t="s">
        <v>646</v>
      </c>
      <c r="J67" s="525" t="s">
        <v>647</v>
      </c>
      <c r="K67" s="525" t="s">
        <v>648</v>
      </c>
      <c r="L67" s="527">
        <v>259.44</v>
      </c>
      <c r="M67" s="527">
        <v>1</v>
      </c>
      <c r="N67" s="528">
        <v>259.44</v>
      </c>
    </row>
    <row r="68" spans="1:14" ht="14.4" customHeight="1" x14ac:dyDescent="0.3">
      <c r="A68" s="523" t="s">
        <v>443</v>
      </c>
      <c r="B68" s="524" t="s">
        <v>445</v>
      </c>
      <c r="C68" s="525" t="s">
        <v>463</v>
      </c>
      <c r="D68" s="526" t="s">
        <v>464</v>
      </c>
      <c r="E68" s="525" t="s">
        <v>446</v>
      </c>
      <c r="F68" s="526" t="s">
        <v>447</v>
      </c>
      <c r="G68" s="525" t="s">
        <v>469</v>
      </c>
      <c r="H68" s="525" t="s">
        <v>492</v>
      </c>
      <c r="I68" s="525" t="s">
        <v>493</v>
      </c>
      <c r="J68" s="525" t="s">
        <v>494</v>
      </c>
      <c r="K68" s="525" t="s">
        <v>495</v>
      </c>
      <c r="L68" s="527">
        <v>39.549999999999997</v>
      </c>
      <c r="M68" s="527">
        <v>2</v>
      </c>
      <c r="N68" s="528">
        <v>79.099999999999994</v>
      </c>
    </row>
    <row r="69" spans="1:14" ht="14.4" customHeight="1" x14ac:dyDescent="0.3">
      <c r="A69" s="523" t="s">
        <v>443</v>
      </c>
      <c r="B69" s="524" t="s">
        <v>445</v>
      </c>
      <c r="C69" s="525" t="s">
        <v>463</v>
      </c>
      <c r="D69" s="526" t="s">
        <v>464</v>
      </c>
      <c r="E69" s="525" t="s">
        <v>446</v>
      </c>
      <c r="F69" s="526" t="s">
        <v>447</v>
      </c>
      <c r="G69" s="525" t="s">
        <v>469</v>
      </c>
      <c r="H69" s="525" t="s">
        <v>496</v>
      </c>
      <c r="I69" s="525" t="s">
        <v>497</v>
      </c>
      <c r="J69" s="525" t="s">
        <v>498</v>
      </c>
      <c r="K69" s="525"/>
      <c r="L69" s="527">
        <v>97.992417060770791</v>
      </c>
      <c r="M69" s="527">
        <v>22</v>
      </c>
      <c r="N69" s="528">
        <v>2155.8331753369575</v>
      </c>
    </row>
    <row r="70" spans="1:14" ht="14.4" customHeight="1" x14ac:dyDescent="0.3">
      <c r="A70" s="523" t="s">
        <v>443</v>
      </c>
      <c r="B70" s="524" t="s">
        <v>445</v>
      </c>
      <c r="C70" s="525" t="s">
        <v>463</v>
      </c>
      <c r="D70" s="526" t="s">
        <v>464</v>
      </c>
      <c r="E70" s="525" t="s">
        <v>446</v>
      </c>
      <c r="F70" s="526" t="s">
        <v>447</v>
      </c>
      <c r="G70" s="525" t="s">
        <v>469</v>
      </c>
      <c r="H70" s="525" t="s">
        <v>649</v>
      </c>
      <c r="I70" s="525" t="s">
        <v>650</v>
      </c>
      <c r="J70" s="525" t="s">
        <v>503</v>
      </c>
      <c r="K70" s="525" t="s">
        <v>651</v>
      </c>
      <c r="L70" s="527">
        <v>70.644513888888696</v>
      </c>
      <c r="M70" s="527">
        <v>1</v>
      </c>
      <c r="N70" s="528">
        <v>70.644513888888696</v>
      </c>
    </row>
    <row r="71" spans="1:14" ht="14.4" customHeight="1" x14ac:dyDescent="0.3">
      <c r="A71" s="523" t="s">
        <v>443</v>
      </c>
      <c r="B71" s="524" t="s">
        <v>445</v>
      </c>
      <c r="C71" s="525" t="s">
        <v>463</v>
      </c>
      <c r="D71" s="526" t="s">
        <v>464</v>
      </c>
      <c r="E71" s="525" t="s">
        <v>446</v>
      </c>
      <c r="F71" s="526" t="s">
        <v>447</v>
      </c>
      <c r="G71" s="525" t="s">
        <v>469</v>
      </c>
      <c r="H71" s="525" t="s">
        <v>652</v>
      </c>
      <c r="I71" s="525" t="s">
        <v>497</v>
      </c>
      <c r="J71" s="525" t="s">
        <v>653</v>
      </c>
      <c r="K71" s="525"/>
      <c r="L71" s="527">
        <v>32.964821801409897</v>
      </c>
      <c r="M71" s="527">
        <v>5</v>
      </c>
      <c r="N71" s="528">
        <v>164.82410900704949</v>
      </c>
    </row>
    <row r="72" spans="1:14" ht="14.4" customHeight="1" x14ac:dyDescent="0.3">
      <c r="A72" s="523" t="s">
        <v>443</v>
      </c>
      <c r="B72" s="524" t="s">
        <v>445</v>
      </c>
      <c r="C72" s="525" t="s">
        <v>463</v>
      </c>
      <c r="D72" s="526" t="s">
        <v>464</v>
      </c>
      <c r="E72" s="525" t="s">
        <v>446</v>
      </c>
      <c r="F72" s="526" t="s">
        <v>447</v>
      </c>
      <c r="G72" s="525" t="s">
        <v>469</v>
      </c>
      <c r="H72" s="525" t="s">
        <v>505</v>
      </c>
      <c r="I72" s="525" t="s">
        <v>506</v>
      </c>
      <c r="J72" s="525" t="s">
        <v>507</v>
      </c>
      <c r="K72" s="525" t="s">
        <v>508</v>
      </c>
      <c r="L72" s="527">
        <v>218.17802103245435</v>
      </c>
      <c r="M72" s="527">
        <v>3</v>
      </c>
      <c r="N72" s="528">
        <v>654.53406309736306</v>
      </c>
    </row>
    <row r="73" spans="1:14" ht="14.4" customHeight="1" x14ac:dyDescent="0.3">
      <c r="A73" s="523" t="s">
        <v>443</v>
      </c>
      <c r="B73" s="524" t="s">
        <v>445</v>
      </c>
      <c r="C73" s="525" t="s">
        <v>463</v>
      </c>
      <c r="D73" s="526" t="s">
        <v>464</v>
      </c>
      <c r="E73" s="525" t="s">
        <v>446</v>
      </c>
      <c r="F73" s="526" t="s">
        <v>447</v>
      </c>
      <c r="G73" s="525" t="s">
        <v>469</v>
      </c>
      <c r="H73" s="525" t="s">
        <v>509</v>
      </c>
      <c r="I73" s="525" t="s">
        <v>497</v>
      </c>
      <c r="J73" s="525" t="s">
        <v>510</v>
      </c>
      <c r="K73" s="525"/>
      <c r="L73" s="527">
        <v>32.964790116780847</v>
      </c>
      <c r="M73" s="527">
        <v>440</v>
      </c>
      <c r="N73" s="528">
        <v>14504.507651383572</v>
      </c>
    </row>
    <row r="74" spans="1:14" ht="14.4" customHeight="1" x14ac:dyDescent="0.3">
      <c r="A74" s="523" t="s">
        <v>443</v>
      </c>
      <c r="B74" s="524" t="s">
        <v>445</v>
      </c>
      <c r="C74" s="525" t="s">
        <v>463</v>
      </c>
      <c r="D74" s="526" t="s">
        <v>464</v>
      </c>
      <c r="E74" s="525" t="s">
        <v>446</v>
      </c>
      <c r="F74" s="526" t="s">
        <v>447</v>
      </c>
      <c r="G74" s="525" t="s">
        <v>469</v>
      </c>
      <c r="H74" s="525" t="s">
        <v>654</v>
      </c>
      <c r="I74" s="525" t="s">
        <v>655</v>
      </c>
      <c r="J74" s="525" t="s">
        <v>656</v>
      </c>
      <c r="K74" s="525" t="s">
        <v>657</v>
      </c>
      <c r="L74" s="527">
        <v>75.239810831739803</v>
      </c>
      <c r="M74" s="527">
        <v>1</v>
      </c>
      <c r="N74" s="528">
        <v>75.239810831739803</v>
      </c>
    </row>
    <row r="75" spans="1:14" ht="14.4" customHeight="1" x14ac:dyDescent="0.3">
      <c r="A75" s="523" t="s">
        <v>443</v>
      </c>
      <c r="B75" s="524" t="s">
        <v>445</v>
      </c>
      <c r="C75" s="525" t="s">
        <v>463</v>
      </c>
      <c r="D75" s="526" t="s">
        <v>464</v>
      </c>
      <c r="E75" s="525" t="s">
        <v>446</v>
      </c>
      <c r="F75" s="526" t="s">
        <v>447</v>
      </c>
      <c r="G75" s="525" t="s">
        <v>469</v>
      </c>
      <c r="H75" s="525" t="s">
        <v>511</v>
      </c>
      <c r="I75" s="525" t="s">
        <v>512</v>
      </c>
      <c r="J75" s="525" t="s">
        <v>513</v>
      </c>
      <c r="K75" s="525" t="s">
        <v>514</v>
      </c>
      <c r="L75" s="527">
        <v>44.994117322650631</v>
      </c>
      <c r="M75" s="527">
        <v>3</v>
      </c>
      <c r="N75" s="528">
        <v>134.9823519679519</v>
      </c>
    </row>
    <row r="76" spans="1:14" ht="14.4" customHeight="1" x14ac:dyDescent="0.3">
      <c r="A76" s="523" t="s">
        <v>443</v>
      </c>
      <c r="B76" s="524" t="s">
        <v>445</v>
      </c>
      <c r="C76" s="525" t="s">
        <v>463</v>
      </c>
      <c r="D76" s="526" t="s">
        <v>464</v>
      </c>
      <c r="E76" s="525" t="s">
        <v>446</v>
      </c>
      <c r="F76" s="526" t="s">
        <v>447</v>
      </c>
      <c r="G76" s="525" t="s">
        <v>469</v>
      </c>
      <c r="H76" s="525" t="s">
        <v>658</v>
      </c>
      <c r="I76" s="525" t="s">
        <v>659</v>
      </c>
      <c r="J76" s="525" t="s">
        <v>522</v>
      </c>
      <c r="K76" s="525" t="s">
        <v>660</v>
      </c>
      <c r="L76" s="527">
        <v>274.97000000000003</v>
      </c>
      <c r="M76" s="527">
        <v>1</v>
      </c>
      <c r="N76" s="528">
        <v>274.97000000000003</v>
      </c>
    </row>
    <row r="77" spans="1:14" ht="14.4" customHeight="1" x14ac:dyDescent="0.3">
      <c r="A77" s="523" t="s">
        <v>443</v>
      </c>
      <c r="B77" s="524" t="s">
        <v>445</v>
      </c>
      <c r="C77" s="525" t="s">
        <v>463</v>
      </c>
      <c r="D77" s="526" t="s">
        <v>464</v>
      </c>
      <c r="E77" s="525" t="s">
        <v>446</v>
      </c>
      <c r="F77" s="526" t="s">
        <v>447</v>
      </c>
      <c r="G77" s="525" t="s">
        <v>469</v>
      </c>
      <c r="H77" s="525" t="s">
        <v>661</v>
      </c>
      <c r="I77" s="525" t="s">
        <v>662</v>
      </c>
      <c r="J77" s="525" t="s">
        <v>663</v>
      </c>
      <c r="K77" s="525" t="s">
        <v>664</v>
      </c>
      <c r="L77" s="527">
        <v>12.859193735895401</v>
      </c>
      <c r="M77" s="527">
        <v>21</v>
      </c>
      <c r="N77" s="528">
        <v>270.04306845380341</v>
      </c>
    </row>
    <row r="78" spans="1:14" ht="14.4" customHeight="1" x14ac:dyDescent="0.3">
      <c r="A78" s="523" t="s">
        <v>443</v>
      </c>
      <c r="B78" s="524" t="s">
        <v>445</v>
      </c>
      <c r="C78" s="525" t="s">
        <v>463</v>
      </c>
      <c r="D78" s="526" t="s">
        <v>464</v>
      </c>
      <c r="E78" s="525" t="s">
        <v>446</v>
      </c>
      <c r="F78" s="526" t="s">
        <v>447</v>
      </c>
      <c r="G78" s="525" t="s">
        <v>469</v>
      </c>
      <c r="H78" s="525" t="s">
        <v>665</v>
      </c>
      <c r="I78" s="525" t="s">
        <v>497</v>
      </c>
      <c r="J78" s="525" t="s">
        <v>666</v>
      </c>
      <c r="K78" s="525"/>
      <c r="L78" s="527">
        <v>55.698500000000003</v>
      </c>
      <c r="M78" s="527">
        <v>2</v>
      </c>
      <c r="N78" s="528">
        <v>111.39700000000001</v>
      </c>
    </row>
    <row r="79" spans="1:14" ht="14.4" customHeight="1" x14ac:dyDescent="0.3">
      <c r="A79" s="523" t="s">
        <v>443</v>
      </c>
      <c r="B79" s="524" t="s">
        <v>445</v>
      </c>
      <c r="C79" s="525" t="s">
        <v>463</v>
      </c>
      <c r="D79" s="526" t="s">
        <v>464</v>
      </c>
      <c r="E79" s="525" t="s">
        <v>446</v>
      </c>
      <c r="F79" s="526" t="s">
        <v>447</v>
      </c>
      <c r="G79" s="525" t="s">
        <v>469</v>
      </c>
      <c r="H79" s="525" t="s">
        <v>517</v>
      </c>
      <c r="I79" s="525" t="s">
        <v>517</v>
      </c>
      <c r="J79" s="525" t="s">
        <v>518</v>
      </c>
      <c r="K79" s="525" t="s">
        <v>519</v>
      </c>
      <c r="L79" s="527">
        <v>75.502428169674346</v>
      </c>
      <c r="M79" s="527">
        <v>20</v>
      </c>
      <c r="N79" s="528">
        <v>1510.048563393487</v>
      </c>
    </row>
    <row r="80" spans="1:14" ht="14.4" customHeight="1" x14ac:dyDescent="0.3">
      <c r="A80" s="523" t="s">
        <v>443</v>
      </c>
      <c r="B80" s="524" t="s">
        <v>445</v>
      </c>
      <c r="C80" s="525" t="s">
        <v>463</v>
      </c>
      <c r="D80" s="526" t="s">
        <v>464</v>
      </c>
      <c r="E80" s="525" t="s">
        <v>446</v>
      </c>
      <c r="F80" s="526" t="s">
        <v>447</v>
      </c>
      <c r="G80" s="525" t="s">
        <v>469</v>
      </c>
      <c r="H80" s="525" t="s">
        <v>520</v>
      </c>
      <c r="I80" s="525" t="s">
        <v>521</v>
      </c>
      <c r="J80" s="525" t="s">
        <v>522</v>
      </c>
      <c r="K80" s="525" t="s">
        <v>523</v>
      </c>
      <c r="L80" s="527">
        <v>71.740899321424379</v>
      </c>
      <c r="M80" s="527">
        <v>65</v>
      </c>
      <c r="N80" s="528">
        <v>4663.1584558925842</v>
      </c>
    </row>
    <row r="81" spans="1:14" ht="14.4" customHeight="1" x14ac:dyDescent="0.3">
      <c r="A81" s="523" t="s">
        <v>443</v>
      </c>
      <c r="B81" s="524" t="s">
        <v>445</v>
      </c>
      <c r="C81" s="525" t="s">
        <v>463</v>
      </c>
      <c r="D81" s="526" t="s">
        <v>464</v>
      </c>
      <c r="E81" s="525" t="s">
        <v>446</v>
      </c>
      <c r="F81" s="526" t="s">
        <v>447</v>
      </c>
      <c r="G81" s="525" t="s">
        <v>469</v>
      </c>
      <c r="H81" s="525" t="s">
        <v>524</v>
      </c>
      <c r="I81" s="525" t="s">
        <v>497</v>
      </c>
      <c r="J81" s="525" t="s">
        <v>525</v>
      </c>
      <c r="K81" s="525" t="s">
        <v>526</v>
      </c>
      <c r="L81" s="527">
        <v>23.700210805346394</v>
      </c>
      <c r="M81" s="527">
        <v>560</v>
      </c>
      <c r="N81" s="528">
        <v>13272.11805099398</v>
      </c>
    </row>
    <row r="82" spans="1:14" ht="14.4" customHeight="1" x14ac:dyDescent="0.3">
      <c r="A82" s="523" t="s">
        <v>443</v>
      </c>
      <c r="B82" s="524" t="s">
        <v>445</v>
      </c>
      <c r="C82" s="525" t="s">
        <v>463</v>
      </c>
      <c r="D82" s="526" t="s">
        <v>464</v>
      </c>
      <c r="E82" s="525" t="s">
        <v>446</v>
      </c>
      <c r="F82" s="526" t="s">
        <v>447</v>
      </c>
      <c r="G82" s="525" t="s">
        <v>469</v>
      </c>
      <c r="H82" s="525" t="s">
        <v>667</v>
      </c>
      <c r="I82" s="525" t="s">
        <v>497</v>
      </c>
      <c r="J82" s="525" t="s">
        <v>668</v>
      </c>
      <c r="K82" s="525" t="s">
        <v>526</v>
      </c>
      <c r="L82" s="527">
        <v>24.039349010888753</v>
      </c>
      <c r="M82" s="527">
        <v>40</v>
      </c>
      <c r="N82" s="528">
        <v>961.57396043555013</v>
      </c>
    </row>
    <row r="83" spans="1:14" ht="14.4" customHeight="1" x14ac:dyDescent="0.3">
      <c r="A83" s="523" t="s">
        <v>443</v>
      </c>
      <c r="B83" s="524" t="s">
        <v>445</v>
      </c>
      <c r="C83" s="525" t="s">
        <v>463</v>
      </c>
      <c r="D83" s="526" t="s">
        <v>464</v>
      </c>
      <c r="E83" s="525" t="s">
        <v>446</v>
      </c>
      <c r="F83" s="526" t="s">
        <v>447</v>
      </c>
      <c r="G83" s="525" t="s">
        <v>469</v>
      </c>
      <c r="H83" s="525" t="s">
        <v>669</v>
      </c>
      <c r="I83" s="525" t="s">
        <v>670</v>
      </c>
      <c r="J83" s="525" t="s">
        <v>671</v>
      </c>
      <c r="K83" s="525" t="s">
        <v>672</v>
      </c>
      <c r="L83" s="527">
        <v>34.19</v>
      </c>
      <c r="M83" s="527">
        <v>8</v>
      </c>
      <c r="N83" s="528">
        <v>273.52</v>
      </c>
    </row>
    <row r="84" spans="1:14" ht="14.4" customHeight="1" x14ac:dyDescent="0.3">
      <c r="A84" s="523" t="s">
        <v>443</v>
      </c>
      <c r="B84" s="524" t="s">
        <v>445</v>
      </c>
      <c r="C84" s="525" t="s">
        <v>463</v>
      </c>
      <c r="D84" s="526" t="s">
        <v>464</v>
      </c>
      <c r="E84" s="525" t="s">
        <v>446</v>
      </c>
      <c r="F84" s="526" t="s">
        <v>447</v>
      </c>
      <c r="G84" s="525" t="s">
        <v>469</v>
      </c>
      <c r="H84" s="525" t="s">
        <v>673</v>
      </c>
      <c r="I84" s="525" t="s">
        <v>497</v>
      </c>
      <c r="J84" s="525" t="s">
        <v>674</v>
      </c>
      <c r="K84" s="525" t="s">
        <v>675</v>
      </c>
      <c r="L84" s="527">
        <v>197.93999999999997</v>
      </c>
      <c r="M84" s="527">
        <v>3</v>
      </c>
      <c r="N84" s="528">
        <v>593.81999999999994</v>
      </c>
    </row>
    <row r="85" spans="1:14" ht="14.4" customHeight="1" x14ac:dyDescent="0.3">
      <c r="A85" s="523" t="s">
        <v>443</v>
      </c>
      <c r="B85" s="524" t="s">
        <v>445</v>
      </c>
      <c r="C85" s="525" t="s">
        <v>463</v>
      </c>
      <c r="D85" s="526" t="s">
        <v>464</v>
      </c>
      <c r="E85" s="525" t="s">
        <v>446</v>
      </c>
      <c r="F85" s="526" t="s">
        <v>447</v>
      </c>
      <c r="G85" s="525" t="s">
        <v>469</v>
      </c>
      <c r="H85" s="525" t="s">
        <v>676</v>
      </c>
      <c r="I85" s="525" t="s">
        <v>677</v>
      </c>
      <c r="J85" s="525" t="s">
        <v>678</v>
      </c>
      <c r="K85" s="525"/>
      <c r="L85" s="527">
        <v>76.436501360730048</v>
      </c>
      <c r="M85" s="527">
        <v>24</v>
      </c>
      <c r="N85" s="528">
        <v>1834.4760326575213</v>
      </c>
    </row>
    <row r="86" spans="1:14" ht="14.4" customHeight="1" x14ac:dyDescent="0.3">
      <c r="A86" s="523" t="s">
        <v>443</v>
      </c>
      <c r="B86" s="524" t="s">
        <v>445</v>
      </c>
      <c r="C86" s="525" t="s">
        <v>463</v>
      </c>
      <c r="D86" s="526" t="s">
        <v>464</v>
      </c>
      <c r="E86" s="525" t="s">
        <v>446</v>
      </c>
      <c r="F86" s="526" t="s">
        <v>447</v>
      </c>
      <c r="G86" s="525" t="s">
        <v>469</v>
      </c>
      <c r="H86" s="525" t="s">
        <v>679</v>
      </c>
      <c r="I86" s="525" t="s">
        <v>680</v>
      </c>
      <c r="J86" s="525" t="s">
        <v>681</v>
      </c>
      <c r="K86" s="525" t="s">
        <v>682</v>
      </c>
      <c r="L86" s="527">
        <v>36.339374999999997</v>
      </c>
      <c r="M86" s="527">
        <v>16</v>
      </c>
      <c r="N86" s="528">
        <v>581.42999999999995</v>
      </c>
    </row>
    <row r="87" spans="1:14" ht="14.4" customHeight="1" x14ac:dyDescent="0.3">
      <c r="A87" s="523" t="s">
        <v>443</v>
      </c>
      <c r="B87" s="524" t="s">
        <v>445</v>
      </c>
      <c r="C87" s="525" t="s">
        <v>463</v>
      </c>
      <c r="D87" s="526" t="s">
        <v>464</v>
      </c>
      <c r="E87" s="525" t="s">
        <v>446</v>
      </c>
      <c r="F87" s="526" t="s">
        <v>447</v>
      </c>
      <c r="G87" s="525" t="s">
        <v>469</v>
      </c>
      <c r="H87" s="525" t="s">
        <v>683</v>
      </c>
      <c r="I87" s="525" t="s">
        <v>684</v>
      </c>
      <c r="J87" s="525" t="s">
        <v>545</v>
      </c>
      <c r="K87" s="525" t="s">
        <v>685</v>
      </c>
      <c r="L87" s="527">
        <v>160.25003005031667</v>
      </c>
      <c r="M87" s="527">
        <v>6</v>
      </c>
      <c r="N87" s="528">
        <v>961.50018030190006</v>
      </c>
    </row>
    <row r="88" spans="1:14" ht="14.4" customHeight="1" x14ac:dyDescent="0.3">
      <c r="A88" s="523" t="s">
        <v>443</v>
      </c>
      <c r="B88" s="524" t="s">
        <v>445</v>
      </c>
      <c r="C88" s="525" t="s">
        <v>463</v>
      </c>
      <c r="D88" s="526" t="s">
        <v>464</v>
      </c>
      <c r="E88" s="525" t="s">
        <v>446</v>
      </c>
      <c r="F88" s="526" t="s">
        <v>447</v>
      </c>
      <c r="G88" s="525" t="s">
        <v>469</v>
      </c>
      <c r="H88" s="525" t="s">
        <v>686</v>
      </c>
      <c r="I88" s="525" t="s">
        <v>687</v>
      </c>
      <c r="J88" s="525" t="s">
        <v>688</v>
      </c>
      <c r="K88" s="525"/>
      <c r="L88" s="527">
        <v>304.79269826084203</v>
      </c>
      <c r="M88" s="527">
        <v>8</v>
      </c>
      <c r="N88" s="528">
        <v>2438.3415860867362</v>
      </c>
    </row>
    <row r="89" spans="1:14" ht="14.4" customHeight="1" x14ac:dyDescent="0.3">
      <c r="A89" s="523" t="s">
        <v>443</v>
      </c>
      <c r="B89" s="524" t="s">
        <v>445</v>
      </c>
      <c r="C89" s="525" t="s">
        <v>463</v>
      </c>
      <c r="D89" s="526" t="s">
        <v>464</v>
      </c>
      <c r="E89" s="525" t="s">
        <v>446</v>
      </c>
      <c r="F89" s="526" t="s">
        <v>447</v>
      </c>
      <c r="G89" s="525" t="s">
        <v>469</v>
      </c>
      <c r="H89" s="525" t="s">
        <v>689</v>
      </c>
      <c r="I89" s="525" t="s">
        <v>497</v>
      </c>
      <c r="J89" s="525" t="s">
        <v>690</v>
      </c>
      <c r="K89" s="525"/>
      <c r="L89" s="527">
        <v>225.132021185399</v>
      </c>
      <c r="M89" s="527">
        <v>1</v>
      </c>
      <c r="N89" s="528">
        <v>225.132021185399</v>
      </c>
    </row>
    <row r="90" spans="1:14" ht="14.4" customHeight="1" x14ac:dyDescent="0.3">
      <c r="A90" s="523" t="s">
        <v>443</v>
      </c>
      <c r="B90" s="524" t="s">
        <v>445</v>
      </c>
      <c r="C90" s="525" t="s">
        <v>463</v>
      </c>
      <c r="D90" s="526" t="s">
        <v>464</v>
      </c>
      <c r="E90" s="525" t="s">
        <v>446</v>
      </c>
      <c r="F90" s="526" t="s">
        <v>447</v>
      </c>
      <c r="G90" s="525" t="s">
        <v>469</v>
      </c>
      <c r="H90" s="525" t="s">
        <v>529</v>
      </c>
      <c r="I90" s="525" t="s">
        <v>497</v>
      </c>
      <c r="J90" s="525" t="s">
        <v>530</v>
      </c>
      <c r="K90" s="525"/>
      <c r="L90" s="527">
        <v>48.781874012767297</v>
      </c>
      <c r="M90" s="527">
        <v>1</v>
      </c>
      <c r="N90" s="528">
        <v>48.781874012767297</v>
      </c>
    </row>
    <row r="91" spans="1:14" ht="14.4" customHeight="1" x14ac:dyDescent="0.3">
      <c r="A91" s="523" t="s">
        <v>443</v>
      </c>
      <c r="B91" s="524" t="s">
        <v>445</v>
      </c>
      <c r="C91" s="525" t="s">
        <v>463</v>
      </c>
      <c r="D91" s="526" t="s">
        <v>464</v>
      </c>
      <c r="E91" s="525" t="s">
        <v>446</v>
      </c>
      <c r="F91" s="526" t="s">
        <v>447</v>
      </c>
      <c r="G91" s="525" t="s">
        <v>469</v>
      </c>
      <c r="H91" s="525" t="s">
        <v>691</v>
      </c>
      <c r="I91" s="525" t="s">
        <v>692</v>
      </c>
      <c r="J91" s="525" t="s">
        <v>693</v>
      </c>
      <c r="K91" s="525" t="s">
        <v>694</v>
      </c>
      <c r="L91" s="527">
        <v>101.88991030324149</v>
      </c>
      <c r="M91" s="527">
        <v>2</v>
      </c>
      <c r="N91" s="528">
        <v>203.77982060648299</v>
      </c>
    </row>
    <row r="92" spans="1:14" ht="14.4" customHeight="1" x14ac:dyDescent="0.3">
      <c r="A92" s="523" t="s">
        <v>443</v>
      </c>
      <c r="B92" s="524" t="s">
        <v>445</v>
      </c>
      <c r="C92" s="525" t="s">
        <v>463</v>
      </c>
      <c r="D92" s="526" t="s">
        <v>464</v>
      </c>
      <c r="E92" s="525" t="s">
        <v>446</v>
      </c>
      <c r="F92" s="526" t="s">
        <v>447</v>
      </c>
      <c r="G92" s="525" t="s">
        <v>469</v>
      </c>
      <c r="H92" s="525" t="s">
        <v>695</v>
      </c>
      <c r="I92" s="525" t="s">
        <v>497</v>
      </c>
      <c r="J92" s="525" t="s">
        <v>696</v>
      </c>
      <c r="K92" s="525"/>
      <c r="L92" s="527">
        <v>53.522031107796899</v>
      </c>
      <c r="M92" s="527">
        <v>3</v>
      </c>
      <c r="N92" s="528">
        <v>160.5660933233907</v>
      </c>
    </row>
    <row r="93" spans="1:14" ht="14.4" customHeight="1" x14ac:dyDescent="0.3">
      <c r="A93" s="523" t="s">
        <v>443</v>
      </c>
      <c r="B93" s="524" t="s">
        <v>445</v>
      </c>
      <c r="C93" s="525" t="s">
        <v>463</v>
      </c>
      <c r="D93" s="526" t="s">
        <v>464</v>
      </c>
      <c r="E93" s="525" t="s">
        <v>446</v>
      </c>
      <c r="F93" s="526" t="s">
        <v>447</v>
      </c>
      <c r="G93" s="525" t="s">
        <v>469</v>
      </c>
      <c r="H93" s="525" t="s">
        <v>531</v>
      </c>
      <c r="I93" s="525" t="s">
        <v>532</v>
      </c>
      <c r="J93" s="525" t="s">
        <v>533</v>
      </c>
      <c r="K93" s="525" t="s">
        <v>534</v>
      </c>
      <c r="L93" s="527">
        <v>51.001761213738391</v>
      </c>
      <c r="M93" s="527">
        <v>10</v>
      </c>
      <c r="N93" s="528">
        <v>510.01761213738388</v>
      </c>
    </row>
    <row r="94" spans="1:14" ht="14.4" customHeight="1" x14ac:dyDescent="0.3">
      <c r="A94" s="523" t="s">
        <v>443</v>
      </c>
      <c r="B94" s="524" t="s">
        <v>445</v>
      </c>
      <c r="C94" s="525" t="s">
        <v>463</v>
      </c>
      <c r="D94" s="526" t="s">
        <v>464</v>
      </c>
      <c r="E94" s="525" t="s">
        <v>446</v>
      </c>
      <c r="F94" s="526" t="s">
        <v>447</v>
      </c>
      <c r="G94" s="525" t="s">
        <v>469</v>
      </c>
      <c r="H94" s="525" t="s">
        <v>551</v>
      </c>
      <c r="I94" s="525" t="s">
        <v>497</v>
      </c>
      <c r="J94" s="525" t="s">
        <v>552</v>
      </c>
      <c r="K94" s="525"/>
      <c r="L94" s="527">
        <v>50.183557148233369</v>
      </c>
      <c r="M94" s="527">
        <v>30</v>
      </c>
      <c r="N94" s="528">
        <v>1505.5067144470011</v>
      </c>
    </row>
    <row r="95" spans="1:14" ht="14.4" customHeight="1" x14ac:dyDescent="0.3">
      <c r="A95" s="523" t="s">
        <v>443</v>
      </c>
      <c r="B95" s="524" t="s">
        <v>445</v>
      </c>
      <c r="C95" s="525" t="s">
        <v>463</v>
      </c>
      <c r="D95" s="526" t="s">
        <v>464</v>
      </c>
      <c r="E95" s="525" t="s">
        <v>446</v>
      </c>
      <c r="F95" s="526" t="s">
        <v>447</v>
      </c>
      <c r="G95" s="525" t="s">
        <v>469</v>
      </c>
      <c r="H95" s="525" t="s">
        <v>557</v>
      </c>
      <c r="I95" s="525" t="s">
        <v>497</v>
      </c>
      <c r="J95" s="525" t="s">
        <v>558</v>
      </c>
      <c r="K95" s="525"/>
      <c r="L95" s="527">
        <v>56.000412004707556</v>
      </c>
      <c r="M95" s="527">
        <v>70</v>
      </c>
      <c r="N95" s="528">
        <v>3920.028840329529</v>
      </c>
    </row>
    <row r="96" spans="1:14" ht="14.4" customHeight="1" x14ac:dyDescent="0.3">
      <c r="A96" s="523" t="s">
        <v>443</v>
      </c>
      <c r="B96" s="524" t="s">
        <v>445</v>
      </c>
      <c r="C96" s="525" t="s">
        <v>463</v>
      </c>
      <c r="D96" s="526" t="s">
        <v>464</v>
      </c>
      <c r="E96" s="525" t="s">
        <v>446</v>
      </c>
      <c r="F96" s="526" t="s">
        <v>447</v>
      </c>
      <c r="G96" s="525" t="s">
        <v>469</v>
      </c>
      <c r="H96" s="525" t="s">
        <v>567</v>
      </c>
      <c r="I96" s="525" t="s">
        <v>497</v>
      </c>
      <c r="J96" s="525" t="s">
        <v>568</v>
      </c>
      <c r="K96" s="525"/>
      <c r="L96" s="527">
        <v>47.431000491195199</v>
      </c>
      <c r="M96" s="527">
        <v>60</v>
      </c>
      <c r="N96" s="528">
        <v>2845.8600294717121</v>
      </c>
    </row>
    <row r="97" spans="1:14" ht="14.4" customHeight="1" x14ac:dyDescent="0.3">
      <c r="A97" s="523" t="s">
        <v>443</v>
      </c>
      <c r="B97" s="524" t="s">
        <v>445</v>
      </c>
      <c r="C97" s="525" t="s">
        <v>463</v>
      </c>
      <c r="D97" s="526" t="s">
        <v>464</v>
      </c>
      <c r="E97" s="525" t="s">
        <v>446</v>
      </c>
      <c r="F97" s="526" t="s">
        <v>447</v>
      </c>
      <c r="G97" s="525" t="s">
        <v>469</v>
      </c>
      <c r="H97" s="525" t="s">
        <v>571</v>
      </c>
      <c r="I97" s="525" t="s">
        <v>497</v>
      </c>
      <c r="J97" s="525" t="s">
        <v>572</v>
      </c>
      <c r="K97" s="525"/>
      <c r="L97" s="527">
        <v>94.635161505742047</v>
      </c>
      <c r="M97" s="527">
        <v>38</v>
      </c>
      <c r="N97" s="528">
        <v>3596.1361372181977</v>
      </c>
    </row>
    <row r="98" spans="1:14" ht="14.4" customHeight="1" x14ac:dyDescent="0.3">
      <c r="A98" s="523" t="s">
        <v>443</v>
      </c>
      <c r="B98" s="524" t="s">
        <v>445</v>
      </c>
      <c r="C98" s="525" t="s">
        <v>463</v>
      </c>
      <c r="D98" s="526" t="s">
        <v>464</v>
      </c>
      <c r="E98" s="525" t="s">
        <v>446</v>
      </c>
      <c r="F98" s="526" t="s">
        <v>447</v>
      </c>
      <c r="G98" s="525" t="s">
        <v>469</v>
      </c>
      <c r="H98" s="525" t="s">
        <v>697</v>
      </c>
      <c r="I98" s="525" t="s">
        <v>698</v>
      </c>
      <c r="J98" s="525" t="s">
        <v>699</v>
      </c>
      <c r="K98" s="525" t="s">
        <v>700</v>
      </c>
      <c r="L98" s="527">
        <v>81.899999999999991</v>
      </c>
      <c r="M98" s="527">
        <v>6</v>
      </c>
      <c r="N98" s="528">
        <v>491.4</v>
      </c>
    </row>
    <row r="99" spans="1:14" ht="14.4" customHeight="1" x14ac:dyDescent="0.3">
      <c r="A99" s="523" t="s">
        <v>443</v>
      </c>
      <c r="B99" s="524" t="s">
        <v>445</v>
      </c>
      <c r="C99" s="525" t="s">
        <v>463</v>
      </c>
      <c r="D99" s="526" t="s">
        <v>464</v>
      </c>
      <c r="E99" s="525" t="s">
        <v>446</v>
      </c>
      <c r="F99" s="526" t="s">
        <v>447</v>
      </c>
      <c r="G99" s="525" t="s">
        <v>469</v>
      </c>
      <c r="H99" s="525" t="s">
        <v>701</v>
      </c>
      <c r="I99" s="525" t="s">
        <v>702</v>
      </c>
      <c r="J99" s="525" t="s">
        <v>703</v>
      </c>
      <c r="K99" s="525" t="s">
        <v>704</v>
      </c>
      <c r="L99" s="527">
        <v>77.899505708174644</v>
      </c>
      <c r="M99" s="527">
        <v>2</v>
      </c>
      <c r="N99" s="528">
        <v>155.79901141634929</v>
      </c>
    </row>
    <row r="100" spans="1:14" ht="14.4" customHeight="1" x14ac:dyDescent="0.3">
      <c r="A100" s="523" t="s">
        <v>443</v>
      </c>
      <c r="B100" s="524" t="s">
        <v>445</v>
      </c>
      <c r="C100" s="525" t="s">
        <v>463</v>
      </c>
      <c r="D100" s="526" t="s">
        <v>464</v>
      </c>
      <c r="E100" s="525" t="s">
        <v>446</v>
      </c>
      <c r="F100" s="526" t="s">
        <v>447</v>
      </c>
      <c r="G100" s="525" t="s">
        <v>469</v>
      </c>
      <c r="H100" s="525" t="s">
        <v>705</v>
      </c>
      <c r="I100" s="525" t="s">
        <v>497</v>
      </c>
      <c r="J100" s="525" t="s">
        <v>706</v>
      </c>
      <c r="K100" s="525"/>
      <c r="L100" s="527">
        <v>63.614181159649</v>
      </c>
      <c r="M100" s="527">
        <v>10</v>
      </c>
      <c r="N100" s="528">
        <v>636.14181159649002</v>
      </c>
    </row>
    <row r="101" spans="1:14" ht="14.4" customHeight="1" x14ac:dyDescent="0.3">
      <c r="A101" s="523" t="s">
        <v>443</v>
      </c>
      <c r="B101" s="524" t="s">
        <v>445</v>
      </c>
      <c r="C101" s="525" t="s">
        <v>463</v>
      </c>
      <c r="D101" s="526" t="s">
        <v>464</v>
      </c>
      <c r="E101" s="525" t="s">
        <v>446</v>
      </c>
      <c r="F101" s="526" t="s">
        <v>447</v>
      </c>
      <c r="G101" s="525" t="s">
        <v>469</v>
      </c>
      <c r="H101" s="525" t="s">
        <v>707</v>
      </c>
      <c r="I101" s="525" t="s">
        <v>497</v>
      </c>
      <c r="J101" s="525" t="s">
        <v>708</v>
      </c>
      <c r="K101" s="525"/>
      <c r="L101" s="527">
        <v>380.36580554217727</v>
      </c>
      <c r="M101" s="527">
        <v>10</v>
      </c>
      <c r="N101" s="528">
        <v>3803.6580554217726</v>
      </c>
    </row>
    <row r="102" spans="1:14" ht="14.4" customHeight="1" x14ac:dyDescent="0.3">
      <c r="A102" s="523" t="s">
        <v>443</v>
      </c>
      <c r="B102" s="524" t="s">
        <v>445</v>
      </c>
      <c r="C102" s="525" t="s">
        <v>463</v>
      </c>
      <c r="D102" s="526" t="s">
        <v>464</v>
      </c>
      <c r="E102" s="525" t="s">
        <v>446</v>
      </c>
      <c r="F102" s="526" t="s">
        <v>447</v>
      </c>
      <c r="G102" s="525" t="s">
        <v>469</v>
      </c>
      <c r="H102" s="525" t="s">
        <v>709</v>
      </c>
      <c r="I102" s="525" t="s">
        <v>497</v>
      </c>
      <c r="J102" s="525" t="s">
        <v>710</v>
      </c>
      <c r="K102" s="525"/>
      <c r="L102" s="527">
        <v>137.62787449060468</v>
      </c>
      <c r="M102" s="527">
        <v>53</v>
      </c>
      <c r="N102" s="528">
        <v>7294.2773480020487</v>
      </c>
    </row>
    <row r="103" spans="1:14" ht="14.4" customHeight="1" x14ac:dyDescent="0.3">
      <c r="A103" s="523" t="s">
        <v>443</v>
      </c>
      <c r="B103" s="524" t="s">
        <v>445</v>
      </c>
      <c r="C103" s="525" t="s">
        <v>463</v>
      </c>
      <c r="D103" s="526" t="s">
        <v>464</v>
      </c>
      <c r="E103" s="525" t="s">
        <v>446</v>
      </c>
      <c r="F103" s="526" t="s">
        <v>447</v>
      </c>
      <c r="G103" s="525" t="s">
        <v>469</v>
      </c>
      <c r="H103" s="525" t="s">
        <v>711</v>
      </c>
      <c r="I103" s="525" t="s">
        <v>497</v>
      </c>
      <c r="J103" s="525" t="s">
        <v>712</v>
      </c>
      <c r="K103" s="525"/>
      <c r="L103" s="527">
        <v>172.8106328986274</v>
      </c>
      <c r="M103" s="527">
        <v>12</v>
      </c>
      <c r="N103" s="528">
        <v>2073.7275947835287</v>
      </c>
    </row>
    <row r="104" spans="1:14" ht="14.4" customHeight="1" x14ac:dyDescent="0.3">
      <c r="A104" s="523" t="s">
        <v>443</v>
      </c>
      <c r="B104" s="524" t="s">
        <v>445</v>
      </c>
      <c r="C104" s="525" t="s">
        <v>463</v>
      </c>
      <c r="D104" s="526" t="s">
        <v>464</v>
      </c>
      <c r="E104" s="525" t="s">
        <v>446</v>
      </c>
      <c r="F104" s="526" t="s">
        <v>447</v>
      </c>
      <c r="G104" s="525" t="s">
        <v>469</v>
      </c>
      <c r="H104" s="525" t="s">
        <v>713</v>
      </c>
      <c r="I104" s="525" t="s">
        <v>497</v>
      </c>
      <c r="J104" s="525" t="s">
        <v>714</v>
      </c>
      <c r="K104" s="525"/>
      <c r="L104" s="527">
        <v>143.60703047474723</v>
      </c>
      <c r="M104" s="527">
        <v>31</v>
      </c>
      <c r="N104" s="528">
        <v>4451.8179447171642</v>
      </c>
    </row>
    <row r="105" spans="1:14" ht="14.4" customHeight="1" x14ac:dyDescent="0.3">
      <c r="A105" s="523" t="s">
        <v>443</v>
      </c>
      <c r="B105" s="524" t="s">
        <v>445</v>
      </c>
      <c r="C105" s="525" t="s">
        <v>463</v>
      </c>
      <c r="D105" s="526" t="s">
        <v>464</v>
      </c>
      <c r="E105" s="525" t="s">
        <v>446</v>
      </c>
      <c r="F105" s="526" t="s">
        <v>447</v>
      </c>
      <c r="G105" s="525" t="s">
        <v>469</v>
      </c>
      <c r="H105" s="525" t="s">
        <v>715</v>
      </c>
      <c r="I105" s="525" t="s">
        <v>497</v>
      </c>
      <c r="J105" s="525" t="s">
        <v>716</v>
      </c>
      <c r="K105" s="525"/>
      <c r="L105" s="527">
        <v>120.78608385804814</v>
      </c>
      <c r="M105" s="527">
        <v>24</v>
      </c>
      <c r="N105" s="528">
        <v>2898.8660125931556</v>
      </c>
    </row>
    <row r="106" spans="1:14" ht="14.4" customHeight="1" x14ac:dyDescent="0.3">
      <c r="A106" s="523" t="s">
        <v>443</v>
      </c>
      <c r="B106" s="524" t="s">
        <v>445</v>
      </c>
      <c r="C106" s="525" t="s">
        <v>463</v>
      </c>
      <c r="D106" s="526" t="s">
        <v>464</v>
      </c>
      <c r="E106" s="525" t="s">
        <v>446</v>
      </c>
      <c r="F106" s="526" t="s">
        <v>447</v>
      </c>
      <c r="G106" s="525" t="s">
        <v>469</v>
      </c>
      <c r="H106" s="525" t="s">
        <v>717</v>
      </c>
      <c r="I106" s="525" t="s">
        <v>497</v>
      </c>
      <c r="J106" s="525" t="s">
        <v>718</v>
      </c>
      <c r="K106" s="525"/>
      <c r="L106" s="527">
        <v>467.22874367945502</v>
      </c>
      <c r="M106" s="527">
        <v>1</v>
      </c>
      <c r="N106" s="528">
        <v>467.22874367945502</v>
      </c>
    </row>
    <row r="107" spans="1:14" ht="14.4" customHeight="1" x14ac:dyDescent="0.3">
      <c r="A107" s="523" t="s">
        <v>443</v>
      </c>
      <c r="B107" s="524" t="s">
        <v>445</v>
      </c>
      <c r="C107" s="525" t="s">
        <v>463</v>
      </c>
      <c r="D107" s="526" t="s">
        <v>464</v>
      </c>
      <c r="E107" s="525" t="s">
        <v>446</v>
      </c>
      <c r="F107" s="526" t="s">
        <v>447</v>
      </c>
      <c r="G107" s="525" t="s">
        <v>469</v>
      </c>
      <c r="H107" s="525" t="s">
        <v>719</v>
      </c>
      <c r="I107" s="525" t="s">
        <v>497</v>
      </c>
      <c r="J107" s="525" t="s">
        <v>720</v>
      </c>
      <c r="K107" s="525"/>
      <c r="L107" s="527">
        <v>194.26295368094202</v>
      </c>
      <c r="M107" s="527">
        <v>4</v>
      </c>
      <c r="N107" s="528">
        <v>777.05181472376808</v>
      </c>
    </row>
    <row r="108" spans="1:14" ht="14.4" customHeight="1" x14ac:dyDescent="0.3">
      <c r="A108" s="523" t="s">
        <v>443</v>
      </c>
      <c r="B108" s="524" t="s">
        <v>445</v>
      </c>
      <c r="C108" s="525" t="s">
        <v>463</v>
      </c>
      <c r="D108" s="526" t="s">
        <v>464</v>
      </c>
      <c r="E108" s="525" t="s">
        <v>446</v>
      </c>
      <c r="F108" s="526" t="s">
        <v>447</v>
      </c>
      <c r="G108" s="525" t="s">
        <v>469</v>
      </c>
      <c r="H108" s="525" t="s">
        <v>721</v>
      </c>
      <c r="I108" s="525" t="s">
        <v>497</v>
      </c>
      <c r="J108" s="525" t="s">
        <v>722</v>
      </c>
      <c r="K108" s="525" t="s">
        <v>723</v>
      </c>
      <c r="L108" s="527">
        <v>85.873651517503902</v>
      </c>
      <c r="M108" s="527">
        <v>1</v>
      </c>
      <c r="N108" s="528">
        <v>85.873651517503902</v>
      </c>
    </row>
    <row r="109" spans="1:14" ht="14.4" customHeight="1" x14ac:dyDescent="0.3">
      <c r="A109" s="523" t="s">
        <v>443</v>
      </c>
      <c r="B109" s="524" t="s">
        <v>445</v>
      </c>
      <c r="C109" s="525" t="s">
        <v>463</v>
      </c>
      <c r="D109" s="526" t="s">
        <v>464</v>
      </c>
      <c r="E109" s="525" t="s">
        <v>446</v>
      </c>
      <c r="F109" s="526" t="s">
        <v>447</v>
      </c>
      <c r="G109" s="525" t="s">
        <v>469</v>
      </c>
      <c r="H109" s="525" t="s">
        <v>724</v>
      </c>
      <c r="I109" s="525" t="s">
        <v>497</v>
      </c>
      <c r="J109" s="525" t="s">
        <v>725</v>
      </c>
      <c r="K109" s="525" t="s">
        <v>726</v>
      </c>
      <c r="L109" s="527">
        <v>456.29860185158748</v>
      </c>
      <c r="M109" s="527">
        <v>4</v>
      </c>
      <c r="N109" s="528">
        <v>1825.1944074063499</v>
      </c>
    </row>
    <row r="110" spans="1:14" ht="14.4" customHeight="1" x14ac:dyDescent="0.3">
      <c r="A110" s="523" t="s">
        <v>443</v>
      </c>
      <c r="B110" s="524" t="s">
        <v>445</v>
      </c>
      <c r="C110" s="525" t="s">
        <v>463</v>
      </c>
      <c r="D110" s="526" t="s">
        <v>464</v>
      </c>
      <c r="E110" s="525" t="s">
        <v>446</v>
      </c>
      <c r="F110" s="526" t="s">
        <v>447</v>
      </c>
      <c r="G110" s="525" t="s">
        <v>469</v>
      </c>
      <c r="H110" s="525" t="s">
        <v>727</v>
      </c>
      <c r="I110" s="525" t="s">
        <v>497</v>
      </c>
      <c r="J110" s="525" t="s">
        <v>728</v>
      </c>
      <c r="K110" s="525"/>
      <c r="L110" s="527">
        <v>62.517195013629497</v>
      </c>
      <c r="M110" s="527">
        <v>2</v>
      </c>
      <c r="N110" s="528">
        <v>125.03439002725899</v>
      </c>
    </row>
    <row r="111" spans="1:14" ht="14.4" customHeight="1" x14ac:dyDescent="0.3">
      <c r="A111" s="523" t="s">
        <v>443</v>
      </c>
      <c r="B111" s="524" t="s">
        <v>445</v>
      </c>
      <c r="C111" s="525" t="s">
        <v>463</v>
      </c>
      <c r="D111" s="526" t="s">
        <v>464</v>
      </c>
      <c r="E111" s="525" t="s">
        <v>446</v>
      </c>
      <c r="F111" s="526" t="s">
        <v>447</v>
      </c>
      <c r="G111" s="525" t="s">
        <v>469</v>
      </c>
      <c r="H111" s="525" t="s">
        <v>729</v>
      </c>
      <c r="I111" s="525" t="s">
        <v>497</v>
      </c>
      <c r="J111" s="525" t="s">
        <v>730</v>
      </c>
      <c r="K111" s="525"/>
      <c r="L111" s="527">
        <v>11.792706007216101</v>
      </c>
      <c r="M111" s="527">
        <v>40</v>
      </c>
      <c r="N111" s="528">
        <v>471.70824028864399</v>
      </c>
    </row>
    <row r="112" spans="1:14" ht="14.4" customHeight="1" x14ac:dyDescent="0.3">
      <c r="A112" s="523" t="s">
        <v>443</v>
      </c>
      <c r="B112" s="524" t="s">
        <v>445</v>
      </c>
      <c r="C112" s="525" t="s">
        <v>463</v>
      </c>
      <c r="D112" s="526" t="s">
        <v>464</v>
      </c>
      <c r="E112" s="525" t="s">
        <v>446</v>
      </c>
      <c r="F112" s="526" t="s">
        <v>447</v>
      </c>
      <c r="G112" s="525" t="s">
        <v>626</v>
      </c>
      <c r="H112" s="525" t="s">
        <v>731</v>
      </c>
      <c r="I112" s="525" t="s">
        <v>732</v>
      </c>
      <c r="J112" s="525" t="s">
        <v>733</v>
      </c>
      <c r="K112" s="525" t="s">
        <v>734</v>
      </c>
      <c r="L112" s="527">
        <v>58.88</v>
      </c>
      <c r="M112" s="527">
        <v>2</v>
      </c>
      <c r="N112" s="528">
        <v>117.76</v>
      </c>
    </row>
    <row r="113" spans="1:14" ht="14.4" customHeight="1" x14ac:dyDescent="0.3">
      <c r="A113" s="523" t="s">
        <v>443</v>
      </c>
      <c r="B113" s="524" t="s">
        <v>445</v>
      </c>
      <c r="C113" s="525" t="s">
        <v>463</v>
      </c>
      <c r="D113" s="526" t="s">
        <v>464</v>
      </c>
      <c r="E113" s="525" t="s">
        <v>446</v>
      </c>
      <c r="F113" s="526" t="s">
        <v>447</v>
      </c>
      <c r="G113" s="525" t="s">
        <v>626</v>
      </c>
      <c r="H113" s="525" t="s">
        <v>735</v>
      </c>
      <c r="I113" s="525" t="s">
        <v>735</v>
      </c>
      <c r="J113" s="525" t="s">
        <v>736</v>
      </c>
      <c r="K113" s="525" t="s">
        <v>737</v>
      </c>
      <c r="L113" s="527">
        <v>2158.4129817548401</v>
      </c>
      <c r="M113" s="527">
        <v>1</v>
      </c>
      <c r="N113" s="528">
        <v>2158.4129817548401</v>
      </c>
    </row>
    <row r="114" spans="1:14" ht="14.4" customHeight="1" x14ac:dyDescent="0.3">
      <c r="A114" s="523" t="s">
        <v>443</v>
      </c>
      <c r="B114" s="524" t="s">
        <v>445</v>
      </c>
      <c r="C114" s="525" t="s">
        <v>463</v>
      </c>
      <c r="D114" s="526" t="s">
        <v>464</v>
      </c>
      <c r="E114" s="525" t="s">
        <v>446</v>
      </c>
      <c r="F114" s="526" t="s">
        <v>447</v>
      </c>
      <c r="G114" s="525" t="s">
        <v>626</v>
      </c>
      <c r="H114" s="525" t="s">
        <v>738</v>
      </c>
      <c r="I114" s="525" t="s">
        <v>739</v>
      </c>
      <c r="J114" s="525" t="s">
        <v>740</v>
      </c>
      <c r="K114" s="525" t="s">
        <v>741</v>
      </c>
      <c r="L114" s="527">
        <v>194.380327534065</v>
      </c>
      <c r="M114" s="527">
        <v>1</v>
      </c>
      <c r="N114" s="528">
        <v>194.380327534065</v>
      </c>
    </row>
    <row r="115" spans="1:14" ht="14.4" customHeight="1" x14ac:dyDescent="0.3">
      <c r="A115" s="523" t="s">
        <v>443</v>
      </c>
      <c r="B115" s="524" t="s">
        <v>445</v>
      </c>
      <c r="C115" s="525" t="s">
        <v>463</v>
      </c>
      <c r="D115" s="526" t="s">
        <v>464</v>
      </c>
      <c r="E115" s="525" t="s">
        <v>446</v>
      </c>
      <c r="F115" s="526" t="s">
        <v>447</v>
      </c>
      <c r="G115" s="525" t="s">
        <v>626</v>
      </c>
      <c r="H115" s="525" t="s">
        <v>742</v>
      </c>
      <c r="I115" s="525" t="s">
        <v>743</v>
      </c>
      <c r="J115" s="525" t="s">
        <v>744</v>
      </c>
      <c r="K115" s="525" t="s">
        <v>745</v>
      </c>
      <c r="L115" s="527">
        <v>184.76999999999998</v>
      </c>
      <c r="M115" s="527">
        <v>2</v>
      </c>
      <c r="N115" s="528">
        <v>369.53999999999996</v>
      </c>
    </row>
    <row r="116" spans="1:14" ht="14.4" customHeight="1" x14ac:dyDescent="0.3">
      <c r="A116" s="523" t="s">
        <v>443</v>
      </c>
      <c r="B116" s="524" t="s">
        <v>445</v>
      </c>
      <c r="C116" s="525" t="s">
        <v>463</v>
      </c>
      <c r="D116" s="526" t="s">
        <v>464</v>
      </c>
      <c r="E116" s="525" t="s">
        <v>448</v>
      </c>
      <c r="F116" s="526" t="s">
        <v>449</v>
      </c>
      <c r="G116" s="525"/>
      <c r="H116" s="525" t="s">
        <v>746</v>
      </c>
      <c r="I116" s="525" t="s">
        <v>746</v>
      </c>
      <c r="J116" s="525" t="s">
        <v>747</v>
      </c>
      <c r="K116" s="525" t="s">
        <v>748</v>
      </c>
      <c r="L116" s="527">
        <v>373.93014938247001</v>
      </c>
      <c r="M116" s="527">
        <v>5</v>
      </c>
      <c r="N116" s="528">
        <v>1869.6507469123501</v>
      </c>
    </row>
    <row r="117" spans="1:14" ht="14.4" customHeight="1" x14ac:dyDescent="0.3">
      <c r="A117" s="523" t="s">
        <v>443</v>
      </c>
      <c r="B117" s="524" t="s">
        <v>445</v>
      </c>
      <c r="C117" s="525" t="s">
        <v>463</v>
      </c>
      <c r="D117" s="526" t="s">
        <v>464</v>
      </c>
      <c r="E117" s="525" t="s">
        <v>448</v>
      </c>
      <c r="F117" s="526" t="s">
        <v>449</v>
      </c>
      <c r="G117" s="525" t="s">
        <v>469</v>
      </c>
      <c r="H117" s="525" t="s">
        <v>582</v>
      </c>
      <c r="I117" s="525" t="s">
        <v>497</v>
      </c>
      <c r="J117" s="525" t="s">
        <v>583</v>
      </c>
      <c r="K117" s="525"/>
      <c r="L117" s="527">
        <v>243.01981977569102</v>
      </c>
      <c r="M117" s="527">
        <v>4</v>
      </c>
      <c r="N117" s="528">
        <v>972.07927910276408</v>
      </c>
    </row>
    <row r="118" spans="1:14" ht="14.4" customHeight="1" x14ac:dyDescent="0.3">
      <c r="A118" s="523" t="s">
        <v>443</v>
      </c>
      <c r="B118" s="524" t="s">
        <v>445</v>
      </c>
      <c r="C118" s="525" t="s">
        <v>463</v>
      </c>
      <c r="D118" s="526" t="s">
        <v>464</v>
      </c>
      <c r="E118" s="525" t="s">
        <v>448</v>
      </c>
      <c r="F118" s="526" t="s">
        <v>449</v>
      </c>
      <c r="G118" s="525" t="s">
        <v>469</v>
      </c>
      <c r="H118" s="525" t="s">
        <v>584</v>
      </c>
      <c r="I118" s="525" t="s">
        <v>497</v>
      </c>
      <c r="J118" s="525" t="s">
        <v>585</v>
      </c>
      <c r="K118" s="525"/>
      <c r="L118" s="527">
        <v>1089.2091089395601</v>
      </c>
      <c r="M118" s="527">
        <v>1</v>
      </c>
      <c r="N118" s="528">
        <v>1089.2091089395601</v>
      </c>
    </row>
    <row r="119" spans="1:14" ht="14.4" customHeight="1" x14ac:dyDescent="0.3">
      <c r="A119" s="523" t="s">
        <v>443</v>
      </c>
      <c r="B119" s="524" t="s">
        <v>445</v>
      </c>
      <c r="C119" s="525" t="s">
        <v>463</v>
      </c>
      <c r="D119" s="526" t="s">
        <v>464</v>
      </c>
      <c r="E119" s="525" t="s">
        <v>448</v>
      </c>
      <c r="F119" s="526" t="s">
        <v>449</v>
      </c>
      <c r="G119" s="525" t="s">
        <v>469</v>
      </c>
      <c r="H119" s="525" t="s">
        <v>586</v>
      </c>
      <c r="I119" s="525" t="s">
        <v>497</v>
      </c>
      <c r="J119" s="525" t="s">
        <v>587</v>
      </c>
      <c r="K119" s="525"/>
      <c r="L119" s="527">
        <v>431.39</v>
      </c>
      <c r="M119" s="527">
        <v>1</v>
      </c>
      <c r="N119" s="528">
        <v>431.39</v>
      </c>
    </row>
    <row r="120" spans="1:14" ht="14.4" customHeight="1" x14ac:dyDescent="0.3">
      <c r="A120" s="523" t="s">
        <v>443</v>
      </c>
      <c r="B120" s="524" t="s">
        <v>445</v>
      </c>
      <c r="C120" s="525" t="s">
        <v>463</v>
      </c>
      <c r="D120" s="526" t="s">
        <v>464</v>
      </c>
      <c r="E120" s="525" t="s">
        <v>448</v>
      </c>
      <c r="F120" s="526" t="s">
        <v>449</v>
      </c>
      <c r="G120" s="525" t="s">
        <v>469</v>
      </c>
      <c r="H120" s="525" t="s">
        <v>594</v>
      </c>
      <c r="I120" s="525" t="s">
        <v>497</v>
      </c>
      <c r="J120" s="525" t="s">
        <v>595</v>
      </c>
      <c r="K120" s="525"/>
      <c r="L120" s="527">
        <v>285.09395960717774</v>
      </c>
      <c r="M120" s="527">
        <v>15</v>
      </c>
      <c r="N120" s="528">
        <v>4276.4093941076662</v>
      </c>
    </row>
    <row r="121" spans="1:14" ht="14.4" customHeight="1" x14ac:dyDescent="0.3">
      <c r="A121" s="523" t="s">
        <v>443</v>
      </c>
      <c r="B121" s="524" t="s">
        <v>445</v>
      </c>
      <c r="C121" s="525" t="s">
        <v>463</v>
      </c>
      <c r="D121" s="526" t="s">
        <v>464</v>
      </c>
      <c r="E121" s="525" t="s">
        <v>448</v>
      </c>
      <c r="F121" s="526" t="s">
        <v>449</v>
      </c>
      <c r="G121" s="525" t="s">
        <v>469</v>
      </c>
      <c r="H121" s="525" t="s">
        <v>596</v>
      </c>
      <c r="I121" s="525" t="s">
        <v>497</v>
      </c>
      <c r="J121" s="525" t="s">
        <v>597</v>
      </c>
      <c r="K121" s="525"/>
      <c r="L121" s="527">
        <v>705.79965105116969</v>
      </c>
      <c r="M121" s="527">
        <v>6</v>
      </c>
      <c r="N121" s="528">
        <v>4234.7979063070179</v>
      </c>
    </row>
    <row r="122" spans="1:14" ht="14.4" customHeight="1" x14ac:dyDescent="0.3">
      <c r="A122" s="523" t="s">
        <v>443</v>
      </c>
      <c r="B122" s="524" t="s">
        <v>445</v>
      </c>
      <c r="C122" s="525" t="s">
        <v>463</v>
      </c>
      <c r="D122" s="526" t="s">
        <v>464</v>
      </c>
      <c r="E122" s="525" t="s">
        <v>448</v>
      </c>
      <c r="F122" s="526" t="s">
        <v>449</v>
      </c>
      <c r="G122" s="525" t="s">
        <v>469</v>
      </c>
      <c r="H122" s="525" t="s">
        <v>749</v>
      </c>
      <c r="I122" s="525" t="s">
        <v>497</v>
      </c>
      <c r="J122" s="525" t="s">
        <v>750</v>
      </c>
      <c r="K122" s="525"/>
      <c r="L122" s="527">
        <v>72.75</v>
      </c>
      <c r="M122" s="527">
        <v>3</v>
      </c>
      <c r="N122" s="528">
        <v>218.25</v>
      </c>
    </row>
    <row r="123" spans="1:14" ht="14.4" customHeight="1" x14ac:dyDescent="0.3">
      <c r="A123" s="523" t="s">
        <v>443</v>
      </c>
      <c r="B123" s="524" t="s">
        <v>445</v>
      </c>
      <c r="C123" s="525" t="s">
        <v>463</v>
      </c>
      <c r="D123" s="526" t="s">
        <v>464</v>
      </c>
      <c r="E123" s="525" t="s">
        <v>452</v>
      </c>
      <c r="F123" s="526" t="s">
        <v>453</v>
      </c>
      <c r="G123" s="525" t="s">
        <v>469</v>
      </c>
      <c r="H123" s="525" t="s">
        <v>606</v>
      </c>
      <c r="I123" s="525" t="s">
        <v>607</v>
      </c>
      <c r="J123" s="525" t="s">
        <v>608</v>
      </c>
      <c r="K123" s="525" t="s">
        <v>609</v>
      </c>
      <c r="L123" s="527">
        <v>135.96285714285713</v>
      </c>
      <c r="M123" s="527">
        <v>14</v>
      </c>
      <c r="N123" s="528">
        <v>1903.48</v>
      </c>
    </row>
    <row r="124" spans="1:14" ht="14.4" customHeight="1" x14ac:dyDescent="0.3">
      <c r="A124" s="523" t="s">
        <v>443</v>
      </c>
      <c r="B124" s="524" t="s">
        <v>445</v>
      </c>
      <c r="C124" s="525" t="s">
        <v>463</v>
      </c>
      <c r="D124" s="526" t="s">
        <v>464</v>
      </c>
      <c r="E124" s="525" t="s">
        <v>452</v>
      </c>
      <c r="F124" s="526" t="s">
        <v>453</v>
      </c>
      <c r="G124" s="525" t="s">
        <v>469</v>
      </c>
      <c r="H124" s="525" t="s">
        <v>610</v>
      </c>
      <c r="I124" s="525" t="s">
        <v>611</v>
      </c>
      <c r="J124" s="525" t="s">
        <v>612</v>
      </c>
      <c r="K124" s="525" t="s">
        <v>613</v>
      </c>
      <c r="L124" s="527">
        <v>63.746657051676152</v>
      </c>
      <c r="M124" s="527">
        <v>6</v>
      </c>
      <c r="N124" s="528">
        <v>382.47994231005691</v>
      </c>
    </row>
    <row r="125" spans="1:14" ht="14.4" customHeight="1" x14ac:dyDescent="0.3">
      <c r="A125" s="523" t="s">
        <v>443</v>
      </c>
      <c r="B125" s="524" t="s">
        <v>445</v>
      </c>
      <c r="C125" s="525" t="s">
        <v>463</v>
      </c>
      <c r="D125" s="526" t="s">
        <v>464</v>
      </c>
      <c r="E125" s="525" t="s">
        <v>452</v>
      </c>
      <c r="F125" s="526" t="s">
        <v>453</v>
      </c>
      <c r="G125" s="525" t="s">
        <v>469</v>
      </c>
      <c r="H125" s="525" t="s">
        <v>614</v>
      </c>
      <c r="I125" s="525" t="s">
        <v>615</v>
      </c>
      <c r="J125" s="525" t="s">
        <v>616</v>
      </c>
      <c r="K125" s="525" t="s">
        <v>617</v>
      </c>
      <c r="L125" s="527">
        <v>70.459999999999994</v>
      </c>
      <c r="M125" s="527">
        <v>4</v>
      </c>
      <c r="N125" s="528">
        <v>281.83999999999997</v>
      </c>
    </row>
    <row r="126" spans="1:14" ht="14.4" customHeight="1" x14ac:dyDescent="0.3">
      <c r="A126" s="523" t="s">
        <v>443</v>
      </c>
      <c r="B126" s="524" t="s">
        <v>445</v>
      </c>
      <c r="C126" s="525" t="s">
        <v>463</v>
      </c>
      <c r="D126" s="526" t="s">
        <v>464</v>
      </c>
      <c r="E126" s="525" t="s">
        <v>452</v>
      </c>
      <c r="F126" s="526" t="s">
        <v>453</v>
      </c>
      <c r="G126" s="525" t="s">
        <v>469</v>
      </c>
      <c r="H126" s="525" t="s">
        <v>618</v>
      </c>
      <c r="I126" s="525" t="s">
        <v>619</v>
      </c>
      <c r="J126" s="525" t="s">
        <v>620</v>
      </c>
      <c r="K126" s="525" t="s">
        <v>621</v>
      </c>
      <c r="L126" s="527">
        <v>24.63</v>
      </c>
      <c r="M126" s="527">
        <v>1</v>
      </c>
      <c r="N126" s="528">
        <v>24.63</v>
      </c>
    </row>
    <row r="127" spans="1:14" ht="14.4" customHeight="1" x14ac:dyDescent="0.3">
      <c r="A127" s="523" t="s">
        <v>443</v>
      </c>
      <c r="B127" s="524" t="s">
        <v>445</v>
      </c>
      <c r="C127" s="525" t="s">
        <v>463</v>
      </c>
      <c r="D127" s="526" t="s">
        <v>464</v>
      </c>
      <c r="E127" s="525" t="s">
        <v>452</v>
      </c>
      <c r="F127" s="526" t="s">
        <v>453</v>
      </c>
      <c r="G127" s="525" t="s">
        <v>469</v>
      </c>
      <c r="H127" s="525" t="s">
        <v>622</v>
      </c>
      <c r="I127" s="525" t="s">
        <v>623</v>
      </c>
      <c r="J127" s="525" t="s">
        <v>624</v>
      </c>
      <c r="K127" s="525" t="s">
        <v>625</v>
      </c>
      <c r="L127" s="527">
        <v>53.131842865154802</v>
      </c>
      <c r="M127" s="527">
        <v>32</v>
      </c>
      <c r="N127" s="528">
        <v>1700.2189716849537</v>
      </c>
    </row>
    <row r="128" spans="1:14" ht="14.4" customHeight="1" x14ac:dyDescent="0.3">
      <c r="A128" s="523" t="s">
        <v>443</v>
      </c>
      <c r="B128" s="524" t="s">
        <v>445</v>
      </c>
      <c r="C128" s="525" t="s">
        <v>463</v>
      </c>
      <c r="D128" s="526" t="s">
        <v>464</v>
      </c>
      <c r="E128" s="525" t="s">
        <v>452</v>
      </c>
      <c r="F128" s="526" t="s">
        <v>453</v>
      </c>
      <c r="G128" s="525" t="s">
        <v>469</v>
      </c>
      <c r="H128" s="525" t="s">
        <v>751</v>
      </c>
      <c r="I128" s="525" t="s">
        <v>752</v>
      </c>
      <c r="J128" s="525" t="s">
        <v>753</v>
      </c>
      <c r="K128" s="525" t="s">
        <v>754</v>
      </c>
      <c r="L128" s="527">
        <v>67.069999999999993</v>
      </c>
      <c r="M128" s="527">
        <v>1</v>
      </c>
      <c r="N128" s="528">
        <v>67.069999999999993</v>
      </c>
    </row>
    <row r="129" spans="1:14" ht="14.4" customHeight="1" x14ac:dyDescent="0.3">
      <c r="A129" s="523" t="s">
        <v>443</v>
      </c>
      <c r="B129" s="524" t="s">
        <v>445</v>
      </c>
      <c r="C129" s="525" t="s">
        <v>463</v>
      </c>
      <c r="D129" s="526" t="s">
        <v>464</v>
      </c>
      <c r="E129" s="525" t="s">
        <v>452</v>
      </c>
      <c r="F129" s="526" t="s">
        <v>453</v>
      </c>
      <c r="G129" s="525" t="s">
        <v>626</v>
      </c>
      <c r="H129" s="525" t="s">
        <v>755</v>
      </c>
      <c r="I129" s="525" t="s">
        <v>756</v>
      </c>
      <c r="J129" s="525" t="s">
        <v>757</v>
      </c>
      <c r="K129" s="525" t="s">
        <v>758</v>
      </c>
      <c r="L129" s="527">
        <v>3768.26</v>
      </c>
      <c r="M129" s="527">
        <v>0.83333333333333404</v>
      </c>
      <c r="N129" s="528">
        <v>3140.2166666666694</v>
      </c>
    </row>
    <row r="130" spans="1:14" ht="14.4" customHeight="1" x14ac:dyDescent="0.3">
      <c r="A130" s="523" t="s">
        <v>443</v>
      </c>
      <c r="B130" s="524" t="s">
        <v>445</v>
      </c>
      <c r="C130" s="525" t="s">
        <v>463</v>
      </c>
      <c r="D130" s="526" t="s">
        <v>464</v>
      </c>
      <c r="E130" s="525" t="s">
        <v>452</v>
      </c>
      <c r="F130" s="526" t="s">
        <v>453</v>
      </c>
      <c r="G130" s="525" t="s">
        <v>626</v>
      </c>
      <c r="H130" s="525" t="s">
        <v>759</v>
      </c>
      <c r="I130" s="525" t="s">
        <v>760</v>
      </c>
      <c r="J130" s="525" t="s">
        <v>761</v>
      </c>
      <c r="K130" s="525" t="s">
        <v>762</v>
      </c>
      <c r="L130" s="527">
        <v>90.054059397345938</v>
      </c>
      <c r="M130" s="527">
        <v>3</v>
      </c>
      <c r="N130" s="528">
        <v>270.1621781920378</v>
      </c>
    </row>
    <row r="131" spans="1:14" ht="14.4" customHeight="1" x14ac:dyDescent="0.3">
      <c r="A131" s="523" t="s">
        <v>443</v>
      </c>
      <c r="B131" s="524" t="s">
        <v>445</v>
      </c>
      <c r="C131" s="525" t="s">
        <v>463</v>
      </c>
      <c r="D131" s="526" t="s">
        <v>464</v>
      </c>
      <c r="E131" s="525" t="s">
        <v>452</v>
      </c>
      <c r="F131" s="526" t="s">
        <v>453</v>
      </c>
      <c r="G131" s="525" t="s">
        <v>626</v>
      </c>
      <c r="H131" s="525" t="s">
        <v>763</v>
      </c>
      <c r="I131" s="525" t="s">
        <v>764</v>
      </c>
      <c r="J131" s="525" t="s">
        <v>765</v>
      </c>
      <c r="K131" s="525" t="s">
        <v>766</v>
      </c>
      <c r="L131" s="527">
        <v>449.09800000000007</v>
      </c>
      <c r="M131" s="527">
        <v>10</v>
      </c>
      <c r="N131" s="528">
        <v>4490.9800000000005</v>
      </c>
    </row>
    <row r="132" spans="1:14" ht="14.4" customHeight="1" x14ac:dyDescent="0.3">
      <c r="A132" s="523" t="s">
        <v>443</v>
      </c>
      <c r="B132" s="524" t="s">
        <v>445</v>
      </c>
      <c r="C132" s="525" t="s">
        <v>463</v>
      </c>
      <c r="D132" s="526" t="s">
        <v>464</v>
      </c>
      <c r="E132" s="525" t="s">
        <v>452</v>
      </c>
      <c r="F132" s="526" t="s">
        <v>453</v>
      </c>
      <c r="G132" s="525" t="s">
        <v>626</v>
      </c>
      <c r="H132" s="525" t="s">
        <v>767</v>
      </c>
      <c r="I132" s="525" t="s">
        <v>768</v>
      </c>
      <c r="J132" s="525" t="s">
        <v>769</v>
      </c>
      <c r="K132" s="525" t="s">
        <v>770</v>
      </c>
      <c r="L132" s="527">
        <v>106.87</v>
      </c>
      <c r="M132" s="527">
        <v>2</v>
      </c>
      <c r="N132" s="528">
        <v>213.74</v>
      </c>
    </row>
    <row r="133" spans="1:14" ht="14.4" customHeight="1" x14ac:dyDescent="0.3">
      <c r="A133" s="523" t="s">
        <v>443</v>
      </c>
      <c r="B133" s="524" t="s">
        <v>445</v>
      </c>
      <c r="C133" s="525" t="s">
        <v>463</v>
      </c>
      <c r="D133" s="526" t="s">
        <v>464</v>
      </c>
      <c r="E133" s="525" t="s">
        <v>452</v>
      </c>
      <c r="F133" s="526" t="s">
        <v>453</v>
      </c>
      <c r="G133" s="525" t="s">
        <v>626</v>
      </c>
      <c r="H133" s="525" t="s">
        <v>771</v>
      </c>
      <c r="I133" s="525" t="s">
        <v>772</v>
      </c>
      <c r="J133" s="525" t="s">
        <v>773</v>
      </c>
      <c r="K133" s="525" t="s">
        <v>774</v>
      </c>
      <c r="L133" s="527">
        <v>90.890224389052904</v>
      </c>
      <c r="M133" s="527">
        <v>1</v>
      </c>
      <c r="N133" s="528">
        <v>90.890224389052904</v>
      </c>
    </row>
    <row r="134" spans="1:14" ht="14.4" customHeight="1" x14ac:dyDescent="0.3">
      <c r="A134" s="523" t="s">
        <v>443</v>
      </c>
      <c r="B134" s="524" t="s">
        <v>445</v>
      </c>
      <c r="C134" s="525" t="s">
        <v>463</v>
      </c>
      <c r="D134" s="526" t="s">
        <v>464</v>
      </c>
      <c r="E134" s="525" t="s">
        <v>454</v>
      </c>
      <c r="F134" s="526" t="s">
        <v>455</v>
      </c>
      <c r="G134" s="525" t="s">
        <v>469</v>
      </c>
      <c r="H134" s="525" t="s">
        <v>634</v>
      </c>
      <c r="I134" s="525" t="s">
        <v>635</v>
      </c>
      <c r="J134" s="525" t="s">
        <v>636</v>
      </c>
      <c r="K134" s="525" t="s">
        <v>637</v>
      </c>
      <c r="L134" s="527">
        <v>88.875681050151044</v>
      </c>
      <c r="M134" s="527">
        <v>7</v>
      </c>
      <c r="N134" s="528">
        <v>622.12976735105735</v>
      </c>
    </row>
    <row r="135" spans="1:14" ht="14.4" customHeight="1" x14ac:dyDescent="0.3">
      <c r="A135" s="523" t="s">
        <v>443</v>
      </c>
      <c r="B135" s="524" t="s">
        <v>445</v>
      </c>
      <c r="C135" s="525" t="s">
        <v>465</v>
      </c>
      <c r="D135" s="526" t="s">
        <v>466</v>
      </c>
      <c r="E135" s="525" t="s">
        <v>446</v>
      </c>
      <c r="F135" s="526" t="s">
        <v>447</v>
      </c>
      <c r="G135" s="525"/>
      <c r="H135" s="525" t="s">
        <v>775</v>
      </c>
      <c r="I135" s="525" t="s">
        <v>776</v>
      </c>
      <c r="J135" s="525" t="s">
        <v>777</v>
      </c>
      <c r="K135" s="525"/>
      <c r="L135" s="527">
        <v>77.680346442364183</v>
      </c>
      <c r="M135" s="527">
        <v>70</v>
      </c>
      <c r="N135" s="528">
        <v>5437.624250965493</v>
      </c>
    </row>
    <row r="136" spans="1:14" ht="14.4" customHeight="1" x14ac:dyDescent="0.3">
      <c r="A136" s="523" t="s">
        <v>443</v>
      </c>
      <c r="B136" s="524" t="s">
        <v>445</v>
      </c>
      <c r="C136" s="525" t="s">
        <v>465</v>
      </c>
      <c r="D136" s="526" t="s">
        <v>466</v>
      </c>
      <c r="E136" s="525" t="s">
        <v>446</v>
      </c>
      <c r="F136" s="526" t="s">
        <v>447</v>
      </c>
      <c r="G136" s="525"/>
      <c r="H136" s="525" t="s">
        <v>778</v>
      </c>
      <c r="I136" s="525" t="s">
        <v>779</v>
      </c>
      <c r="J136" s="525" t="s">
        <v>780</v>
      </c>
      <c r="K136" s="525" t="s">
        <v>781</v>
      </c>
      <c r="L136" s="527">
        <v>108.03499183061274</v>
      </c>
      <c r="M136" s="527">
        <v>8</v>
      </c>
      <c r="N136" s="528">
        <v>864.27993464490191</v>
      </c>
    </row>
    <row r="137" spans="1:14" ht="14.4" customHeight="1" x14ac:dyDescent="0.3">
      <c r="A137" s="523" t="s">
        <v>443</v>
      </c>
      <c r="B137" s="524" t="s">
        <v>445</v>
      </c>
      <c r="C137" s="525" t="s">
        <v>465</v>
      </c>
      <c r="D137" s="526" t="s">
        <v>466</v>
      </c>
      <c r="E137" s="525" t="s">
        <v>446</v>
      </c>
      <c r="F137" s="526" t="s">
        <v>447</v>
      </c>
      <c r="G137" s="525" t="s">
        <v>469</v>
      </c>
      <c r="H137" s="525" t="s">
        <v>470</v>
      </c>
      <c r="I137" s="525" t="s">
        <v>470</v>
      </c>
      <c r="J137" s="525" t="s">
        <v>471</v>
      </c>
      <c r="K137" s="525" t="s">
        <v>472</v>
      </c>
      <c r="L137" s="527">
        <v>259.44023768828606</v>
      </c>
      <c r="M137" s="527">
        <v>49</v>
      </c>
      <c r="N137" s="528">
        <v>12712.571646726017</v>
      </c>
    </row>
    <row r="138" spans="1:14" ht="14.4" customHeight="1" x14ac:dyDescent="0.3">
      <c r="A138" s="523" t="s">
        <v>443</v>
      </c>
      <c r="B138" s="524" t="s">
        <v>445</v>
      </c>
      <c r="C138" s="525" t="s">
        <v>465</v>
      </c>
      <c r="D138" s="526" t="s">
        <v>466</v>
      </c>
      <c r="E138" s="525" t="s">
        <v>446</v>
      </c>
      <c r="F138" s="526" t="s">
        <v>447</v>
      </c>
      <c r="G138" s="525" t="s">
        <v>469</v>
      </c>
      <c r="H138" s="525" t="s">
        <v>782</v>
      </c>
      <c r="I138" s="525" t="s">
        <v>782</v>
      </c>
      <c r="J138" s="525" t="s">
        <v>783</v>
      </c>
      <c r="K138" s="525" t="s">
        <v>784</v>
      </c>
      <c r="L138" s="527">
        <v>181.58947422124129</v>
      </c>
      <c r="M138" s="527">
        <v>7</v>
      </c>
      <c r="N138" s="528">
        <v>1271.126319548689</v>
      </c>
    </row>
    <row r="139" spans="1:14" ht="14.4" customHeight="1" x14ac:dyDescent="0.3">
      <c r="A139" s="523" t="s">
        <v>443</v>
      </c>
      <c r="B139" s="524" t="s">
        <v>445</v>
      </c>
      <c r="C139" s="525" t="s">
        <v>465</v>
      </c>
      <c r="D139" s="526" t="s">
        <v>466</v>
      </c>
      <c r="E139" s="525" t="s">
        <v>446</v>
      </c>
      <c r="F139" s="526" t="s">
        <v>447</v>
      </c>
      <c r="G139" s="525" t="s">
        <v>469</v>
      </c>
      <c r="H139" s="525" t="s">
        <v>642</v>
      </c>
      <c r="I139" s="525" t="s">
        <v>642</v>
      </c>
      <c r="J139" s="525" t="s">
        <v>643</v>
      </c>
      <c r="K139" s="525" t="s">
        <v>644</v>
      </c>
      <c r="L139" s="527">
        <v>259.44184139699934</v>
      </c>
      <c r="M139" s="527">
        <v>6</v>
      </c>
      <c r="N139" s="528">
        <v>1556.6510483819961</v>
      </c>
    </row>
    <row r="140" spans="1:14" ht="14.4" customHeight="1" x14ac:dyDescent="0.3">
      <c r="A140" s="523" t="s">
        <v>443</v>
      </c>
      <c r="B140" s="524" t="s">
        <v>445</v>
      </c>
      <c r="C140" s="525" t="s">
        <v>465</v>
      </c>
      <c r="D140" s="526" t="s">
        <v>466</v>
      </c>
      <c r="E140" s="525" t="s">
        <v>446</v>
      </c>
      <c r="F140" s="526" t="s">
        <v>447</v>
      </c>
      <c r="G140" s="525" t="s">
        <v>469</v>
      </c>
      <c r="H140" s="525" t="s">
        <v>785</v>
      </c>
      <c r="I140" s="525" t="s">
        <v>785</v>
      </c>
      <c r="J140" s="525" t="s">
        <v>471</v>
      </c>
      <c r="K140" s="525" t="s">
        <v>786</v>
      </c>
      <c r="L140" s="527">
        <v>145.9389948225955</v>
      </c>
      <c r="M140" s="527">
        <v>27</v>
      </c>
      <c r="N140" s="528">
        <v>3940.3528602100787</v>
      </c>
    </row>
    <row r="141" spans="1:14" ht="14.4" customHeight="1" x14ac:dyDescent="0.3">
      <c r="A141" s="523" t="s">
        <v>443</v>
      </c>
      <c r="B141" s="524" t="s">
        <v>445</v>
      </c>
      <c r="C141" s="525" t="s">
        <v>465</v>
      </c>
      <c r="D141" s="526" t="s">
        <v>466</v>
      </c>
      <c r="E141" s="525" t="s">
        <v>446</v>
      </c>
      <c r="F141" s="526" t="s">
        <v>447</v>
      </c>
      <c r="G141" s="525" t="s">
        <v>469</v>
      </c>
      <c r="H141" s="525" t="s">
        <v>787</v>
      </c>
      <c r="I141" s="525" t="s">
        <v>788</v>
      </c>
      <c r="J141" s="525" t="s">
        <v>789</v>
      </c>
      <c r="K141" s="525" t="s">
        <v>790</v>
      </c>
      <c r="L141" s="527">
        <v>40.07</v>
      </c>
      <c r="M141" s="527">
        <v>1</v>
      </c>
      <c r="N141" s="528">
        <v>40.07</v>
      </c>
    </row>
    <row r="142" spans="1:14" ht="14.4" customHeight="1" x14ac:dyDescent="0.3">
      <c r="A142" s="523" t="s">
        <v>443</v>
      </c>
      <c r="B142" s="524" t="s">
        <v>445</v>
      </c>
      <c r="C142" s="525" t="s">
        <v>465</v>
      </c>
      <c r="D142" s="526" t="s">
        <v>466</v>
      </c>
      <c r="E142" s="525" t="s">
        <v>446</v>
      </c>
      <c r="F142" s="526" t="s">
        <v>447</v>
      </c>
      <c r="G142" s="525" t="s">
        <v>469</v>
      </c>
      <c r="H142" s="525" t="s">
        <v>473</v>
      </c>
      <c r="I142" s="525" t="s">
        <v>474</v>
      </c>
      <c r="J142" s="525" t="s">
        <v>475</v>
      </c>
      <c r="K142" s="525" t="s">
        <v>476</v>
      </c>
      <c r="L142" s="527">
        <v>84.461088106999867</v>
      </c>
      <c r="M142" s="527">
        <v>18</v>
      </c>
      <c r="N142" s="528">
        <v>1520.2995859259977</v>
      </c>
    </row>
    <row r="143" spans="1:14" ht="14.4" customHeight="1" x14ac:dyDescent="0.3">
      <c r="A143" s="523" t="s">
        <v>443</v>
      </c>
      <c r="B143" s="524" t="s">
        <v>445</v>
      </c>
      <c r="C143" s="525" t="s">
        <v>465</v>
      </c>
      <c r="D143" s="526" t="s">
        <v>466</v>
      </c>
      <c r="E143" s="525" t="s">
        <v>446</v>
      </c>
      <c r="F143" s="526" t="s">
        <v>447</v>
      </c>
      <c r="G143" s="525" t="s">
        <v>469</v>
      </c>
      <c r="H143" s="525" t="s">
        <v>791</v>
      </c>
      <c r="I143" s="525" t="s">
        <v>792</v>
      </c>
      <c r="J143" s="525" t="s">
        <v>793</v>
      </c>
      <c r="K143" s="525" t="s">
        <v>794</v>
      </c>
      <c r="L143" s="527">
        <v>94.881071872042142</v>
      </c>
      <c r="M143" s="527">
        <v>96</v>
      </c>
      <c r="N143" s="528">
        <v>9108.5828997160461</v>
      </c>
    </row>
    <row r="144" spans="1:14" ht="14.4" customHeight="1" x14ac:dyDescent="0.3">
      <c r="A144" s="523" t="s">
        <v>443</v>
      </c>
      <c r="B144" s="524" t="s">
        <v>445</v>
      </c>
      <c r="C144" s="525" t="s">
        <v>465</v>
      </c>
      <c r="D144" s="526" t="s">
        <v>466</v>
      </c>
      <c r="E144" s="525" t="s">
        <v>446</v>
      </c>
      <c r="F144" s="526" t="s">
        <v>447</v>
      </c>
      <c r="G144" s="525" t="s">
        <v>469</v>
      </c>
      <c r="H144" s="525" t="s">
        <v>795</v>
      </c>
      <c r="I144" s="525" t="s">
        <v>796</v>
      </c>
      <c r="J144" s="525" t="s">
        <v>513</v>
      </c>
      <c r="K144" s="525" t="s">
        <v>797</v>
      </c>
      <c r="L144" s="527">
        <v>169.11878491131799</v>
      </c>
      <c r="M144" s="527">
        <v>3</v>
      </c>
      <c r="N144" s="528">
        <v>507.35635473395394</v>
      </c>
    </row>
    <row r="145" spans="1:14" ht="14.4" customHeight="1" x14ac:dyDescent="0.3">
      <c r="A145" s="523" t="s">
        <v>443</v>
      </c>
      <c r="B145" s="524" t="s">
        <v>445</v>
      </c>
      <c r="C145" s="525" t="s">
        <v>465</v>
      </c>
      <c r="D145" s="526" t="s">
        <v>466</v>
      </c>
      <c r="E145" s="525" t="s">
        <v>446</v>
      </c>
      <c r="F145" s="526" t="s">
        <v>447</v>
      </c>
      <c r="G145" s="525" t="s">
        <v>469</v>
      </c>
      <c r="H145" s="525" t="s">
        <v>477</v>
      </c>
      <c r="I145" s="525" t="s">
        <v>478</v>
      </c>
      <c r="J145" s="525" t="s">
        <v>479</v>
      </c>
      <c r="K145" s="525" t="s">
        <v>480</v>
      </c>
      <c r="L145" s="527">
        <v>74.215999966743169</v>
      </c>
      <c r="M145" s="527">
        <v>5</v>
      </c>
      <c r="N145" s="528">
        <v>371.07999983371587</v>
      </c>
    </row>
    <row r="146" spans="1:14" ht="14.4" customHeight="1" x14ac:dyDescent="0.3">
      <c r="A146" s="523" t="s">
        <v>443</v>
      </c>
      <c r="B146" s="524" t="s">
        <v>445</v>
      </c>
      <c r="C146" s="525" t="s">
        <v>465</v>
      </c>
      <c r="D146" s="526" t="s">
        <v>466</v>
      </c>
      <c r="E146" s="525" t="s">
        <v>446</v>
      </c>
      <c r="F146" s="526" t="s">
        <v>447</v>
      </c>
      <c r="G146" s="525" t="s">
        <v>469</v>
      </c>
      <c r="H146" s="525" t="s">
        <v>481</v>
      </c>
      <c r="I146" s="525" t="s">
        <v>482</v>
      </c>
      <c r="J146" s="525" t="s">
        <v>483</v>
      </c>
      <c r="K146" s="525" t="s">
        <v>484</v>
      </c>
      <c r="L146" s="527">
        <v>60.13720163463347</v>
      </c>
      <c r="M146" s="527">
        <v>74</v>
      </c>
      <c r="N146" s="528">
        <v>4450.152920962877</v>
      </c>
    </row>
    <row r="147" spans="1:14" ht="14.4" customHeight="1" x14ac:dyDescent="0.3">
      <c r="A147" s="523" t="s">
        <v>443</v>
      </c>
      <c r="B147" s="524" t="s">
        <v>445</v>
      </c>
      <c r="C147" s="525" t="s">
        <v>465</v>
      </c>
      <c r="D147" s="526" t="s">
        <v>466</v>
      </c>
      <c r="E147" s="525" t="s">
        <v>446</v>
      </c>
      <c r="F147" s="526" t="s">
        <v>447</v>
      </c>
      <c r="G147" s="525" t="s">
        <v>469</v>
      </c>
      <c r="H147" s="525" t="s">
        <v>798</v>
      </c>
      <c r="I147" s="525" t="s">
        <v>799</v>
      </c>
      <c r="J147" s="525" t="s">
        <v>800</v>
      </c>
      <c r="K147" s="525" t="s">
        <v>488</v>
      </c>
      <c r="L147" s="527">
        <v>88.58</v>
      </c>
      <c r="M147" s="527">
        <v>2</v>
      </c>
      <c r="N147" s="528">
        <v>177.16</v>
      </c>
    </row>
    <row r="148" spans="1:14" ht="14.4" customHeight="1" x14ac:dyDescent="0.3">
      <c r="A148" s="523" t="s">
        <v>443</v>
      </c>
      <c r="B148" s="524" t="s">
        <v>445</v>
      </c>
      <c r="C148" s="525" t="s">
        <v>465</v>
      </c>
      <c r="D148" s="526" t="s">
        <v>466</v>
      </c>
      <c r="E148" s="525" t="s">
        <v>446</v>
      </c>
      <c r="F148" s="526" t="s">
        <v>447</v>
      </c>
      <c r="G148" s="525" t="s">
        <v>469</v>
      </c>
      <c r="H148" s="525" t="s">
        <v>801</v>
      </c>
      <c r="I148" s="525" t="s">
        <v>802</v>
      </c>
      <c r="J148" s="525" t="s">
        <v>483</v>
      </c>
      <c r="K148" s="525" t="s">
        <v>803</v>
      </c>
      <c r="L148" s="527">
        <v>65.23</v>
      </c>
      <c r="M148" s="527">
        <v>1</v>
      </c>
      <c r="N148" s="528">
        <v>65.23</v>
      </c>
    </row>
    <row r="149" spans="1:14" ht="14.4" customHeight="1" x14ac:dyDescent="0.3">
      <c r="A149" s="523" t="s">
        <v>443</v>
      </c>
      <c r="B149" s="524" t="s">
        <v>445</v>
      </c>
      <c r="C149" s="525" t="s">
        <v>465</v>
      </c>
      <c r="D149" s="526" t="s">
        <v>466</v>
      </c>
      <c r="E149" s="525" t="s">
        <v>446</v>
      </c>
      <c r="F149" s="526" t="s">
        <v>447</v>
      </c>
      <c r="G149" s="525" t="s">
        <v>469</v>
      </c>
      <c r="H149" s="525" t="s">
        <v>804</v>
      </c>
      <c r="I149" s="525" t="s">
        <v>805</v>
      </c>
      <c r="J149" s="525" t="s">
        <v>806</v>
      </c>
      <c r="K149" s="525" t="s">
        <v>488</v>
      </c>
      <c r="L149" s="527">
        <v>30.79995027635977</v>
      </c>
      <c r="M149" s="527">
        <v>7</v>
      </c>
      <c r="N149" s="528">
        <v>215.59965193451839</v>
      </c>
    </row>
    <row r="150" spans="1:14" ht="14.4" customHeight="1" x14ac:dyDescent="0.3">
      <c r="A150" s="523" t="s">
        <v>443</v>
      </c>
      <c r="B150" s="524" t="s">
        <v>445</v>
      </c>
      <c r="C150" s="525" t="s">
        <v>465</v>
      </c>
      <c r="D150" s="526" t="s">
        <v>466</v>
      </c>
      <c r="E150" s="525" t="s">
        <v>446</v>
      </c>
      <c r="F150" s="526" t="s">
        <v>447</v>
      </c>
      <c r="G150" s="525" t="s">
        <v>469</v>
      </c>
      <c r="H150" s="525" t="s">
        <v>807</v>
      </c>
      <c r="I150" s="525" t="s">
        <v>808</v>
      </c>
      <c r="J150" s="525" t="s">
        <v>809</v>
      </c>
      <c r="K150" s="525" t="s">
        <v>810</v>
      </c>
      <c r="L150" s="527">
        <v>27.360295398647427</v>
      </c>
      <c r="M150" s="527">
        <v>58</v>
      </c>
      <c r="N150" s="528">
        <v>1586.8971331215507</v>
      </c>
    </row>
    <row r="151" spans="1:14" ht="14.4" customHeight="1" x14ac:dyDescent="0.3">
      <c r="A151" s="523" t="s">
        <v>443</v>
      </c>
      <c r="B151" s="524" t="s">
        <v>445</v>
      </c>
      <c r="C151" s="525" t="s">
        <v>465</v>
      </c>
      <c r="D151" s="526" t="s">
        <v>466</v>
      </c>
      <c r="E151" s="525" t="s">
        <v>446</v>
      </c>
      <c r="F151" s="526" t="s">
        <v>447</v>
      </c>
      <c r="G151" s="525" t="s">
        <v>469</v>
      </c>
      <c r="H151" s="525" t="s">
        <v>811</v>
      </c>
      <c r="I151" s="525" t="s">
        <v>812</v>
      </c>
      <c r="J151" s="525" t="s">
        <v>813</v>
      </c>
      <c r="K151" s="525" t="s">
        <v>814</v>
      </c>
      <c r="L151" s="527">
        <v>121.06784491171372</v>
      </c>
      <c r="M151" s="527">
        <v>69</v>
      </c>
      <c r="N151" s="528">
        <v>8353.6812989082464</v>
      </c>
    </row>
    <row r="152" spans="1:14" ht="14.4" customHeight="1" x14ac:dyDescent="0.3">
      <c r="A152" s="523" t="s">
        <v>443</v>
      </c>
      <c r="B152" s="524" t="s">
        <v>445</v>
      </c>
      <c r="C152" s="525" t="s">
        <v>465</v>
      </c>
      <c r="D152" s="526" t="s">
        <v>466</v>
      </c>
      <c r="E152" s="525" t="s">
        <v>446</v>
      </c>
      <c r="F152" s="526" t="s">
        <v>447</v>
      </c>
      <c r="G152" s="525" t="s">
        <v>469</v>
      </c>
      <c r="H152" s="525" t="s">
        <v>489</v>
      </c>
      <c r="I152" s="525" t="s">
        <v>490</v>
      </c>
      <c r="J152" s="525" t="s">
        <v>491</v>
      </c>
      <c r="K152" s="525" t="s">
        <v>488</v>
      </c>
      <c r="L152" s="527">
        <v>67.28</v>
      </c>
      <c r="M152" s="527">
        <v>2</v>
      </c>
      <c r="N152" s="528">
        <v>134.56</v>
      </c>
    </row>
    <row r="153" spans="1:14" ht="14.4" customHeight="1" x14ac:dyDescent="0.3">
      <c r="A153" s="523" t="s">
        <v>443</v>
      </c>
      <c r="B153" s="524" t="s">
        <v>445</v>
      </c>
      <c r="C153" s="525" t="s">
        <v>465</v>
      </c>
      <c r="D153" s="526" t="s">
        <v>466</v>
      </c>
      <c r="E153" s="525" t="s">
        <v>446</v>
      </c>
      <c r="F153" s="526" t="s">
        <v>447</v>
      </c>
      <c r="G153" s="525" t="s">
        <v>469</v>
      </c>
      <c r="H153" s="525" t="s">
        <v>815</v>
      </c>
      <c r="I153" s="525" t="s">
        <v>816</v>
      </c>
      <c r="J153" s="525" t="s">
        <v>817</v>
      </c>
      <c r="K153" s="525" t="s">
        <v>818</v>
      </c>
      <c r="L153" s="527">
        <v>122.98</v>
      </c>
      <c r="M153" s="527">
        <v>1</v>
      </c>
      <c r="N153" s="528">
        <v>122.98</v>
      </c>
    </row>
    <row r="154" spans="1:14" ht="14.4" customHeight="1" x14ac:dyDescent="0.3">
      <c r="A154" s="523" t="s">
        <v>443</v>
      </c>
      <c r="B154" s="524" t="s">
        <v>445</v>
      </c>
      <c r="C154" s="525" t="s">
        <v>465</v>
      </c>
      <c r="D154" s="526" t="s">
        <v>466</v>
      </c>
      <c r="E154" s="525" t="s">
        <v>446</v>
      </c>
      <c r="F154" s="526" t="s">
        <v>447</v>
      </c>
      <c r="G154" s="525" t="s">
        <v>469</v>
      </c>
      <c r="H154" s="525" t="s">
        <v>819</v>
      </c>
      <c r="I154" s="525" t="s">
        <v>820</v>
      </c>
      <c r="J154" s="525" t="s">
        <v>821</v>
      </c>
      <c r="K154" s="525" t="s">
        <v>822</v>
      </c>
      <c r="L154" s="527">
        <v>411.93937057534396</v>
      </c>
      <c r="M154" s="527">
        <v>6</v>
      </c>
      <c r="N154" s="528">
        <v>2471.6362234520639</v>
      </c>
    </row>
    <row r="155" spans="1:14" ht="14.4" customHeight="1" x14ac:dyDescent="0.3">
      <c r="A155" s="523" t="s">
        <v>443</v>
      </c>
      <c r="B155" s="524" t="s">
        <v>445</v>
      </c>
      <c r="C155" s="525" t="s">
        <v>465</v>
      </c>
      <c r="D155" s="526" t="s">
        <v>466</v>
      </c>
      <c r="E155" s="525" t="s">
        <v>446</v>
      </c>
      <c r="F155" s="526" t="s">
        <v>447</v>
      </c>
      <c r="G155" s="525" t="s">
        <v>469</v>
      </c>
      <c r="H155" s="525" t="s">
        <v>823</v>
      </c>
      <c r="I155" s="525" t="s">
        <v>823</v>
      </c>
      <c r="J155" s="525" t="s">
        <v>824</v>
      </c>
      <c r="K155" s="525" t="s">
        <v>825</v>
      </c>
      <c r="L155" s="527">
        <v>38.151148692671725</v>
      </c>
      <c r="M155" s="527">
        <v>39</v>
      </c>
      <c r="N155" s="528">
        <v>1487.8947990141974</v>
      </c>
    </row>
    <row r="156" spans="1:14" ht="14.4" customHeight="1" x14ac:dyDescent="0.3">
      <c r="A156" s="523" t="s">
        <v>443</v>
      </c>
      <c r="B156" s="524" t="s">
        <v>445</v>
      </c>
      <c r="C156" s="525" t="s">
        <v>465</v>
      </c>
      <c r="D156" s="526" t="s">
        <v>466</v>
      </c>
      <c r="E156" s="525" t="s">
        <v>446</v>
      </c>
      <c r="F156" s="526" t="s">
        <v>447</v>
      </c>
      <c r="G156" s="525" t="s">
        <v>469</v>
      </c>
      <c r="H156" s="525" t="s">
        <v>826</v>
      </c>
      <c r="I156" s="525" t="s">
        <v>826</v>
      </c>
      <c r="J156" s="525" t="s">
        <v>827</v>
      </c>
      <c r="K156" s="525" t="s">
        <v>828</v>
      </c>
      <c r="L156" s="527">
        <v>604.62129736636462</v>
      </c>
      <c r="M156" s="527">
        <v>6.6</v>
      </c>
      <c r="N156" s="528">
        <v>3990.5005626180064</v>
      </c>
    </row>
    <row r="157" spans="1:14" ht="14.4" customHeight="1" x14ac:dyDescent="0.3">
      <c r="A157" s="523" t="s">
        <v>443</v>
      </c>
      <c r="B157" s="524" t="s">
        <v>445</v>
      </c>
      <c r="C157" s="525" t="s">
        <v>465</v>
      </c>
      <c r="D157" s="526" t="s">
        <v>466</v>
      </c>
      <c r="E157" s="525" t="s">
        <v>446</v>
      </c>
      <c r="F157" s="526" t="s">
        <v>447</v>
      </c>
      <c r="G157" s="525" t="s">
        <v>469</v>
      </c>
      <c r="H157" s="525" t="s">
        <v>829</v>
      </c>
      <c r="I157" s="525" t="s">
        <v>830</v>
      </c>
      <c r="J157" s="525" t="s">
        <v>831</v>
      </c>
      <c r="K157" s="525" t="s">
        <v>825</v>
      </c>
      <c r="L157" s="527">
        <v>38.25426083884836</v>
      </c>
      <c r="M157" s="527">
        <v>33</v>
      </c>
      <c r="N157" s="528">
        <v>1262.3906076819958</v>
      </c>
    </row>
    <row r="158" spans="1:14" ht="14.4" customHeight="1" x14ac:dyDescent="0.3">
      <c r="A158" s="523" t="s">
        <v>443</v>
      </c>
      <c r="B158" s="524" t="s">
        <v>445</v>
      </c>
      <c r="C158" s="525" t="s">
        <v>465</v>
      </c>
      <c r="D158" s="526" t="s">
        <v>466</v>
      </c>
      <c r="E158" s="525" t="s">
        <v>446</v>
      </c>
      <c r="F158" s="526" t="s">
        <v>447</v>
      </c>
      <c r="G158" s="525" t="s">
        <v>469</v>
      </c>
      <c r="H158" s="525" t="s">
        <v>832</v>
      </c>
      <c r="I158" s="525" t="s">
        <v>833</v>
      </c>
      <c r="J158" s="525" t="s">
        <v>834</v>
      </c>
      <c r="K158" s="525" t="s">
        <v>835</v>
      </c>
      <c r="L158" s="527">
        <v>339.62</v>
      </c>
      <c r="M158" s="527">
        <v>1</v>
      </c>
      <c r="N158" s="528">
        <v>339.62</v>
      </c>
    </row>
    <row r="159" spans="1:14" ht="14.4" customHeight="1" x14ac:dyDescent="0.3">
      <c r="A159" s="523" t="s">
        <v>443</v>
      </c>
      <c r="B159" s="524" t="s">
        <v>445</v>
      </c>
      <c r="C159" s="525" t="s">
        <v>465</v>
      </c>
      <c r="D159" s="526" t="s">
        <v>466</v>
      </c>
      <c r="E159" s="525" t="s">
        <v>446</v>
      </c>
      <c r="F159" s="526" t="s">
        <v>447</v>
      </c>
      <c r="G159" s="525" t="s">
        <v>469</v>
      </c>
      <c r="H159" s="525" t="s">
        <v>836</v>
      </c>
      <c r="I159" s="525" t="s">
        <v>837</v>
      </c>
      <c r="J159" s="525" t="s">
        <v>838</v>
      </c>
      <c r="K159" s="525" t="s">
        <v>839</v>
      </c>
      <c r="L159" s="527">
        <v>332.41690391947515</v>
      </c>
      <c r="M159" s="527">
        <v>55</v>
      </c>
      <c r="N159" s="528">
        <v>18282.929715571132</v>
      </c>
    </row>
    <row r="160" spans="1:14" ht="14.4" customHeight="1" x14ac:dyDescent="0.3">
      <c r="A160" s="523" t="s">
        <v>443</v>
      </c>
      <c r="B160" s="524" t="s">
        <v>445</v>
      </c>
      <c r="C160" s="525" t="s">
        <v>465</v>
      </c>
      <c r="D160" s="526" t="s">
        <v>466</v>
      </c>
      <c r="E160" s="525" t="s">
        <v>446</v>
      </c>
      <c r="F160" s="526" t="s">
        <v>447</v>
      </c>
      <c r="G160" s="525" t="s">
        <v>469</v>
      </c>
      <c r="H160" s="525" t="s">
        <v>645</v>
      </c>
      <c r="I160" s="525" t="s">
        <v>646</v>
      </c>
      <c r="J160" s="525" t="s">
        <v>647</v>
      </c>
      <c r="K160" s="525" t="s">
        <v>648</v>
      </c>
      <c r="L160" s="527">
        <v>259.44</v>
      </c>
      <c r="M160" s="527">
        <v>3</v>
      </c>
      <c r="N160" s="528">
        <v>778.31999999999994</v>
      </c>
    </row>
    <row r="161" spans="1:14" ht="14.4" customHeight="1" x14ac:dyDescent="0.3">
      <c r="A161" s="523" t="s">
        <v>443</v>
      </c>
      <c r="B161" s="524" t="s">
        <v>445</v>
      </c>
      <c r="C161" s="525" t="s">
        <v>465</v>
      </c>
      <c r="D161" s="526" t="s">
        <v>466</v>
      </c>
      <c r="E161" s="525" t="s">
        <v>446</v>
      </c>
      <c r="F161" s="526" t="s">
        <v>447</v>
      </c>
      <c r="G161" s="525" t="s">
        <v>469</v>
      </c>
      <c r="H161" s="525" t="s">
        <v>492</v>
      </c>
      <c r="I161" s="525" t="s">
        <v>493</v>
      </c>
      <c r="J161" s="525" t="s">
        <v>494</v>
      </c>
      <c r="K161" s="525" t="s">
        <v>495</v>
      </c>
      <c r="L161" s="527">
        <v>39.491997840892623</v>
      </c>
      <c r="M161" s="527">
        <v>10</v>
      </c>
      <c r="N161" s="528">
        <v>394.91997840892623</v>
      </c>
    </row>
    <row r="162" spans="1:14" ht="14.4" customHeight="1" x14ac:dyDescent="0.3">
      <c r="A162" s="523" t="s">
        <v>443</v>
      </c>
      <c r="B162" s="524" t="s">
        <v>445</v>
      </c>
      <c r="C162" s="525" t="s">
        <v>465</v>
      </c>
      <c r="D162" s="526" t="s">
        <v>466</v>
      </c>
      <c r="E162" s="525" t="s">
        <v>446</v>
      </c>
      <c r="F162" s="526" t="s">
        <v>447</v>
      </c>
      <c r="G162" s="525" t="s">
        <v>469</v>
      </c>
      <c r="H162" s="525" t="s">
        <v>840</v>
      </c>
      <c r="I162" s="525" t="s">
        <v>841</v>
      </c>
      <c r="J162" s="525" t="s">
        <v>842</v>
      </c>
      <c r="K162" s="525" t="s">
        <v>843</v>
      </c>
      <c r="L162" s="527">
        <v>36.370110976965599</v>
      </c>
      <c r="M162" s="527">
        <v>1</v>
      </c>
      <c r="N162" s="528">
        <v>36.370110976965599</v>
      </c>
    </row>
    <row r="163" spans="1:14" ht="14.4" customHeight="1" x14ac:dyDescent="0.3">
      <c r="A163" s="523" t="s">
        <v>443</v>
      </c>
      <c r="B163" s="524" t="s">
        <v>445</v>
      </c>
      <c r="C163" s="525" t="s">
        <v>465</v>
      </c>
      <c r="D163" s="526" t="s">
        <v>466</v>
      </c>
      <c r="E163" s="525" t="s">
        <v>446</v>
      </c>
      <c r="F163" s="526" t="s">
        <v>447</v>
      </c>
      <c r="G163" s="525" t="s">
        <v>469</v>
      </c>
      <c r="H163" s="525" t="s">
        <v>844</v>
      </c>
      <c r="I163" s="525" t="s">
        <v>845</v>
      </c>
      <c r="J163" s="525" t="s">
        <v>656</v>
      </c>
      <c r="K163" s="525" t="s">
        <v>846</v>
      </c>
      <c r="L163" s="527">
        <v>151.2499906176495</v>
      </c>
      <c r="M163" s="527">
        <v>2</v>
      </c>
      <c r="N163" s="528">
        <v>302.499981235299</v>
      </c>
    </row>
    <row r="164" spans="1:14" ht="14.4" customHeight="1" x14ac:dyDescent="0.3">
      <c r="A164" s="523" t="s">
        <v>443</v>
      </c>
      <c r="B164" s="524" t="s">
        <v>445</v>
      </c>
      <c r="C164" s="525" t="s">
        <v>465</v>
      </c>
      <c r="D164" s="526" t="s">
        <v>466</v>
      </c>
      <c r="E164" s="525" t="s">
        <v>446</v>
      </c>
      <c r="F164" s="526" t="s">
        <v>447</v>
      </c>
      <c r="G164" s="525" t="s">
        <v>469</v>
      </c>
      <c r="H164" s="525" t="s">
        <v>847</v>
      </c>
      <c r="I164" s="525" t="s">
        <v>848</v>
      </c>
      <c r="J164" s="525" t="s">
        <v>656</v>
      </c>
      <c r="K164" s="525" t="s">
        <v>849</v>
      </c>
      <c r="L164" s="527">
        <v>75.239873887826533</v>
      </c>
      <c r="M164" s="527">
        <v>3</v>
      </c>
      <c r="N164" s="528">
        <v>225.71962166347959</v>
      </c>
    </row>
    <row r="165" spans="1:14" ht="14.4" customHeight="1" x14ac:dyDescent="0.3">
      <c r="A165" s="523" t="s">
        <v>443</v>
      </c>
      <c r="B165" s="524" t="s">
        <v>445</v>
      </c>
      <c r="C165" s="525" t="s">
        <v>465</v>
      </c>
      <c r="D165" s="526" t="s">
        <v>466</v>
      </c>
      <c r="E165" s="525" t="s">
        <v>446</v>
      </c>
      <c r="F165" s="526" t="s">
        <v>447</v>
      </c>
      <c r="G165" s="525" t="s">
        <v>469</v>
      </c>
      <c r="H165" s="525" t="s">
        <v>850</v>
      </c>
      <c r="I165" s="525" t="s">
        <v>851</v>
      </c>
      <c r="J165" s="525" t="s">
        <v>852</v>
      </c>
      <c r="K165" s="525" t="s">
        <v>853</v>
      </c>
      <c r="L165" s="527">
        <v>87.649999999999906</v>
      </c>
      <c r="M165" s="527">
        <v>1</v>
      </c>
      <c r="N165" s="528">
        <v>87.649999999999906</v>
      </c>
    </row>
    <row r="166" spans="1:14" ht="14.4" customHeight="1" x14ac:dyDescent="0.3">
      <c r="A166" s="523" t="s">
        <v>443</v>
      </c>
      <c r="B166" s="524" t="s">
        <v>445</v>
      </c>
      <c r="C166" s="525" t="s">
        <v>465</v>
      </c>
      <c r="D166" s="526" t="s">
        <v>466</v>
      </c>
      <c r="E166" s="525" t="s">
        <v>446</v>
      </c>
      <c r="F166" s="526" t="s">
        <v>447</v>
      </c>
      <c r="G166" s="525" t="s">
        <v>469</v>
      </c>
      <c r="H166" s="525" t="s">
        <v>854</v>
      </c>
      <c r="I166" s="525" t="s">
        <v>855</v>
      </c>
      <c r="J166" s="525" t="s">
        <v>856</v>
      </c>
      <c r="K166" s="525" t="s">
        <v>857</v>
      </c>
      <c r="L166" s="527">
        <v>63.313251668831498</v>
      </c>
      <c r="M166" s="527">
        <v>3</v>
      </c>
      <c r="N166" s="528">
        <v>189.93975500649449</v>
      </c>
    </row>
    <row r="167" spans="1:14" ht="14.4" customHeight="1" x14ac:dyDescent="0.3">
      <c r="A167" s="523" t="s">
        <v>443</v>
      </c>
      <c r="B167" s="524" t="s">
        <v>445</v>
      </c>
      <c r="C167" s="525" t="s">
        <v>465</v>
      </c>
      <c r="D167" s="526" t="s">
        <v>466</v>
      </c>
      <c r="E167" s="525" t="s">
        <v>446</v>
      </c>
      <c r="F167" s="526" t="s">
        <v>447</v>
      </c>
      <c r="G167" s="525" t="s">
        <v>469</v>
      </c>
      <c r="H167" s="525" t="s">
        <v>858</v>
      </c>
      <c r="I167" s="525" t="s">
        <v>859</v>
      </c>
      <c r="J167" s="525" t="s">
        <v>860</v>
      </c>
      <c r="K167" s="525" t="s">
        <v>861</v>
      </c>
      <c r="L167" s="527">
        <v>92.67</v>
      </c>
      <c r="M167" s="527">
        <v>1</v>
      </c>
      <c r="N167" s="528">
        <v>92.67</v>
      </c>
    </row>
    <row r="168" spans="1:14" ht="14.4" customHeight="1" x14ac:dyDescent="0.3">
      <c r="A168" s="523" t="s">
        <v>443</v>
      </c>
      <c r="B168" s="524" t="s">
        <v>445</v>
      </c>
      <c r="C168" s="525" t="s">
        <v>465</v>
      </c>
      <c r="D168" s="526" t="s">
        <v>466</v>
      </c>
      <c r="E168" s="525" t="s">
        <v>446</v>
      </c>
      <c r="F168" s="526" t="s">
        <v>447</v>
      </c>
      <c r="G168" s="525" t="s">
        <v>469</v>
      </c>
      <c r="H168" s="525" t="s">
        <v>862</v>
      </c>
      <c r="I168" s="525" t="s">
        <v>863</v>
      </c>
      <c r="J168" s="525" t="s">
        <v>864</v>
      </c>
      <c r="K168" s="525" t="s">
        <v>865</v>
      </c>
      <c r="L168" s="527">
        <v>292.47000000000003</v>
      </c>
      <c r="M168" s="527">
        <v>1</v>
      </c>
      <c r="N168" s="528">
        <v>292.47000000000003</v>
      </c>
    </row>
    <row r="169" spans="1:14" ht="14.4" customHeight="1" x14ac:dyDescent="0.3">
      <c r="A169" s="523" t="s">
        <v>443</v>
      </c>
      <c r="B169" s="524" t="s">
        <v>445</v>
      </c>
      <c r="C169" s="525" t="s">
        <v>465</v>
      </c>
      <c r="D169" s="526" t="s">
        <v>466</v>
      </c>
      <c r="E169" s="525" t="s">
        <v>446</v>
      </c>
      <c r="F169" s="526" t="s">
        <v>447</v>
      </c>
      <c r="G169" s="525" t="s">
        <v>469</v>
      </c>
      <c r="H169" s="525" t="s">
        <v>866</v>
      </c>
      <c r="I169" s="525" t="s">
        <v>867</v>
      </c>
      <c r="J169" s="525" t="s">
        <v>868</v>
      </c>
      <c r="K169" s="525" t="s">
        <v>869</v>
      </c>
      <c r="L169" s="527">
        <v>392.21400432540395</v>
      </c>
      <c r="M169" s="527">
        <v>9</v>
      </c>
      <c r="N169" s="528">
        <v>3529.9260389286355</v>
      </c>
    </row>
    <row r="170" spans="1:14" ht="14.4" customHeight="1" x14ac:dyDescent="0.3">
      <c r="A170" s="523" t="s">
        <v>443</v>
      </c>
      <c r="B170" s="524" t="s">
        <v>445</v>
      </c>
      <c r="C170" s="525" t="s">
        <v>465</v>
      </c>
      <c r="D170" s="526" t="s">
        <v>466</v>
      </c>
      <c r="E170" s="525" t="s">
        <v>446</v>
      </c>
      <c r="F170" s="526" t="s">
        <v>447</v>
      </c>
      <c r="G170" s="525" t="s">
        <v>469</v>
      </c>
      <c r="H170" s="525" t="s">
        <v>870</v>
      </c>
      <c r="I170" s="525" t="s">
        <v>871</v>
      </c>
      <c r="J170" s="525" t="s">
        <v>872</v>
      </c>
      <c r="K170" s="525" t="s">
        <v>873</v>
      </c>
      <c r="L170" s="527">
        <v>14.469244887772899</v>
      </c>
      <c r="M170" s="527">
        <v>40</v>
      </c>
      <c r="N170" s="528">
        <v>578.76979551091597</v>
      </c>
    </row>
    <row r="171" spans="1:14" ht="14.4" customHeight="1" x14ac:dyDescent="0.3">
      <c r="A171" s="523" t="s">
        <v>443</v>
      </c>
      <c r="B171" s="524" t="s">
        <v>445</v>
      </c>
      <c r="C171" s="525" t="s">
        <v>465</v>
      </c>
      <c r="D171" s="526" t="s">
        <v>466</v>
      </c>
      <c r="E171" s="525" t="s">
        <v>446</v>
      </c>
      <c r="F171" s="526" t="s">
        <v>447</v>
      </c>
      <c r="G171" s="525" t="s">
        <v>469</v>
      </c>
      <c r="H171" s="525" t="s">
        <v>874</v>
      </c>
      <c r="I171" s="525" t="s">
        <v>875</v>
      </c>
      <c r="J171" s="525" t="s">
        <v>876</v>
      </c>
      <c r="K171" s="525" t="s">
        <v>877</v>
      </c>
      <c r="L171" s="527">
        <v>76.336743585563497</v>
      </c>
      <c r="M171" s="527">
        <v>3</v>
      </c>
      <c r="N171" s="528">
        <v>229.01023075669048</v>
      </c>
    </row>
    <row r="172" spans="1:14" ht="14.4" customHeight="1" x14ac:dyDescent="0.3">
      <c r="A172" s="523" t="s">
        <v>443</v>
      </c>
      <c r="B172" s="524" t="s">
        <v>445</v>
      </c>
      <c r="C172" s="525" t="s">
        <v>465</v>
      </c>
      <c r="D172" s="526" t="s">
        <v>466</v>
      </c>
      <c r="E172" s="525" t="s">
        <v>446</v>
      </c>
      <c r="F172" s="526" t="s">
        <v>447</v>
      </c>
      <c r="G172" s="525" t="s">
        <v>469</v>
      </c>
      <c r="H172" s="525" t="s">
        <v>496</v>
      </c>
      <c r="I172" s="525" t="s">
        <v>497</v>
      </c>
      <c r="J172" s="525" t="s">
        <v>498</v>
      </c>
      <c r="K172" s="525"/>
      <c r="L172" s="527">
        <v>97.899369219013394</v>
      </c>
      <c r="M172" s="527">
        <v>56</v>
      </c>
      <c r="N172" s="528">
        <v>5482.3646762647504</v>
      </c>
    </row>
    <row r="173" spans="1:14" ht="14.4" customHeight="1" x14ac:dyDescent="0.3">
      <c r="A173" s="523" t="s">
        <v>443</v>
      </c>
      <c r="B173" s="524" t="s">
        <v>445</v>
      </c>
      <c r="C173" s="525" t="s">
        <v>465</v>
      </c>
      <c r="D173" s="526" t="s">
        <v>466</v>
      </c>
      <c r="E173" s="525" t="s">
        <v>446</v>
      </c>
      <c r="F173" s="526" t="s">
        <v>447</v>
      </c>
      <c r="G173" s="525" t="s">
        <v>469</v>
      </c>
      <c r="H173" s="525" t="s">
        <v>878</v>
      </c>
      <c r="I173" s="525" t="s">
        <v>879</v>
      </c>
      <c r="J173" s="525" t="s">
        <v>880</v>
      </c>
      <c r="K173" s="525"/>
      <c r="L173" s="527">
        <v>139.7111790289089</v>
      </c>
      <c r="M173" s="527">
        <v>86</v>
      </c>
      <c r="N173" s="528">
        <v>12015.161396486164</v>
      </c>
    </row>
    <row r="174" spans="1:14" ht="14.4" customHeight="1" x14ac:dyDescent="0.3">
      <c r="A174" s="523" t="s">
        <v>443</v>
      </c>
      <c r="B174" s="524" t="s">
        <v>445</v>
      </c>
      <c r="C174" s="525" t="s">
        <v>465</v>
      </c>
      <c r="D174" s="526" t="s">
        <v>466</v>
      </c>
      <c r="E174" s="525" t="s">
        <v>446</v>
      </c>
      <c r="F174" s="526" t="s">
        <v>447</v>
      </c>
      <c r="G174" s="525" t="s">
        <v>469</v>
      </c>
      <c r="H174" s="525" t="s">
        <v>881</v>
      </c>
      <c r="I174" s="525" t="s">
        <v>882</v>
      </c>
      <c r="J174" s="525" t="s">
        <v>883</v>
      </c>
      <c r="K174" s="525" t="s">
        <v>884</v>
      </c>
      <c r="L174" s="527">
        <v>42.295000000000002</v>
      </c>
      <c r="M174" s="527">
        <v>6</v>
      </c>
      <c r="N174" s="528">
        <v>253.77</v>
      </c>
    </row>
    <row r="175" spans="1:14" ht="14.4" customHeight="1" x14ac:dyDescent="0.3">
      <c r="A175" s="523" t="s">
        <v>443</v>
      </c>
      <c r="B175" s="524" t="s">
        <v>445</v>
      </c>
      <c r="C175" s="525" t="s">
        <v>465</v>
      </c>
      <c r="D175" s="526" t="s">
        <v>466</v>
      </c>
      <c r="E175" s="525" t="s">
        <v>446</v>
      </c>
      <c r="F175" s="526" t="s">
        <v>447</v>
      </c>
      <c r="G175" s="525" t="s">
        <v>469</v>
      </c>
      <c r="H175" s="525" t="s">
        <v>649</v>
      </c>
      <c r="I175" s="525" t="s">
        <v>650</v>
      </c>
      <c r="J175" s="525" t="s">
        <v>503</v>
      </c>
      <c r="K175" s="525" t="s">
        <v>651</v>
      </c>
      <c r="L175" s="527">
        <v>70.647181845297254</v>
      </c>
      <c r="M175" s="527">
        <v>6</v>
      </c>
      <c r="N175" s="528">
        <v>423.8830910717835</v>
      </c>
    </row>
    <row r="176" spans="1:14" ht="14.4" customHeight="1" x14ac:dyDescent="0.3">
      <c r="A176" s="523" t="s">
        <v>443</v>
      </c>
      <c r="B176" s="524" t="s">
        <v>445</v>
      </c>
      <c r="C176" s="525" t="s">
        <v>465</v>
      </c>
      <c r="D176" s="526" t="s">
        <v>466</v>
      </c>
      <c r="E176" s="525" t="s">
        <v>446</v>
      </c>
      <c r="F176" s="526" t="s">
        <v>447</v>
      </c>
      <c r="G176" s="525" t="s">
        <v>469</v>
      </c>
      <c r="H176" s="525" t="s">
        <v>652</v>
      </c>
      <c r="I176" s="525" t="s">
        <v>497</v>
      </c>
      <c r="J176" s="525" t="s">
        <v>653</v>
      </c>
      <c r="K176" s="525"/>
      <c r="L176" s="527">
        <v>32.964821801409897</v>
      </c>
      <c r="M176" s="527">
        <v>60</v>
      </c>
      <c r="N176" s="528">
        <v>1977.8893080845937</v>
      </c>
    </row>
    <row r="177" spans="1:14" ht="14.4" customHeight="1" x14ac:dyDescent="0.3">
      <c r="A177" s="523" t="s">
        <v>443</v>
      </c>
      <c r="B177" s="524" t="s">
        <v>445</v>
      </c>
      <c r="C177" s="525" t="s">
        <v>465</v>
      </c>
      <c r="D177" s="526" t="s">
        <v>466</v>
      </c>
      <c r="E177" s="525" t="s">
        <v>446</v>
      </c>
      <c r="F177" s="526" t="s">
        <v>447</v>
      </c>
      <c r="G177" s="525" t="s">
        <v>469</v>
      </c>
      <c r="H177" s="525" t="s">
        <v>505</v>
      </c>
      <c r="I177" s="525" t="s">
        <v>506</v>
      </c>
      <c r="J177" s="525" t="s">
        <v>507</v>
      </c>
      <c r="K177" s="525" t="s">
        <v>508</v>
      </c>
      <c r="L177" s="527">
        <v>217.23362477034593</v>
      </c>
      <c r="M177" s="527">
        <v>13</v>
      </c>
      <c r="N177" s="528">
        <v>2824.0371220144971</v>
      </c>
    </row>
    <row r="178" spans="1:14" ht="14.4" customHeight="1" x14ac:dyDescent="0.3">
      <c r="A178" s="523" t="s">
        <v>443</v>
      </c>
      <c r="B178" s="524" t="s">
        <v>445</v>
      </c>
      <c r="C178" s="525" t="s">
        <v>465</v>
      </c>
      <c r="D178" s="526" t="s">
        <v>466</v>
      </c>
      <c r="E178" s="525" t="s">
        <v>446</v>
      </c>
      <c r="F178" s="526" t="s">
        <v>447</v>
      </c>
      <c r="G178" s="525" t="s">
        <v>469</v>
      </c>
      <c r="H178" s="525" t="s">
        <v>509</v>
      </c>
      <c r="I178" s="525" t="s">
        <v>497</v>
      </c>
      <c r="J178" s="525" t="s">
        <v>510</v>
      </c>
      <c r="K178" s="525"/>
      <c r="L178" s="527">
        <v>32.964803003479304</v>
      </c>
      <c r="M178" s="527">
        <v>1725</v>
      </c>
      <c r="N178" s="528">
        <v>56864.285181001804</v>
      </c>
    </row>
    <row r="179" spans="1:14" ht="14.4" customHeight="1" x14ac:dyDescent="0.3">
      <c r="A179" s="523" t="s">
        <v>443</v>
      </c>
      <c r="B179" s="524" t="s">
        <v>445</v>
      </c>
      <c r="C179" s="525" t="s">
        <v>465</v>
      </c>
      <c r="D179" s="526" t="s">
        <v>466</v>
      </c>
      <c r="E179" s="525" t="s">
        <v>446</v>
      </c>
      <c r="F179" s="526" t="s">
        <v>447</v>
      </c>
      <c r="G179" s="525" t="s">
        <v>469</v>
      </c>
      <c r="H179" s="525" t="s">
        <v>885</v>
      </c>
      <c r="I179" s="525" t="s">
        <v>886</v>
      </c>
      <c r="J179" s="525" t="s">
        <v>479</v>
      </c>
      <c r="K179" s="525" t="s">
        <v>887</v>
      </c>
      <c r="L179" s="527">
        <v>41.078375643720598</v>
      </c>
      <c r="M179" s="527">
        <v>32</v>
      </c>
      <c r="N179" s="528">
        <v>1314.5080205990591</v>
      </c>
    </row>
    <row r="180" spans="1:14" ht="14.4" customHeight="1" x14ac:dyDescent="0.3">
      <c r="A180" s="523" t="s">
        <v>443</v>
      </c>
      <c r="B180" s="524" t="s">
        <v>445</v>
      </c>
      <c r="C180" s="525" t="s">
        <v>465</v>
      </c>
      <c r="D180" s="526" t="s">
        <v>466</v>
      </c>
      <c r="E180" s="525" t="s">
        <v>446</v>
      </c>
      <c r="F180" s="526" t="s">
        <v>447</v>
      </c>
      <c r="G180" s="525" t="s">
        <v>469</v>
      </c>
      <c r="H180" s="525" t="s">
        <v>888</v>
      </c>
      <c r="I180" s="525" t="s">
        <v>889</v>
      </c>
      <c r="J180" s="525" t="s">
        <v>890</v>
      </c>
      <c r="K180" s="525" t="s">
        <v>476</v>
      </c>
      <c r="L180" s="527">
        <v>118.849999089424</v>
      </c>
      <c r="M180" s="527">
        <v>25</v>
      </c>
      <c r="N180" s="528">
        <v>2971.2499772356</v>
      </c>
    </row>
    <row r="181" spans="1:14" ht="14.4" customHeight="1" x14ac:dyDescent="0.3">
      <c r="A181" s="523" t="s">
        <v>443</v>
      </c>
      <c r="B181" s="524" t="s">
        <v>445</v>
      </c>
      <c r="C181" s="525" t="s">
        <v>465</v>
      </c>
      <c r="D181" s="526" t="s">
        <v>466</v>
      </c>
      <c r="E181" s="525" t="s">
        <v>446</v>
      </c>
      <c r="F181" s="526" t="s">
        <v>447</v>
      </c>
      <c r="G181" s="525" t="s">
        <v>469</v>
      </c>
      <c r="H181" s="525" t="s">
        <v>891</v>
      </c>
      <c r="I181" s="525" t="s">
        <v>892</v>
      </c>
      <c r="J181" s="525" t="s">
        <v>893</v>
      </c>
      <c r="K181" s="525" t="s">
        <v>894</v>
      </c>
      <c r="L181" s="527">
        <v>59.65</v>
      </c>
      <c r="M181" s="527">
        <v>2</v>
      </c>
      <c r="N181" s="528">
        <v>119.3</v>
      </c>
    </row>
    <row r="182" spans="1:14" ht="14.4" customHeight="1" x14ac:dyDescent="0.3">
      <c r="A182" s="523" t="s">
        <v>443</v>
      </c>
      <c r="B182" s="524" t="s">
        <v>445</v>
      </c>
      <c r="C182" s="525" t="s">
        <v>465</v>
      </c>
      <c r="D182" s="526" t="s">
        <v>466</v>
      </c>
      <c r="E182" s="525" t="s">
        <v>446</v>
      </c>
      <c r="F182" s="526" t="s">
        <v>447</v>
      </c>
      <c r="G182" s="525" t="s">
        <v>469</v>
      </c>
      <c r="H182" s="525" t="s">
        <v>895</v>
      </c>
      <c r="I182" s="525" t="s">
        <v>896</v>
      </c>
      <c r="J182" s="525" t="s">
        <v>897</v>
      </c>
      <c r="K182" s="525" t="s">
        <v>898</v>
      </c>
      <c r="L182" s="527">
        <v>57.720161140670598</v>
      </c>
      <c r="M182" s="527">
        <v>1</v>
      </c>
      <c r="N182" s="528">
        <v>57.720161140670598</v>
      </c>
    </row>
    <row r="183" spans="1:14" ht="14.4" customHeight="1" x14ac:dyDescent="0.3">
      <c r="A183" s="523" t="s">
        <v>443</v>
      </c>
      <c r="B183" s="524" t="s">
        <v>445</v>
      </c>
      <c r="C183" s="525" t="s">
        <v>465</v>
      </c>
      <c r="D183" s="526" t="s">
        <v>466</v>
      </c>
      <c r="E183" s="525" t="s">
        <v>446</v>
      </c>
      <c r="F183" s="526" t="s">
        <v>447</v>
      </c>
      <c r="G183" s="525" t="s">
        <v>469</v>
      </c>
      <c r="H183" s="525" t="s">
        <v>899</v>
      </c>
      <c r="I183" s="525" t="s">
        <v>900</v>
      </c>
      <c r="J183" s="525" t="s">
        <v>901</v>
      </c>
      <c r="K183" s="525" t="s">
        <v>902</v>
      </c>
      <c r="L183" s="527">
        <v>375.17327115875821</v>
      </c>
      <c r="M183" s="527">
        <v>21</v>
      </c>
      <c r="N183" s="528">
        <v>7878.6386943339221</v>
      </c>
    </row>
    <row r="184" spans="1:14" ht="14.4" customHeight="1" x14ac:dyDescent="0.3">
      <c r="A184" s="523" t="s">
        <v>443</v>
      </c>
      <c r="B184" s="524" t="s">
        <v>445</v>
      </c>
      <c r="C184" s="525" t="s">
        <v>465</v>
      </c>
      <c r="D184" s="526" t="s">
        <v>466</v>
      </c>
      <c r="E184" s="525" t="s">
        <v>446</v>
      </c>
      <c r="F184" s="526" t="s">
        <v>447</v>
      </c>
      <c r="G184" s="525" t="s">
        <v>469</v>
      </c>
      <c r="H184" s="525" t="s">
        <v>903</v>
      </c>
      <c r="I184" s="525" t="s">
        <v>904</v>
      </c>
      <c r="J184" s="525" t="s">
        <v>905</v>
      </c>
      <c r="K184" s="525" t="s">
        <v>906</v>
      </c>
      <c r="L184" s="527">
        <v>53.079941475334799</v>
      </c>
      <c r="M184" s="527">
        <v>1</v>
      </c>
      <c r="N184" s="528">
        <v>53.079941475334799</v>
      </c>
    </row>
    <row r="185" spans="1:14" ht="14.4" customHeight="1" x14ac:dyDescent="0.3">
      <c r="A185" s="523" t="s">
        <v>443</v>
      </c>
      <c r="B185" s="524" t="s">
        <v>445</v>
      </c>
      <c r="C185" s="525" t="s">
        <v>465</v>
      </c>
      <c r="D185" s="526" t="s">
        <v>466</v>
      </c>
      <c r="E185" s="525" t="s">
        <v>446</v>
      </c>
      <c r="F185" s="526" t="s">
        <v>447</v>
      </c>
      <c r="G185" s="525" t="s">
        <v>469</v>
      </c>
      <c r="H185" s="525" t="s">
        <v>907</v>
      </c>
      <c r="I185" s="525" t="s">
        <v>908</v>
      </c>
      <c r="J185" s="525" t="s">
        <v>909</v>
      </c>
      <c r="K185" s="525" t="s">
        <v>910</v>
      </c>
      <c r="L185" s="527">
        <v>181.59</v>
      </c>
      <c r="M185" s="527">
        <v>2</v>
      </c>
      <c r="N185" s="528">
        <v>363.18</v>
      </c>
    </row>
    <row r="186" spans="1:14" ht="14.4" customHeight="1" x14ac:dyDescent="0.3">
      <c r="A186" s="523" t="s">
        <v>443</v>
      </c>
      <c r="B186" s="524" t="s">
        <v>445</v>
      </c>
      <c r="C186" s="525" t="s">
        <v>465</v>
      </c>
      <c r="D186" s="526" t="s">
        <v>466</v>
      </c>
      <c r="E186" s="525" t="s">
        <v>446</v>
      </c>
      <c r="F186" s="526" t="s">
        <v>447</v>
      </c>
      <c r="G186" s="525" t="s">
        <v>469</v>
      </c>
      <c r="H186" s="525" t="s">
        <v>511</v>
      </c>
      <c r="I186" s="525" t="s">
        <v>512</v>
      </c>
      <c r="J186" s="525" t="s">
        <v>513</v>
      </c>
      <c r="K186" s="525" t="s">
        <v>514</v>
      </c>
      <c r="L186" s="527">
        <v>45.854757864034696</v>
      </c>
      <c r="M186" s="527">
        <v>10</v>
      </c>
      <c r="N186" s="528">
        <v>458.54757864034696</v>
      </c>
    </row>
    <row r="187" spans="1:14" ht="14.4" customHeight="1" x14ac:dyDescent="0.3">
      <c r="A187" s="523" t="s">
        <v>443</v>
      </c>
      <c r="B187" s="524" t="s">
        <v>445</v>
      </c>
      <c r="C187" s="525" t="s">
        <v>465</v>
      </c>
      <c r="D187" s="526" t="s">
        <v>466</v>
      </c>
      <c r="E187" s="525" t="s">
        <v>446</v>
      </c>
      <c r="F187" s="526" t="s">
        <v>447</v>
      </c>
      <c r="G187" s="525" t="s">
        <v>469</v>
      </c>
      <c r="H187" s="525" t="s">
        <v>911</v>
      </c>
      <c r="I187" s="525" t="s">
        <v>911</v>
      </c>
      <c r="J187" s="525" t="s">
        <v>912</v>
      </c>
      <c r="K187" s="525" t="s">
        <v>784</v>
      </c>
      <c r="L187" s="527">
        <v>301.65000000000003</v>
      </c>
      <c r="M187" s="527">
        <v>7</v>
      </c>
      <c r="N187" s="528">
        <v>2111.5500000000002</v>
      </c>
    </row>
    <row r="188" spans="1:14" ht="14.4" customHeight="1" x14ac:dyDescent="0.3">
      <c r="A188" s="523" t="s">
        <v>443</v>
      </c>
      <c r="B188" s="524" t="s">
        <v>445</v>
      </c>
      <c r="C188" s="525" t="s">
        <v>465</v>
      </c>
      <c r="D188" s="526" t="s">
        <v>466</v>
      </c>
      <c r="E188" s="525" t="s">
        <v>446</v>
      </c>
      <c r="F188" s="526" t="s">
        <v>447</v>
      </c>
      <c r="G188" s="525" t="s">
        <v>469</v>
      </c>
      <c r="H188" s="525" t="s">
        <v>913</v>
      </c>
      <c r="I188" s="525" t="s">
        <v>914</v>
      </c>
      <c r="J188" s="525" t="s">
        <v>915</v>
      </c>
      <c r="K188" s="525" t="s">
        <v>803</v>
      </c>
      <c r="L188" s="527">
        <v>41.646072655184668</v>
      </c>
      <c r="M188" s="527">
        <v>18</v>
      </c>
      <c r="N188" s="528">
        <v>749.62930779332407</v>
      </c>
    </row>
    <row r="189" spans="1:14" ht="14.4" customHeight="1" x14ac:dyDescent="0.3">
      <c r="A189" s="523" t="s">
        <v>443</v>
      </c>
      <c r="B189" s="524" t="s">
        <v>445</v>
      </c>
      <c r="C189" s="525" t="s">
        <v>465</v>
      </c>
      <c r="D189" s="526" t="s">
        <v>466</v>
      </c>
      <c r="E189" s="525" t="s">
        <v>446</v>
      </c>
      <c r="F189" s="526" t="s">
        <v>447</v>
      </c>
      <c r="G189" s="525" t="s">
        <v>469</v>
      </c>
      <c r="H189" s="525" t="s">
        <v>658</v>
      </c>
      <c r="I189" s="525" t="s">
        <v>659</v>
      </c>
      <c r="J189" s="525" t="s">
        <v>522</v>
      </c>
      <c r="K189" s="525" t="s">
        <v>660</v>
      </c>
      <c r="L189" s="527">
        <v>274.96936558819601</v>
      </c>
      <c r="M189" s="527">
        <v>6</v>
      </c>
      <c r="N189" s="528">
        <v>1649.8161935291762</v>
      </c>
    </row>
    <row r="190" spans="1:14" ht="14.4" customHeight="1" x14ac:dyDescent="0.3">
      <c r="A190" s="523" t="s">
        <v>443</v>
      </c>
      <c r="B190" s="524" t="s">
        <v>445</v>
      </c>
      <c r="C190" s="525" t="s">
        <v>465</v>
      </c>
      <c r="D190" s="526" t="s">
        <v>466</v>
      </c>
      <c r="E190" s="525" t="s">
        <v>446</v>
      </c>
      <c r="F190" s="526" t="s">
        <v>447</v>
      </c>
      <c r="G190" s="525" t="s">
        <v>469</v>
      </c>
      <c r="H190" s="525" t="s">
        <v>916</v>
      </c>
      <c r="I190" s="525" t="s">
        <v>917</v>
      </c>
      <c r="J190" s="525" t="s">
        <v>918</v>
      </c>
      <c r="K190" s="525" t="s">
        <v>919</v>
      </c>
      <c r="L190" s="527">
        <v>1101.72</v>
      </c>
      <c r="M190" s="527">
        <v>1</v>
      </c>
      <c r="N190" s="528">
        <v>1101.72</v>
      </c>
    </row>
    <row r="191" spans="1:14" ht="14.4" customHeight="1" x14ac:dyDescent="0.3">
      <c r="A191" s="523" t="s">
        <v>443</v>
      </c>
      <c r="B191" s="524" t="s">
        <v>445</v>
      </c>
      <c r="C191" s="525" t="s">
        <v>465</v>
      </c>
      <c r="D191" s="526" t="s">
        <v>466</v>
      </c>
      <c r="E191" s="525" t="s">
        <v>446</v>
      </c>
      <c r="F191" s="526" t="s">
        <v>447</v>
      </c>
      <c r="G191" s="525" t="s">
        <v>469</v>
      </c>
      <c r="H191" s="525" t="s">
        <v>920</v>
      </c>
      <c r="I191" s="525" t="s">
        <v>921</v>
      </c>
      <c r="J191" s="525" t="s">
        <v>922</v>
      </c>
      <c r="K191" s="525" t="s">
        <v>923</v>
      </c>
      <c r="L191" s="527">
        <v>1097.9789992916531</v>
      </c>
      <c r="M191" s="527">
        <v>38</v>
      </c>
      <c r="N191" s="528">
        <v>41723.201973082818</v>
      </c>
    </row>
    <row r="192" spans="1:14" ht="14.4" customHeight="1" x14ac:dyDescent="0.3">
      <c r="A192" s="523" t="s">
        <v>443</v>
      </c>
      <c r="B192" s="524" t="s">
        <v>445</v>
      </c>
      <c r="C192" s="525" t="s">
        <v>465</v>
      </c>
      <c r="D192" s="526" t="s">
        <v>466</v>
      </c>
      <c r="E192" s="525" t="s">
        <v>446</v>
      </c>
      <c r="F192" s="526" t="s">
        <v>447</v>
      </c>
      <c r="G192" s="525" t="s">
        <v>469</v>
      </c>
      <c r="H192" s="525" t="s">
        <v>924</v>
      </c>
      <c r="I192" s="525" t="s">
        <v>925</v>
      </c>
      <c r="J192" s="525" t="s">
        <v>926</v>
      </c>
      <c r="K192" s="525" t="s">
        <v>927</v>
      </c>
      <c r="L192" s="527">
        <v>90.572472716446896</v>
      </c>
      <c r="M192" s="527">
        <v>21</v>
      </c>
      <c r="N192" s="528">
        <v>1902.0219270453847</v>
      </c>
    </row>
    <row r="193" spans="1:14" ht="14.4" customHeight="1" x14ac:dyDescent="0.3">
      <c r="A193" s="523" t="s">
        <v>443</v>
      </c>
      <c r="B193" s="524" t="s">
        <v>445</v>
      </c>
      <c r="C193" s="525" t="s">
        <v>465</v>
      </c>
      <c r="D193" s="526" t="s">
        <v>466</v>
      </c>
      <c r="E193" s="525" t="s">
        <v>446</v>
      </c>
      <c r="F193" s="526" t="s">
        <v>447</v>
      </c>
      <c r="G193" s="525" t="s">
        <v>469</v>
      </c>
      <c r="H193" s="525" t="s">
        <v>928</v>
      </c>
      <c r="I193" s="525" t="s">
        <v>929</v>
      </c>
      <c r="J193" s="525" t="s">
        <v>930</v>
      </c>
      <c r="K193" s="525" t="s">
        <v>931</v>
      </c>
      <c r="L193" s="527">
        <v>1398.61</v>
      </c>
      <c r="M193" s="527">
        <v>1</v>
      </c>
      <c r="N193" s="528">
        <v>1398.61</v>
      </c>
    </row>
    <row r="194" spans="1:14" ht="14.4" customHeight="1" x14ac:dyDescent="0.3">
      <c r="A194" s="523" t="s">
        <v>443</v>
      </c>
      <c r="B194" s="524" t="s">
        <v>445</v>
      </c>
      <c r="C194" s="525" t="s">
        <v>465</v>
      </c>
      <c r="D194" s="526" t="s">
        <v>466</v>
      </c>
      <c r="E194" s="525" t="s">
        <v>446</v>
      </c>
      <c r="F194" s="526" t="s">
        <v>447</v>
      </c>
      <c r="G194" s="525" t="s">
        <v>469</v>
      </c>
      <c r="H194" s="525" t="s">
        <v>932</v>
      </c>
      <c r="I194" s="525" t="s">
        <v>933</v>
      </c>
      <c r="J194" s="525" t="s">
        <v>934</v>
      </c>
      <c r="K194" s="525" t="s">
        <v>935</v>
      </c>
      <c r="L194" s="527">
        <v>246.33</v>
      </c>
      <c r="M194" s="527">
        <v>2</v>
      </c>
      <c r="N194" s="528">
        <v>492.66</v>
      </c>
    </row>
    <row r="195" spans="1:14" ht="14.4" customHeight="1" x14ac:dyDescent="0.3">
      <c r="A195" s="523" t="s">
        <v>443</v>
      </c>
      <c r="B195" s="524" t="s">
        <v>445</v>
      </c>
      <c r="C195" s="525" t="s">
        <v>465</v>
      </c>
      <c r="D195" s="526" t="s">
        <v>466</v>
      </c>
      <c r="E195" s="525" t="s">
        <v>446</v>
      </c>
      <c r="F195" s="526" t="s">
        <v>447</v>
      </c>
      <c r="G195" s="525" t="s">
        <v>469</v>
      </c>
      <c r="H195" s="525" t="s">
        <v>515</v>
      </c>
      <c r="I195" s="525" t="s">
        <v>497</v>
      </c>
      <c r="J195" s="525" t="s">
        <v>516</v>
      </c>
      <c r="K195" s="525"/>
      <c r="L195" s="527">
        <v>135.69981976900678</v>
      </c>
      <c r="M195" s="527">
        <v>5</v>
      </c>
      <c r="N195" s="528">
        <v>678.49909884503393</v>
      </c>
    </row>
    <row r="196" spans="1:14" ht="14.4" customHeight="1" x14ac:dyDescent="0.3">
      <c r="A196" s="523" t="s">
        <v>443</v>
      </c>
      <c r="B196" s="524" t="s">
        <v>445</v>
      </c>
      <c r="C196" s="525" t="s">
        <v>465</v>
      </c>
      <c r="D196" s="526" t="s">
        <v>466</v>
      </c>
      <c r="E196" s="525" t="s">
        <v>446</v>
      </c>
      <c r="F196" s="526" t="s">
        <v>447</v>
      </c>
      <c r="G196" s="525" t="s">
        <v>469</v>
      </c>
      <c r="H196" s="525" t="s">
        <v>936</v>
      </c>
      <c r="I196" s="525" t="s">
        <v>937</v>
      </c>
      <c r="J196" s="525" t="s">
        <v>938</v>
      </c>
      <c r="K196" s="525" t="s">
        <v>939</v>
      </c>
      <c r="L196" s="527">
        <v>59.474283520853092</v>
      </c>
      <c r="M196" s="527">
        <v>17</v>
      </c>
      <c r="N196" s="528">
        <v>1011.0628198545025</v>
      </c>
    </row>
    <row r="197" spans="1:14" ht="14.4" customHeight="1" x14ac:dyDescent="0.3">
      <c r="A197" s="523" t="s">
        <v>443</v>
      </c>
      <c r="B197" s="524" t="s">
        <v>445</v>
      </c>
      <c r="C197" s="525" t="s">
        <v>465</v>
      </c>
      <c r="D197" s="526" t="s">
        <v>466</v>
      </c>
      <c r="E197" s="525" t="s">
        <v>446</v>
      </c>
      <c r="F197" s="526" t="s">
        <v>447</v>
      </c>
      <c r="G197" s="525" t="s">
        <v>469</v>
      </c>
      <c r="H197" s="525" t="s">
        <v>517</v>
      </c>
      <c r="I197" s="525" t="s">
        <v>517</v>
      </c>
      <c r="J197" s="525" t="s">
        <v>518</v>
      </c>
      <c r="K197" s="525" t="s">
        <v>519</v>
      </c>
      <c r="L197" s="527">
        <v>75.913776363665477</v>
      </c>
      <c r="M197" s="527">
        <v>27</v>
      </c>
      <c r="N197" s="528">
        <v>2049.6719618189677</v>
      </c>
    </row>
    <row r="198" spans="1:14" ht="14.4" customHeight="1" x14ac:dyDescent="0.3">
      <c r="A198" s="523" t="s">
        <v>443</v>
      </c>
      <c r="B198" s="524" t="s">
        <v>445</v>
      </c>
      <c r="C198" s="525" t="s">
        <v>465</v>
      </c>
      <c r="D198" s="526" t="s">
        <v>466</v>
      </c>
      <c r="E198" s="525" t="s">
        <v>446</v>
      </c>
      <c r="F198" s="526" t="s">
        <v>447</v>
      </c>
      <c r="G198" s="525" t="s">
        <v>469</v>
      </c>
      <c r="H198" s="525" t="s">
        <v>520</v>
      </c>
      <c r="I198" s="525" t="s">
        <v>521</v>
      </c>
      <c r="J198" s="525" t="s">
        <v>522</v>
      </c>
      <c r="K198" s="525" t="s">
        <v>523</v>
      </c>
      <c r="L198" s="527">
        <v>71.501391024786955</v>
      </c>
      <c r="M198" s="527">
        <v>122</v>
      </c>
      <c r="N198" s="528">
        <v>8723.1697050240091</v>
      </c>
    </row>
    <row r="199" spans="1:14" ht="14.4" customHeight="1" x14ac:dyDescent="0.3">
      <c r="A199" s="523" t="s">
        <v>443</v>
      </c>
      <c r="B199" s="524" t="s">
        <v>445</v>
      </c>
      <c r="C199" s="525" t="s">
        <v>465</v>
      </c>
      <c r="D199" s="526" t="s">
        <v>466</v>
      </c>
      <c r="E199" s="525" t="s">
        <v>446</v>
      </c>
      <c r="F199" s="526" t="s">
        <v>447</v>
      </c>
      <c r="G199" s="525" t="s">
        <v>469</v>
      </c>
      <c r="H199" s="525" t="s">
        <v>940</v>
      </c>
      <c r="I199" s="525" t="s">
        <v>941</v>
      </c>
      <c r="J199" s="525" t="s">
        <v>942</v>
      </c>
      <c r="K199" s="525" t="s">
        <v>943</v>
      </c>
      <c r="L199" s="527">
        <v>110.36000000000001</v>
      </c>
      <c r="M199" s="527">
        <v>3</v>
      </c>
      <c r="N199" s="528">
        <v>331.08000000000004</v>
      </c>
    </row>
    <row r="200" spans="1:14" ht="14.4" customHeight="1" x14ac:dyDescent="0.3">
      <c r="A200" s="523" t="s">
        <v>443</v>
      </c>
      <c r="B200" s="524" t="s">
        <v>445</v>
      </c>
      <c r="C200" s="525" t="s">
        <v>465</v>
      </c>
      <c r="D200" s="526" t="s">
        <v>466</v>
      </c>
      <c r="E200" s="525" t="s">
        <v>446</v>
      </c>
      <c r="F200" s="526" t="s">
        <v>447</v>
      </c>
      <c r="G200" s="525" t="s">
        <v>469</v>
      </c>
      <c r="H200" s="525" t="s">
        <v>524</v>
      </c>
      <c r="I200" s="525" t="s">
        <v>497</v>
      </c>
      <c r="J200" s="525" t="s">
        <v>525</v>
      </c>
      <c r="K200" s="525" t="s">
        <v>526</v>
      </c>
      <c r="L200" s="527">
        <v>23.70026480312298</v>
      </c>
      <c r="M200" s="527">
        <v>503</v>
      </c>
      <c r="N200" s="528">
        <v>11921.233195970859</v>
      </c>
    </row>
    <row r="201" spans="1:14" ht="14.4" customHeight="1" x14ac:dyDescent="0.3">
      <c r="A201" s="523" t="s">
        <v>443</v>
      </c>
      <c r="B201" s="524" t="s">
        <v>445</v>
      </c>
      <c r="C201" s="525" t="s">
        <v>465</v>
      </c>
      <c r="D201" s="526" t="s">
        <v>466</v>
      </c>
      <c r="E201" s="525" t="s">
        <v>446</v>
      </c>
      <c r="F201" s="526" t="s">
        <v>447</v>
      </c>
      <c r="G201" s="525" t="s">
        <v>469</v>
      </c>
      <c r="H201" s="525" t="s">
        <v>667</v>
      </c>
      <c r="I201" s="525" t="s">
        <v>497</v>
      </c>
      <c r="J201" s="525" t="s">
        <v>668</v>
      </c>
      <c r="K201" s="525" t="s">
        <v>526</v>
      </c>
      <c r="L201" s="527">
        <v>24.039246789458062</v>
      </c>
      <c r="M201" s="527">
        <v>99</v>
      </c>
      <c r="N201" s="528">
        <v>2379.8854321563481</v>
      </c>
    </row>
    <row r="202" spans="1:14" ht="14.4" customHeight="1" x14ac:dyDescent="0.3">
      <c r="A202" s="523" t="s">
        <v>443</v>
      </c>
      <c r="B202" s="524" t="s">
        <v>445</v>
      </c>
      <c r="C202" s="525" t="s">
        <v>465</v>
      </c>
      <c r="D202" s="526" t="s">
        <v>466</v>
      </c>
      <c r="E202" s="525" t="s">
        <v>446</v>
      </c>
      <c r="F202" s="526" t="s">
        <v>447</v>
      </c>
      <c r="G202" s="525" t="s">
        <v>469</v>
      </c>
      <c r="H202" s="525" t="s">
        <v>944</v>
      </c>
      <c r="I202" s="525" t="s">
        <v>945</v>
      </c>
      <c r="J202" s="525" t="s">
        <v>946</v>
      </c>
      <c r="K202" s="525" t="s">
        <v>947</v>
      </c>
      <c r="L202" s="527">
        <v>31.95</v>
      </c>
      <c r="M202" s="527">
        <v>2</v>
      </c>
      <c r="N202" s="528">
        <v>63.9</v>
      </c>
    </row>
    <row r="203" spans="1:14" ht="14.4" customHeight="1" x14ac:dyDescent="0.3">
      <c r="A203" s="523" t="s">
        <v>443</v>
      </c>
      <c r="B203" s="524" t="s">
        <v>445</v>
      </c>
      <c r="C203" s="525" t="s">
        <v>465</v>
      </c>
      <c r="D203" s="526" t="s">
        <v>466</v>
      </c>
      <c r="E203" s="525" t="s">
        <v>446</v>
      </c>
      <c r="F203" s="526" t="s">
        <v>447</v>
      </c>
      <c r="G203" s="525" t="s">
        <v>469</v>
      </c>
      <c r="H203" s="525" t="s">
        <v>948</v>
      </c>
      <c r="I203" s="525" t="s">
        <v>949</v>
      </c>
      <c r="J203" s="525" t="s">
        <v>950</v>
      </c>
      <c r="K203" s="525" t="s">
        <v>951</v>
      </c>
      <c r="L203" s="527">
        <v>137.29</v>
      </c>
      <c r="M203" s="527">
        <v>2</v>
      </c>
      <c r="N203" s="528">
        <v>274.58</v>
      </c>
    </row>
    <row r="204" spans="1:14" ht="14.4" customHeight="1" x14ac:dyDescent="0.3">
      <c r="A204" s="523" t="s">
        <v>443</v>
      </c>
      <c r="B204" s="524" t="s">
        <v>445</v>
      </c>
      <c r="C204" s="525" t="s">
        <v>465</v>
      </c>
      <c r="D204" s="526" t="s">
        <v>466</v>
      </c>
      <c r="E204" s="525" t="s">
        <v>446</v>
      </c>
      <c r="F204" s="526" t="s">
        <v>447</v>
      </c>
      <c r="G204" s="525" t="s">
        <v>469</v>
      </c>
      <c r="H204" s="525" t="s">
        <v>952</v>
      </c>
      <c r="I204" s="525" t="s">
        <v>953</v>
      </c>
      <c r="J204" s="525" t="s">
        <v>954</v>
      </c>
      <c r="K204" s="525" t="s">
        <v>955</v>
      </c>
      <c r="L204" s="527">
        <v>28.745254237288133</v>
      </c>
      <c r="M204" s="527">
        <v>59</v>
      </c>
      <c r="N204" s="528">
        <v>1695.9699999999998</v>
      </c>
    </row>
    <row r="205" spans="1:14" ht="14.4" customHeight="1" x14ac:dyDescent="0.3">
      <c r="A205" s="523" t="s">
        <v>443</v>
      </c>
      <c r="B205" s="524" t="s">
        <v>445</v>
      </c>
      <c r="C205" s="525" t="s">
        <v>465</v>
      </c>
      <c r="D205" s="526" t="s">
        <v>466</v>
      </c>
      <c r="E205" s="525" t="s">
        <v>446</v>
      </c>
      <c r="F205" s="526" t="s">
        <v>447</v>
      </c>
      <c r="G205" s="525" t="s">
        <v>469</v>
      </c>
      <c r="H205" s="525" t="s">
        <v>956</v>
      </c>
      <c r="I205" s="525" t="s">
        <v>957</v>
      </c>
      <c r="J205" s="525" t="s">
        <v>958</v>
      </c>
      <c r="K205" s="525" t="s">
        <v>955</v>
      </c>
      <c r="L205" s="527">
        <v>38.939151294003494</v>
      </c>
      <c r="M205" s="527">
        <v>140</v>
      </c>
      <c r="N205" s="528">
        <v>5451.4811811604895</v>
      </c>
    </row>
    <row r="206" spans="1:14" ht="14.4" customHeight="1" x14ac:dyDescent="0.3">
      <c r="A206" s="523" t="s">
        <v>443</v>
      </c>
      <c r="B206" s="524" t="s">
        <v>445</v>
      </c>
      <c r="C206" s="525" t="s">
        <v>465</v>
      </c>
      <c r="D206" s="526" t="s">
        <v>466</v>
      </c>
      <c r="E206" s="525" t="s">
        <v>446</v>
      </c>
      <c r="F206" s="526" t="s">
        <v>447</v>
      </c>
      <c r="G206" s="525" t="s">
        <v>469</v>
      </c>
      <c r="H206" s="525" t="s">
        <v>959</v>
      </c>
      <c r="I206" s="525" t="s">
        <v>959</v>
      </c>
      <c r="J206" s="525" t="s">
        <v>960</v>
      </c>
      <c r="K206" s="525" t="s">
        <v>961</v>
      </c>
      <c r="L206" s="527">
        <v>408.26</v>
      </c>
      <c r="M206" s="527">
        <v>1</v>
      </c>
      <c r="N206" s="528">
        <v>408.26</v>
      </c>
    </row>
    <row r="207" spans="1:14" ht="14.4" customHeight="1" x14ac:dyDescent="0.3">
      <c r="A207" s="523" t="s">
        <v>443</v>
      </c>
      <c r="B207" s="524" t="s">
        <v>445</v>
      </c>
      <c r="C207" s="525" t="s">
        <v>465</v>
      </c>
      <c r="D207" s="526" t="s">
        <v>466</v>
      </c>
      <c r="E207" s="525" t="s">
        <v>446</v>
      </c>
      <c r="F207" s="526" t="s">
        <v>447</v>
      </c>
      <c r="G207" s="525" t="s">
        <v>469</v>
      </c>
      <c r="H207" s="525" t="s">
        <v>962</v>
      </c>
      <c r="I207" s="525" t="s">
        <v>963</v>
      </c>
      <c r="J207" s="525" t="s">
        <v>954</v>
      </c>
      <c r="K207" s="525" t="s">
        <v>964</v>
      </c>
      <c r="L207" s="527">
        <v>55.33</v>
      </c>
      <c r="M207" s="527">
        <v>4</v>
      </c>
      <c r="N207" s="528">
        <v>221.32</v>
      </c>
    </row>
    <row r="208" spans="1:14" ht="14.4" customHeight="1" x14ac:dyDescent="0.3">
      <c r="A208" s="523" t="s">
        <v>443</v>
      </c>
      <c r="B208" s="524" t="s">
        <v>445</v>
      </c>
      <c r="C208" s="525" t="s">
        <v>465</v>
      </c>
      <c r="D208" s="526" t="s">
        <v>466</v>
      </c>
      <c r="E208" s="525" t="s">
        <v>446</v>
      </c>
      <c r="F208" s="526" t="s">
        <v>447</v>
      </c>
      <c r="G208" s="525" t="s">
        <v>469</v>
      </c>
      <c r="H208" s="525" t="s">
        <v>669</v>
      </c>
      <c r="I208" s="525" t="s">
        <v>670</v>
      </c>
      <c r="J208" s="525" t="s">
        <v>671</v>
      </c>
      <c r="K208" s="525" t="s">
        <v>672</v>
      </c>
      <c r="L208" s="527">
        <v>34.207489567367425</v>
      </c>
      <c r="M208" s="527">
        <v>4</v>
      </c>
      <c r="N208" s="528">
        <v>136.8299582694697</v>
      </c>
    </row>
    <row r="209" spans="1:14" ht="14.4" customHeight="1" x14ac:dyDescent="0.3">
      <c r="A209" s="523" t="s">
        <v>443</v>
      </c>
      <c r="B209" s="524" t="s">
        <v>445</v>
      </c>
      <c r="C209" s="525" t="s">
        <v>465</v>
      </c>
      <c r="D209" s="526" t="s">
        <v>466</v>
      </c>
      <c r="E209" s="525" t="s">
        <v>446</v>
      </c>
      <c r="F209" s="526" t="s">
        <v>447</v>
      </c>
      <c r="G209" s="525" t="s">
        <v>469</v>
      </c>
      <c r="H209" s="525" t="s">
        <v>676</v>
      </c>
      <c r="I209" s="525" t="s">
        <v>677</v>
      </c>
      <c r="J209" s="525" t="s">
        <v>678</v>
      </c>
      <c r="K209" s="525"/>
      <c r="L209" s="527">
        <v>76.079755006962699</v>
      </c>
      <c r="M209" s="527">
        <v>1</v>
      </c>
      <c r="N209" s="528">
        <v>76.079755006962699</v>
      </c>
    </row>
    <row r="210" spans="1:14" ht="14.4" customHeight="1" x14ac:dyDescent="0.3">
      <c r="A210" s="523" t="s">
        <v>443</v>
      </c>
      <c r="B210" s="524" t="s">
        <v>445</v>
      </c>
      <c r="C210" s="525" t="s">
        <v>465</v>
      </c>
      <c r="D210" s="526" t="s">
        <v>466</v>
      </c>
      <c r="E210" s="525" t="s">
        <v>446</v>
      </c>
      <c r="F210" s="526" t="s">
        <v>447</v>
      </c>
      <c r="G210" s="525" t="s">
        <v>469</v>
      </c>
      <c r="H210" s="525" t="s">
        <v>679</v>
      </c>
      <c r="I210" s="525" t="s">
        <v>680</v>
      </c>
      <c r="J210" s="525" t="s">
        <v>681</v>
      </c>
      <c r="K210" s="525" t="s">
        <v>682</v>
      </c>
      <c r="L210" s="527">
        <v>36.935266666666664</v>
      </c>
      <c r="M210" s="527">
        <v>15</v>
      </c>
      <c r="N210" s="528">
        <v>554.029</v>
      </c>
    </row>
    <row r="211" spans="1:14" ht="14.4" customHeight="1" x14ac:dyDescent="0.3">
      <c r="A211" s="523" t="s">
        <v>443</v>
      </c>
      <c r="B211" s="524" t="s">
        <v>445</v>
      </c>
      <c r="C211" s="525" t="s">
        <v>465</v>
      </c>
      <c r="D211" s="526" t="s">
        <v>466</v>
      </c>
      <c r="E211" s="525" t="s">
        <v>446</v>
      </c>
      <c r="F211" s="526" t="s">
        <v>447</v>
      </c>
      <c r="G211" s="525" t="s">
        <v>469</v>
      </c>
      <c r="H211" s="525" t="s">
        <v>965</v>
      </c>
      <c r="I211" s="525" t="s">
        <v>966</v>
      </c>
      <c r="J211" s="525" t="s">
        <v>967</v>
      </c>
      <c r="K211" s="525" t="s">
        <v>968</v>
      </c>
      <c r="L211" s="527">
        <v>51.604992999718228</v>
      </c>
      <c r="M211" s="527">
        <v>4</v>
      </c>
      <c r="N211" s="528">
        <v>206.41997199887291</v>
      </c>
    </row>
    <row r="212" spans="1:14" ht="14.4" customHeight="1" x14ac:dyDescent="0.3">
      <c r="A212" s="523" t="s">
        <v>443</v>
      </c>
      <c r="B212" s="524" t="s">
        <v>445</v>
      </c>
      <c r="C212" s="525" t="s">
        <v>465</v>
      </c>
      <c r="D212" s="526" t="s">
        <v>466</v>
      </c>
      <c r="E212" s="525" t="s">
        <v>446</v>
      </c>
      <c r="F212" s="526" t="s">
        <v>447</v>
      </c>
      <c r="G212" s="525" t="s">
        <v>469</v>
      </c>
      <c r="H212" s="525" t="s">
        <v>683</v>
      </c>
      <c r="I212" s="525" t="s">
        <v>684</v>
      </c>
      <c r="J212" s="525" t="s">
        <v>545</v>
      </c>
      <c r="K212" s="525" t="s">
        <v>685</v>
      </c>
      <c r="L212" s="527">
        <v>160.07002953035399</v>
      </c>
      <c r="M212" s="527">
        <v>6</v>
      </c>
      <c r="N212" s="528">
        <v>960.42017718212401</v>
      </c>
    </row>
    <row r="213" spans="1:14" ht="14.4" customHeight="1" x14ac:dyDescent="0.3">
      <c r="A213" s="523" t="s">
        <v>443</v>
      </c>
      <c r="B213" s="524" t="s">
        <v>445</v>
      </c>
      <c r="C213" s="525" t="s">
        <v>465</v>
      </c>
      <c r="D213" s="526" t="s">
        <v>466</v>
      </c>
      <c r="E213" s="525" t="s">
        <v>446</v>
      </c>
      <c r="F213" s="526" t="s">
        <v>447</v>
      </c>
      <c r="G213" s="525" t="s">
        <v>469</v>
      </c>
      <c r="H213" s="525" t="s">
        <v>686</v>
      </c>
      <c r="I213" s="525" t="s">
        <v>687</v>
      </c>
      <c r="J213" s="525" t="s">
        <v>688</v>
      </c>
      <c r="K213" s="525"/>
      <c r="L213" s="527">
        <v>330.2588419792981</v>
      </c>
      <c r="M213" s="527">
        <v>38</v>
      </c>
      <c r="N213" s="528">
        <v>12549.835995213327</v>
      </c>
    </row>
    <row r="214" spans="1:14" ht="14.4" customHeight="1" x14ac:dyDescent="0.3">
      <c r="A214" s="523" t="s">
        <v>443</v>
      </c>
      <c r="B214" s="524" t="s">
        <v>445</v>
      </c>
      <c r="C214" s="525" t="s">
        <v>465</v>
      </c>
      <c r="D214" s="526" t="s">
        <v>466</v>
      </c>
      <c r="E214" s="525" t="s">
        <v>446</v>
      </c>
      <c r="F214" s="526" t="s">
        <v>447</v>
      </c>
      <c r="G214" s="525" t="s">
        <v>469</v>
      </c>
      <c r="H214" s="525" t="s">
        <v>689</v>
      </c>
      <c r="I214" s="525" t="s">
        <v>497</v>
      </c>
      <c r="J214" s="525" t="s">
        <v>690</v>
      </c>
      <c r="K214" s="525"/>
      <c r="L214" s="527">
        <v>196.24538742946061</v>
      </c>
      <c r="M214" s="527">
        <v>12</v>
      </c>
      <c r="N214" s="528">
        <v>2354.9446491535273</v>
      </c>
    </row>
    <row r="215" spans="1:14" ht="14.4" customHeight="1" x14ac:dyDescent="0.3">
      <c r="A215" s="523" t="s">
        <v>443</v>
      </c>
      <c r="B215" s="524" t="s">
        <v>445</v>
      </c>
      <c r="C215" s="525" t="s">
        <v>465</v>
      </c>
      <c r="D215" s="526" t="s">
        <v>466</v>
      </c>
      <c r="E215" s="525" t="s">
        <v>446</v>
      </c>
      <c r="F215" s="526" t="s">
        <v>447</v>
      </c>
      <c r="G215" s="525" t="s">
        <v>469</v>
      </c>
      <c r="H215" s="525" t="s">
        <v>969</v>
      </c>
      <c r="I215" s="525" t="s">
        <v>497</v>
      </c>
      <c r="J215" s="525" t="s">
        <v>970</v>
      </c>
      <c r="K215" s="525"/>
      <c r="L215" s="527">
        <v>49.223402836660199</v>
      </c>
      <c r="M215" s="527">
        <v>4</v>
      </c>
      <c r="N215" s="528">
        <v>196.8936113466408</v>
      </c>
    </row>
    <row r="216" spans="1:14" ht="14.4" customHeight="1" x14ac:dyDescent="0.3">
      <c r="A216" s="523" t="s">
        <v>443</v>
      </c>
      <c r="B216" s="524" t="s">
        <v>445</v>
      </c>
      <c r="C216" s="525" t="s">
        <v>465</v>
      </c>
      <c r="D216" s="526" t="s">
        <v>466</v>
      </c>
      <c r="E216" s="525" t="s">
        <v>446</v>
      </c>
      <c r="F216" s="526" t="s">
        <v>447</v>
      </c>
      <c r="G216" s="525" t="s">
        <v>469</v>
      </c>
      <c r="H216" s="525" t="s">
        <v>691</v>
      </c>
      <c r="I216" s="525" t="s">
        <v>692</v>
      </c>
      <c r="J216" s="525" t="s">
        <v>693</v>
      </c>
      <c r="K216" s="525" t="s">
        <v>694</v>
      </c>
      <c r="L216" s="527">
        <v>101.88979480397099</v>
      </c>
      <c r="M216" s="527">
        <v>7</v>
      </c>
      <c r="N216" s="528">
        <v>713.22856362779692</v>
      </c>
    </row>
    <row r="217" spans="1:14" ht="14.4" customHeight="1" x14ac:dyDescent="0.3">
      <c r="A217" s="523" t="s">
        <v>443</v>
      </c>
      <c r="B217" s="524" t="s">
        <v>445</v>
      </c>
      <c r="C217" s="525" t="s">
        <v>465</v>
      </c>
      <c r="D217" s="526" t="s">
        <v>466</v>
      </c>
      <c r="E217" s="525" t="s">
        <v>446</v>
      </c>
      <c r="F217" s="526" t="s">
        <v>447</v>
      </c>
      <c r="G217" s="525" t="s">
        <v>469</v>
      </c>
      <c r="H217" s="525" t="s">
        <v>971</v>
      </c>
      <c r="I217" s="525" t="s">
        <v>972</v>
      </c>
      <c r="J217" s="525" t="s">
        <v>973</v>
      </c>
      <c r="K217" s="525" t="s">
        <v>964</v>
      </c>
      <c r="L217" s="527">
        <v>109.19307692307692</v>
      </c>
      <c r="M217" s="527">
        <v>78</v>
      </c>
      <c r="N217" s="528">
        <v>8517.06</v>
      </c>
    </row>
    <row r="218" spans="1:14" ht="14.4" customHeight="1" x14ac:dyDescent="0.3">
      <c r="A218" s="523" t="s">
        <v>443</v>
      </c>
      <c r="B218" s="524" t="s">
        <v>445</v>
      </c>
      <c r="C218" s="525" t="s">
        <v>465</v>
      </c>
      <c r="D218" s="526" t="s">
        <v>466</v>
      </c>
      <c r="E218" s="525" t="s">
        <v>446</v>
      </c>
      <c r="F218" s="526" t="s">
        <v>447</v>
      </c>
      <c r="G218" s="525" t="s">
        <v>469</v>
      </c>
      <c r="H218" s="525" t="s">
        <v>974</v>
      </c>
      <c r="I218" s="525" t="s">
        <v>975</v>
      </c>
      <c r="J218" s="525" t="s">
        <v>976</v>
      </c>
      <c r="K218" s="525" t="s">
        <v>977</v>
      </c>
      <c r="L218" s="527">
        <v>35.571918604651167</v>
      </c>
      <c r="M218" s="527">
        <v>344</v>
      </c>
      <c r="N218" s="528">
        <v>12236.740000000002</v>
      </c>
    </row>
    <row r="219" spans="1:14" ht="14.4" customHeight="1" x14ac:dyDescent="0.3">
      <c r="A219" s="523" t="s">
        <v>443</v>
      </c>
      <c r="B219" s="524" t="s">
        <v>445</v>
      </c>
      <c r="C219" s="525" t="s">
        <v>465</v>
      </c>
      <c r="D219" s="526" t="s">
        <v>466</v>
      </c>
      <c r="E219" s="525" t="s">
        <v>446</v>
      </c>
      <c r="F219" s="526" t="s">
        <v>447</v>
      </c>
      <c r="G219" s="525" t="s">
        <v>469</v>
      </c>
      <c r="H219" s="525" t="s">
        <v>978</v>
      </c>
      <c r="I219" s="525" t="s">
        <v>979</v>
      </c>
      <c r="J219" s="525" t="s">
        <v>980</v>
      </c>
      <c r="K219" s="525" t="s">
        <v>981</v>
      </c>
      <c r="L219" s="527">
        <v>363.68939393939394</v>
      </c>
      <c r="M219" s="527">
        <v>6.6</v>
      </c>
      <c r="N219" s="528">
        <v>2400.35</v>
      </c>
    </row>
    <row r="220" spans="1:14" ht="14.4" customHeight="1" x14ac:dyDescent="0.3">
      <c r="A220" s="523" t="s">
        <v>443</v>
      </c>
      <c r="B220" s="524" t="s">
        <v>445</v>
      </c>
      <c r="C220" s="525" t="s">
        <v>465</v>
      </c>
      <c r="D220" s="526" t="s">
        <v>466</v>
      </c>
      <c r="E220" s="525" t="s">
        <v>446</v>
      </c>
      <c r="F220" s="526" t="s">
        <v>447</v>
      </c>
      <c r="G220" s="525" t="s">
        <v>469</v>
      </c>
      <c r="H220" s="525" t="s">
        <v>695</v>
      </c>
      <c r="I220" s="525" t="s">
        <v>497</v>
      </c>
      <c r="J220" s="525" t="s">
        <v>696</v>
      </c>
      <c r="K220" s="525"/>
      <c r="L220" s="527">
        <v>51.329342692258095</v>
      </c>
      <c r="M220" s="527">
        <v>2</v>
      </c>
      <c r="N220" s="528">
        <v>102.65868538451619</v>
      </c>
    </row>
    <row r="221" spans="1:14" ht="14.4" customHeight="1" x14ac:dyDescent="0.3">
      <c r="A221" s="523" t="s">
        <v>443</v>
      </c>
      <c r="B221" s="524" t="s">
        <v>445</v>
      </c>
      <c r="C221" s="525" t="s">
        <v>465</v>
      </c>
      <c r="D221" s="526" t="s">
        <v>466</v>
      </c>
      <c r="E221" s="525" t="s">
        <v>446</v>
      </c>
      <c r="F221" s="526" t="s">
        <v>447</v>
      </c>
      <c r="G221" s="525" t="s">
        <v>469</v>
      </c>
      <c r="H221" s="525" t="s">
        <v>982</v>
      </c>
      <c r="I221" s="525" t="s">
        <v>983</v>
      </c>
      <c r="J221" s="525" t="s">
        <v>984</v>
      </c>
      <c r="K221" s="525" t="s">
        <v>682</v>
      </c>
      <c r="L221" s="527">
        <v>31.0950112459651</v>
      </c>
      <c r="M221" s="527">
        <v>8</v>
      </c>
      <c r="N221" s="528">
        <v>248.7600899677208</v>
      </c>
    </row>
    <row r="222" spans="1:14" ht="14.4" customHeight="1" x14ac:dyDescent="0.3">
      <c r="A222" s="523" t="s">
        <v>443</v>
      </c>
      <c r="B222" s="524" t="s">
        <v>445</v>
      </c>
      <c r="C222" s="525" t="s">
        <v>465</v>
      </c>
      <c r="D222" s="526" t="s">
        <v>466</v>
      </c>
      <c r="E222" s="525" t="s">
        <v>446</v>
      </c>
      <c r="F222" s="526" t="s">
        <v>447</v>
      </c>
      <c r="G222" s="525" t="s">
        <v>469</v>
      </c>
      <c r="H222" s="525" t="s">
        <v>985</v>
      </c>
      <c r="I222" s="525" t="s">
        <v>986</v>
      </c>
      <c r="J222" s="525" t="s">
        <v>987</v>
      </c>
      <c r="K222" s="525" t="s">
        <v>988</v>
      </c>
      <c r="L222" s="527">
        <v>20.715</v>
      </c>
      <c r="M222" s="527">
        <v>360</v>
      </c>
      <c r="N222" s="528">
        <v>7457.4</v>
      </c>
    </row>
    <row r="223" spans="1:14" ht="14.4" customHeight="1" x14ac:dyDescent="0.3">
      <c r="A223" s="523" t="s">
        <v>443</v>
      </c>
      <c r="B223" s="524" t="s">
        <v>445</v>
      </c>
      <c r="C223" s="525" t="s">
        <v>465</v>
      </c>
      <c r="D223" s="526" t="s">
        <v>466</v>
      </c>
      <c r="E223" s="525" t="s">
        <v>446</v>
      </c>
      <c r="F223" s="526" t="s">
        <v>447</v>
      </c>
      <c r="G223" s="525" t="s">
        <v>469</v>
      </c>
      <c r="H223" s="525" t="s">
        <v>989</v>
      </c>
      <c r="I223" s="525" t="s">
        <v>990</v>
      </c>
      <c r="J223" s="525" t="s">
        <v>991</v>
      </c>
      <c r="K223" s="525" t="s">
        <v>992</v>
      </c>
      <c r="L223" s="527">
        <v>219.14</v>
      </c>
      <c r="M223" s="527">
        <v>1</v>
      </c>
      <c r="N223" s="528">
        <v>219.14</v>
      </c>
    </row>
    <row r="224" spans="1:14" ht="14.4" customHeight="1" x14ac:dyDescent="0.3">
      <c r="A224" s="523" t="s">
        <v>443</v>
      </c>
      <c r="B224" s="524" t="s">
        <v>445</v>
      </c>
      <c r="C224" s="525" t="s">
        <v>465</v>
      </c>
      <c r="D224" s="526" t="s">
        <v>466</v>
      </c>
      <c r="E224" s="525" t="s">
        <v>446</v>
      </c>
      <c r="F224" s="526" t="s">
        <v>447</v>
      </c>
      <c r="G224" s="525" t="s">
        <v>469</v>
      </c>
      <c r="H224" s="525" t="s">
        <v>531</v>
      </c>
      <c r="I224" s="525" t="s">
        <v>532</v>
      </c>
      <c r="J224" s="525" t="s">
        <v>533</v>
      </c>
      <c r="K224" s="525" t="s">
        <v>534</v>
      </c>
      <c r="L224" s="527">
        <v>50.985981436722206</v>
      </c>
      <c r="M224" s="527">
        <v>5</v>
      </c>
      <c r="N224" s="528">
        <v>254.92990718361102</v>
      </c>
    </row>
    <row r="225" spans="1:14" ht="14.4" customHeight="1" x14ac:dyDescent="0.3">
      <c r="A225" s="523" t="s">
        <v>443</v>
      </c>
      <c r="B225" s="524" t="s">
        <v>445</v>
      </c>
      <c r="C225" s="525" t="s">
        <v>465</v>
      </c>
      <c r="D225" s="526" t="s">
        <v>466</v>
      </c>
      <c r="E225" s="525" t="s">
        <v>446</v>
      </c>
      <c r="F225" s="526" t="s">
        <v>447</v>
      </c>
      <c r="G225" s="525" t="s">
        <v>469</v>
      </c>
      <c r="H225" s="525" t="s">
        <v>551</v>
      </c>
      <c r="I225" s="525" t="s">
        <v>497</v>
      </c>
      <c r="J225" s="525" t="s">
        <v>552</v>
      </c>
      <c r="K225" s="525"/>
      <c r="L225" s="527">
        <v>49.90805471560563</v>
      </c>
      <c r="M225" s="527">
        <v>61</v>
      </c>
      <c r="N225" s="528">
        <v>3044.3913376519436</v>
      </c>
    </row>
    <row r="226" spans="1:14" ht="14.4" customHeight="1" x14ac:dyDescent="0.3">
      <c r="A226" s="523" t="s">
        <v>443</v>
      </c>
      <c r="B226" s="524" t="s">
        <v>445</v>
      </c>
      <c r="C226" s="525" t="s">
        <v>465</v>
      </c>
      <c r="D226" s="526" t="s">
        <v>466</v>
      </c>
      <c r="E226" s="525" t="s">
        <v>446</v>
      </c>
      <c r="F226" s="526" t="s">
        <v>447</v>
      </c>
      <c r="G226" s="525" t="s">
        <v>469</v>
      </c>
      <c r="H226" s="525" t="s">
        <v>557</v>
      </c>
      <c r="I226" s="525" t="s">
        <v>497</v>
      </c>
      <c r="J226" s="525" t="s">
        <v>558</v>
      </c>
      <c r="K226" s="525"/>
      <c r="L226" s="527">
        <v>56.305189444361638</v>
      </c>
      <c r="M226" s="527">
        <v>210</v>
      </c>
      <c r="N226" s="528">
        <v>11824.089783315943</v>
      </c>
    </row>
    <row r="227" spans="1:14" ht="14.4" customHeight="1" x14ac:dyDescent="0.3">
      <c r="A227" s="523" t="s">
        <v>443</v>
      </c>
      <c r="B227" s="524" t="s">
        <v>445</v>
      </c>
      <c r="C227" s="525" t="s">
        <v>465</v>
      </c>
      <c r="D227" s="526" t="s">
        <v>466</v>
      </c>
      <c r="E227" s="525" t="s">
        <v>446</v>
      </c>
      <c r="F227" s="526" t="s">
        <v>447</v>
      </c>
      <c r="G227" s="525" t="s">
        <v>469</v>
      </c>
      <c r="H227" s="525" t="s">
        <v>567</v>
      </c>
      <c r="I227" s="525" t="s">
        <v>497</v>
      </c>
      <c r="J227" s="525" t="s">
        <v>568</v>
      </c>
      <c r="K227" s="525"/>
      <c r="L227" s="527">
        <v>47.812474916157072</v>
      </c>
      <c r="M227" s="527">
        <v>75</v>
      </c>
      <c r="N227" s="528">
        <v>3585.9356187117805</v>
      </c>
    </row>
    <row r="228" spans="1:14" ht="14.4" customHeight="1" x14ac:dyDescent="0.3">
      <c r="A228" s="523" t="s">
        <v>443</v>
      </c>
      <c r="B228" s="524" t="s">
        <v>445</v>
      </c>
      <c r="C228" s="525" t="s">
        <v>465</v>
      </c>
      <c r="D228" s="526" t="s">
        <v>466</v>
      </c>
      <c r="E228" s="525" t="s">
        <v>446</v>
      </c>
      <c r="F228" s="526" t="s">
        <v>447</v>
      </c>
      <c r="G228" s="525" t="s">
        <v>469</v>
      </c>
      <c r="H228" s="525" t="s">
        <v>571</v>
      </c>
      <c r="I228" s="525" t="s">
        <v>497</v>
      </c>
      <c r="J228" s="525" t="s">
        <v>572</v>
      </c>
      <c r="K228" s="525"/>
      <c r="L228" s="527">
        <v>96.646769085383454</v>
      </c>
      <c r="M228" s="527">
        <v>45</v>
      </c>
      <c r="N228" s="528">
        <v>4349.1046088422554</v>
      </c>
    </row>
    <row r="229" spans="1:14" ht="14.4" customHeight="1" x14ac:dyDescent="0.3">
      <c r="A229" s="523" t="s">
        <v>443</v>
      </c>
      <c r="B229" s="524" t="s">
        <v>445</v>
      </c>
      <c r="C229" s="525" t="s">
        <v>465</v>
      </c>
      <c r="D229" s="526" t="s">
        <v>466</v>
      </c>
      <c r="E229" s="525" t="s">
        <v>446</v>
      </c>
      <c r="F229" s="526" t="s">
        <v>447</v>
      </c>
      <c r="G229" s="525" t="s">
        <v>469</v>
      </c>
      <c r="H229" s="525" t="s">
        <v>697</v>
      </c>
      <c r="I229" s="525" t="s">
        <v>698</v>
      </c>
      <c r="J229" s="525" t="s">
        <v>699</v>
      </c>
      <c r="K229" s="525" t="s">
        <v>700</v>
      </c>
      <c r="L229" s="527">
        <v>82.057999999999993</v>
      </c>
      <c r="M229" s="527">
        <v>5</v>
      </c>
      <c r="N229" s="528">
        <v>410.28999999999996</v>
      </c>
    </row>
    <row r="230" spans="1:14" ht="14.4" customHeight="1" x14ac:dyDescent="0.3">
      <c r="A230" s="523" t="s">
        <v>443</v>
      </c>
      <c r="B230" s="524" t="s">
        <v>445</v>
      </c>
      <c r="C230" s="525" t="s">
        <v>465</v>
      </c>
      <c r="D230" s="526" t="s">
        <v>466</v>
      </c>
      <c r="E230" s="525" t="s">
        <v>446</v>
      </c>
      <c r="F230" s="526" t="s">
        <v>447</v>
      </c>
      <c r="G230" s="525" t="s">
        <v>469</v>
      </c>
      <c r="H230" s="525" t="s">
        <v>707</v>
      </c>
      <c r="I230" s="525" t="s">
        <v>497</v>
      </c>
      <c r="J230" s="525" t="s">
        <v>708</v>
      </c>
      <c r="K230" s="525"/>
      <c r="L230" s="527">
        <v>299.30448509017486</v>
      </c>
      <c r="M230" s="527">
        <v>34</v>
      </c>
      <c r="N230" s="528">
        <v>10176.352493065946</v>
      </c>
    </row>
    <row r="231" spans="1:14" ht="14.4" customHeight="1" x14ac:dyDescent="0.3">
      <c r="A231" s="523" t="s">
        <v>443</v>
      </c>
      <c r="B231" s="524" t="s">
        <v>445</v>
      </c>
      <c r="C231" s="525" t="s">
        <v>465</v>
      </c>
      <c r="D231" s="526" t="s">
        <v>466</v>
      </c>
      <c r="E231" s="525" t="s">
        <v>446</v>
      </c>
      <c r="F231" s="526" t="s">
        <v>447</v>
      </c>
      <c r="G231" s="525" t="s">
        <v>469</v>
      </c>
      <c r="H231" s="525" t="s">
        <v>709</v>
      </c>
      <c r="I231" s="525" t="s">
        <v>497</v>
      </c>
      <c r="J231" s="525" t="s">
        <v>710</v>
      </c>
      <c r="K231" s="525"/>
      <c r="L231" s="527">
        <v>135.62906803565207</v>
      </c>
      <c r="M231" s="527">
        <v>76</v>
      </c>
      <c r="N231" s="528">
        <v>10307.809170709557</v>
      </c>
    </row>
    <row r="232" spans="1:14" ht="14.4" customHeight="1" x14ac:dyDescent="0.3">
      <c r="A232" s="523" t="s">
        <v>443</v>
      </c>
      <c r="B232" s="524" t="s">
        <v>445</v>
      </c>
      <c r="C232" s="525" t="s">
        <v>465</v>
      </c>
      <c r="D232" s="526" t="s">
        <v>466</v>
      </c>
      <c r="E232" s="525" t="s">
        <v>446</v>
      </c>
      <c r="F232" s="526" t="s">
        <v>447</v>
      </c>
      <c r="G232" s="525" t="s">
        <v>469</v>
      </c>
      <c r="H232" s="525" t="s">
        <v>711</v>
      </c>
      <c r="I232" s="525" t="s">
        <v>497</v>
      </c>
      <c r="J232" s="525" t="s">
        <v>712</v>
      </c>
      <c r="K232" s="525"/>
      <c r="L232" s="527">
        <v>175.71647995145327</v>
      </c>
      <c r="M232" s="527">
        <v>32</v>
      </c>
      <c r="N232" s="528">
        <v>5622.9273584465045</v>
      </c>
    </row>
    <row r="233" spans="1:14" ht="14.4" customHeight="1" x14ac:dyDescent="0.3">
      <c r="A233" s="523" t="s">
        <v>443</v>
      </c>
      <c r="B233" s="524" t="s">
        <v>445</v>
      </c>
      <c r="C233" s="525" t="s">
        <v>465</v>
      </c>
      <c r="D233" s="526" t="s">
        <v>466</v>
      </c>
      <c r="E233" s="525" t="s">
        <v>446</v>
      </c>
      <c r="F233" s="526" t="s">
        <v>447</v>
      </c>
      <c r="G233" s="525" t="s">
        <v>469</v>
      </c>
      <c r="H233" s="525" t="s">
        <v>713</v>
      </c>
      <c r="I233" s="525" t="s">
        <v>497</v>
      </c>
      <c r="J233" s="525" t="s">
        <v>714</v>
      </c>
      <c r="K233" s="525"/>
      <c r="L233" s="527">
        <v>181.96488560435333</v>
      </c>
      <c r="M233" s="527">
        <v>3</v>
      </c>
      <c r="N233" s="528">
        <v>545.89465681306001</v>
      </c>
    </row>
    <row r="234" spans="1:14" ht="14.4" customHeight="1" x14ac:dyDescent="0.3">
      <c r="A234" s="523" t="s">
        <v>443</v>
      </c>
      <c r="B234" s="524" t="s">
        <v>445</v>
      </c>
      <c r="C234" s="525" t="s">
        <v>465</v>
      </c>
      <c r="D234" s="526" t="s">
        <v>466</v>
      </c>
      <c r="E234" s="525" t="s">
        <v>446</v>
      </c>
      <c r="F234" s="526" t="s">
        <v>447</v>
      </c>
      <c r="G234" s="525" t="s">
        <v>469</v>
      </c>
      <c r="H234" s="525" t="s">
        <v>715</v>
      </c>
      <c r="I234" s="525" t="s">
        <v>497</v>
      </c>
      <c r="J234" s="525" t="s">
        <v>716</v>
      </c>
      <c r="K234" s="525"/>
      <c r="L234" s="527">
        <v>109.52260438308281</v>
      </c>
      <c r="M234" s="527">
        <v>60</v>
      </c>
      <c r="N234" s="528">
        <v>6571.3562629849685</v>
      </c>
    </row>
    <row r="235" spans="1:14" ht="14.4" customHeight="1" x14ac:dyDescent="0.3">
      <c r="A235" s="523" t="s">
        <v>443</v>
      </c>
      <c r="B235" s="524" t="s">
        <v>445</v>
      </c>
      <c r="C235" s="525" t="s">
        <v>465</v>
      </c>
      <c r="D235" s="526" t="s">
        <v>466</v>
      </c>
      <c r="E235" s="525" t="s">
        <v>446</v>
      </c>
      <c r="F235" s="526" t="s">
        <v>447</v>
      </c>
      <c r="G235" s="525" t="s">
        <v>469</v>
      </c>
      <c r="H235" s="525" t="s">
        <v>717</v>
      </c>
      <c r="I235" s="525" t="s">
        <v>497</v>
      </c>
      <c r="J235" s="525" t="s">
        <v>718</v>
      </c>
      <c r="K235" s="525"/>
      <c r="L235" s="527">
        <v>491.69762616590248</v>
      </c>
      <c r="M235" s="527">
        <v>7</v>
      </c>
      <c r="N235" s="528">
        <v>3441.8833831613174</v>
      </c>
    </row>
    <row r="236" spans="1:14" ht="14.4" customHeight="1" x14ac:dyDescent="0.3">
      <c r="A236" s="523" t="s">
        <v>443</v>
      </c>
      <c r="B236" s="524" t="s">
        <v>445</v>
      </c>
      <c r="C236" s="525" t="s">
        <v>465</v>
      </c>
      <c r="D236" s="526" t="s">
        <v>466</v>
      </c>
      <c r="E236" s="525" t="s">
        <v>446</v>
      </c>
      <c r="F236" s="526" t="s">
        <v>447</v>
      </c>
      <c r="G236" s="525" t="s">
        <v>469</v>
      </c>
      <c r="H236" s="525" t="s">
        <v>993</v>
      </c>
      <c r="I236" s="525" t="s">
        <v>993</v>
      </c>
      <c r="J236" s="525" t="s">
        <v>994</v>
      </c>
      <c r="K236" s="525" t="s">
        <v>995</v>
      </c>
      <c r="L236" s="527">
        <v>5325.08</v>
      </c>
      <c r="M236" s="527">
        <v>1</v>
      </c>
      <c r="N236" s="528">
        <v>5325.08</v>
      </c>
    </row>
    <row r="237" spans="1:14" ht="14.4" customHeight="1" x14ac:dyDescent="0.3">
      <c r="A237" s="523" t="s">
        <v>443</v>
      </c>
      <c r="B237" s="524" t="s">
        <v>445</v>
      </c>
      <c r="C237" s="525" t="s">
        <v>465</v>
      </c>
      <c r="D237" s="526" t="s">
        <v>466</v>
      </c>
      <c r="E237" s="525" t="s">
        <v>446</v>
      </c>
      <c r="F237" s="526" t="s">
        <v>447</v>
      </c>
      <c r="G237" s="525" t="s">
        <v>469</v>
      </c>
      <c r="H237" s="525" t="s">
        <v>996</v>
      </c>
      <c r="I237" s="525" t="s">
        <v>997</v>
      </c>
      <c r="J237" s="525" t="s">
        <v>998</v>
      </c>
      <c r="K237" s="525" t="s">
        <v>999</v>
      </c>
      <c r="L237" s="527">
        <v>90.970044967343398</v>
      </c>
      <c r="M237" s="527">
        <v>1</v>
      </c>
      <c r="N237" s="528">
        <v>90.970044967343398</v>
      </c>
    </row>
    <row r="238" spans="1:14" ht="14.4" customHeight="1" x14ac:dyDescent="0.3">
      <c r="A238" s="523" t="s">
        <v>443</v>
      </c>
      <c r="B238" s="524" t="s">
        <v>445</v>
      </c>
      <c r="C238" s="525" t="s">
        <v>465</v>
      </c>
      <c r="D238" s="526" t="s">
        <v>466</v>
      </c>
      <c r="E238" s="525" t="s">
        <v>446</v>
      </c>
      <c r="F238" s="526" t="s">
        <v>447</v>
      </c>
      <c r="G238" s="525" t="s">
        <v>469</v>
      </c>
      <c r="H238" s="525" t="s">
        <v>1000</v>
      </c>
      <c r="I238" s="525" t="s">
        <v>1001</v>
      </c>
      <c r="J238" s="525" t="s">
        <v>1002</v>
      </c>
      <c r="K238" s="525" t="s">
        <v>1003</v>
      </c>
      <c r="L238" s="527">
        <v>425.84</v>
      </c>
      <c r="M238" s="527">
        <v>7</v>
      </c>
      <c r="N238" s="528">
        <v>2980.8799999999997</v>
      </c>
    </row>
    <row r="239" spans="1:14" ht="14.4" customHeight="1" x14ac:dyDescent="0.3">
      <c r="A239" s="523" t="s">
        <v>443</v>
      </c>
      <c r="B239" s="524" t="s">
        <v>445</v>
      </c>
      <c r="C239" s="525" t="s">
        <v>465</v>
      </c>
      <c r="D239" s="526" t="s">
        <v>466</v>
      </c>
      <c r="E239" s="525" t="s">
        <v>446</v>
      </c>
      <c r="F239" s="526" t="s">
        <v>447</v>
      </c>
      <c r="G239" s="525" t="s">
        <v>469</v>
      </c>
      <c r="H239" s="525" t="s">
        <v>1004</v>
      </c>
      <c r="I239" s="525" t="s">
        <v>1005</v>
      </c>
      <c r="J239" s="525" t="s">
        <v>1006</v>
      </c>
      <c r="K239" s="525" t="s">
        <v>1007</v>
      </c>
      <c r="L239" s="527">
        <v>942.168988525798</v>
      </c>
      <c r="M239" s="527">
        <v>33</v>
      </c>
      <c r="N239" s="528">
        <v>31091.576621351334</v>
      </c>
    </row>
    <row r="240" spans="1:14" ht="14.4" customHeight="1" x14ac:dyDescent="0.3">
      <c r="A240" s="523" t="s">
        <v>443</v>
      </c>
      <c r="B240" s="524" t="s">
        <v>445</v>
      </c>
      <c r="C240" s="525" t="s">
        <v>465</v>
      </c>
      <c r="D240" s="526" t="s">
        <v>466</v>
      </c>
      <c r="E240" s="525" t="s">
        <v>446</v>
      </c>
      <c r="F240" s="526" t="s">
        <v>447</v>
      </c>
      <c r="G240" s="525" t="s">
        <v>469</v>
      </c>
      <c r="H240" s="525" t="s">
        <v>1008</v>
      </c>
      <c r="I240" s="525" t="s">
        <v>1008</v>
      </c>
      <c r="J240" s="525" t="s">
        <v>1009</v>
      </c>
      <c r="K240" s="525" t="s">
        <v>1010</v>
      </c>
      <c r="L240" s="527">
        <v>135.79</v>
      </c>
      <c r="M240" s="527">
        <v>1</v>
      </c>
      <c r="N240" s="528">
        <v>135.79</v>
      </c>
    </row>
    <row r="241" spans="1:14" ht="14.4" customHeight="1" x14ac:dyDescent="0.3">
      <c r="A241" s="523" t="s">
        <v>443</v>
      </c>
      <c r="B241" s="524" t="s">
        <v>445</v>
      </c>
      <c r="C241" s="525" t="s">
        <v>465</v>
      </c>
      <c r="D241" s="526" t="s">
        <v>466</v>
      </c>
      <c r="E241" s="525" t="s">
        <v>446</v>
      </c>
      <c r="F241" s="526" t="s">
        <v>447</v>
      </c>
      <c r="G241" s="525" t="s">
        <v>469</v>
      </c>
      <c r="H241" s="525" t="s">
        <v>1011</v>
      </c>
      <c r="I241" s="525" t="s">
        <v>1011</v>
      </c>
      <c r="J241" s="525" t="s">
        <v>1012</v>
      </c>
      <c r="K241" s="525" t="s">
        <v>1013</v>
      </c>
      <c r="L241" s="527">
        <v>7581.8695634841915</v>
      </c>
      <c r="M241" s="527">
        <v>17</v>
      </c>
      <c r="N241" s="528">
        <v>128891.78257923125</v>
      </c>
    </row>
    <row r="242" spans="1:14" ht="14.4" customHeight="1" x14ac:dyDescent="0.3">
      <c r="A242" s="523" t="s">
        <v>443</v>
      </c>
      <c r="B242" s="524" t="s">
        <v>445</v>
      </c>
      <c r="C242" s="525" t="s">
        <v>465</v>
      </c>
      <c r="D242" s="526" t="s">
        <v>466</v>
      </c>
      <c r="E242" s="525" t="s">
        <v>446</v>
      </c>
      <c r="F242" s="526" t="s">
        <v>447</v>
      </c>
      <c r="G242" s="525" t="s">
        <v>469</v>
      </c>
      <c r="H242" s="525" t="s">
        <v>1014</v>
      </c>
      <c r="I242" s="525" t="s">
        <v>1015</v>
      </c>
      <c r="J242" s="525" t="s">
        <v>987</v>
      </c>
      <c r="K242" s="525" t="s">
        <v>955</v>
      </c>
      <c r="L242" s="527">
        <v>18.890674724581572</v>
      </c>
      <c r="M242" s="527">
        <v>615</v>
      </c>
      <c r="N242" s="528">
        <v>11617.764955617668</v>
      </c>
    </row>
    <row r="243" spans="1:14" ht="14.4" customHeight="1" x14ac:dyDescent="0.3">
      <c r="A243" s="523" t="s">
        <v>443</v>
      </c>
      <c r="B243" s="524" t="s">
        <v>445</v>
      </c>
      <c r="C243" s="525" t="s">
        <v>465</v>
      </c>
      <c r="D243" s="526" t="s">
        <v>466</v>
      </c>
      <c r="E243" s="525" t="s">
        <v>446</v>
      </c>
      <c r="F243" s="526" t="s">
        <v>447</v>
      </c>
      <c r="G243" s="525" t="s">
        <v>469</v>
      </c>
      <c r="H243" s="525" t="s">
        <v>1016</v>
      </c>
      <c r="I243" s="525" t="s">
        <v>1017</v>
      </c>
      <c r="J243" s="525" t="s">
        <v>976</v>
      </c>
      <c r="K243" s="525" t="s">
        <v>1018</v>
      </c>
      <c r="L243" s="527">
        <v>33.279688166994823</v>
      </c>
      <c r="M243" s="527">
        <v>540</v>
      </c>
      <c r="N243" s="528">
        <v>17971.031610177204</v>
      </c>
    </row>
    <row r="244" spans="1:14" ht="14.4" customHeight="1" x14ac:dyDescent="0.3">
      <c r="A244" s="523" t="s">
        <v>443</v>
      </c>
      <c r="B244" s="524" t="s">
        <v>445</v>
      </c>
      <c r="C244" s="525" t="s">
        <v>465</v>
      </c>
      <c r="D244" s="526" t="s">
        <v>466</v>
      </c>
      <c r="E244" s="525" t="s">
        <v>446</v>
      </c>
      <c r="F244" s="526" t="s">
        <v>447</v>
      </c>
      <c r="G244" s="525" t="s">
        <v>469</v>
      </c>
      <c r="H244" s="525" t="s">
        <v>1019</v>
      </c>
      <c r="I244" s="525" t="s">
        <v>1020</v>
      </c>
      <c r="J244" s="525" t="s">
        <v>1021</v>
      </c>
      <c r="K244" s="525" t="s">
        <v>1022</v>
      </c>
      <c r="L244" s="527">
        <v>92.621538461538478</v>
      </c>
      <c r="M244" s="527">
        <v>13</v>
      </c>
      <c r="N244" s="528">
        <v>1204.0800000000002</v>
      </c>
    </row>
    <row r="245" spans="1:14" ht="14.4" customHeight="1" x14ac:dyDescent="0.3">
      <c r="A245" s="523" t="s">
        <v>443</v>
      </c>
      <c r="B245" s="524" t="s">
        <v>445</v>
      </c>
      <c r="C245" s="525" t="s">
        <v>465</v>
      </c>
      <c r="D245" s="526" t="s">
        <v>466</v>
      </c>
      <c r="E245" s="525" t="s">
        <v>446</v>
      </c>
      <c r="F245" s="526" t="s">
        <v>447</v>
      </c>
      <c r="G245" s="525" t="s">
        <v>469</v>
      </c>
      <c r="H245" s="525" t="s">
        <v>1023</v>
      </c>
      <c r="I245" s="525" t="s">
        <v>1024</v>
      </c>
      <c r="J245" s="525" t="s">
        <v>1025</v>
      </c>
      <c r="K245" s="525" t="s">
        <v>1026</v>
      </c>
      <c r="L245" s="527">
        <v>18186.239846324548</v>
      </c>
      <c r="M245" s="527">
        <v>23</v>
      </c>
      <c r="N245" s="528">
        <v>418283.51646546461</v>
      </c>
    </row>
    <row r="246" spans="1:14" ht="14.4" customHeight="1" x14ac:dyDescent="0.3">
      <c r="A246" s="523" t="s">
        <v>443</v>
      </c>
      <c r="B246" s="524" t="s">
        <v>445</v>
      </c>
      <c r="C246" s="525" t="s">
        <v>465</v>
      </c>
      <c r="D246" s="526" t="s">
        <v>466</v>
      </c>
      <c r="E246" s="525" t="s">
        <v>446</v>
      </c>
      <c r="F246" s="526" t="s">
        <v>447</v>
      </c>
      <c r="G246" s="525" t="s">
        <v>469</v>
      </c>
      <c r="H246" s="525" t="s">
        <v>1027</v>
      </c>
      <c r="I246" s="525" t="s">
        <v>1028</v>
      </c>
      <c r="J246" s="525" t="s">
        <v>1029</v>
      </c>
      <c r="K246" s="525" t="s">
        <v>1030</v>
      </c>
      <c r="L246" s="527">
        <v>15.739865531205</v>
      </c>
      <c r="M246" s="527">
        <v>2</v>
      </c>
      <c r="N246" s="528">
        <v>31.47973106241</v>
      </c>
    </row>
    <row r="247" spans="1:14" ht="14.4" customHeight="1" x14ac:dyDescent="0.3">
      <c r="A247" s="523" t="s">
        <v>443</v>
      </c>
      <c r="B247" s="524" t="s">
        <v>445</v>
      </c>
      <c r="C247" s="525" t="s">
        <v>465</v>
      </c>
      <c r="D247" s="526" t="s">
        <v>466</v>
      </c>
      <c r="E247" s="525" t="s">
        <v>446</v>
      </c>
      <c r="F247" s="526" t="s">
        <v>447</v>
      </c>
      <c r="G247" s="525" t="s">
        <v>469</v>
      </c>
      <c r="H247" s="525" t="s">
        <v>1031</v>
      </c>
      <c r="I247" s="525" t="s">
        <v>1032</v>
      </c>
      <c r="J247" s="525" t="s">
        <v>1033</v>
      </c>
      <c r="K247" s="525" t="s">
        <v>1034</v>
      </c>
      <c r="L247" s="527">
        <v>1508.7696000000005</v>
      </c>
      <c r="M247" s="527">
        <v>25</v>
      </c>
      <c r="N247" s="528">
        <v>37719.240000000013</v>
      </c>
    </row>
    <row r="248" spans="1:14" ht="14.4" customHeight="1" x14ac:dyDescent="0.3">
      <c r="A248" s="523" t="s">
        <v>443</v>
      </c>
      <c r="B248" s="524" t="s">
        <v>445</v>
      </c>
      <c r="C248" s="525" t="s">
        <v>465</v>
      </c>
      <c r="D248" s="526" t="s">
        <v>466</v>
      </c>
      <c r="E248" s="525" t="s">
        <v>446</v>
      </c>
      <c r="F248" s="526" t="s">
        <v>447</v>
      </c>
      <c r="G248" s="525" t="s">
        <v>469</v>
      </c>
      <c r="H248" s="525" t="s">
        <v>1035</v>
      </c>
      <c r="I248" s="525" t="s">
        <v>1036</v>
      </c>
      <c r="J248" s="525" t="s">
        <v>1037</v>
      </c>
      <c r="K248" s="525" t="s">
        <v>1038</v>
      </c>
      <c r="L248" s="527">
        <v>286.80624999999992</v>
      </c>
      <c r="M248" s="527">
        <v>48</v>
      </c>
      <c r="N248" s="528">
        <v>13766.699999999995</v>
      </c>
    </row>
    <row r="249" spans="1:14" ht="14.4" customHeight="1" x14ac:dyDescent="0.3">
      <c r="A249" s="523" t="s">
        <v>443</v>
      </c>
      <c r="B249" s="524" t="s">
        <v>445</v>
      </c>
      <c r="C249" s="525" t="s">
        <v>465</v>
      </c>
      <c r="D249" s="526" t="s">
        <v>466</v>
      </c>
      <c r="E249" s="525" t="s">
        <v>446</v>
      </c>
      <c r="F249" s="526" t="s">
        <v>447</v>
      </c>
      <c r="G249" s="525" t="s">
        <v>469</v>
      </c>
      <c r="H249" s="525" t="s">
        <v>1039</v>
      </c>
      <c r="I249" s="525" t="s">
        <v>687</v>
      </c>
      <c r="J249" s="525" t="s">
        <v>1040</v>
      </c>
      <c r="K249" s="525" t="s">
        <v>1041</v>
      </c>
      <c r="L249" s="527">
        <v>144.91565762934499</v>
      </c>
      <c r="M249" s="527">
        <v>1</v>
      </c>
      <c r="N249" s="528">
        <v>144.91565762934499</v>
      </c>
    </row>
    <row r="250" spans="1:14" ht="14.4" customHeight="1" x14ac:dyDescent="0.3">
      <c r="A250" s="523" t="s">
        <v>443</v>
      </c>
      <c r="B250" s="524" t="s">
        <v>445</v>
      </c>
      <c r="C250" s="525" t="s">
        <v>465</v>
      </c>
      <c r="D250" s="526" t="s">
        <v>466</v>
      </c>
      <c r="E250" s="525" t="s">
        <v>446</v>
      </c>
      <c r="F250" s="526" t="s">
        <v>447</v>
      </c>
      <c r="G250" s="525" t="s">
        <v>469</v>
      </c>
      <c r="H250" s="525" t="s">
        <v>1042</v>
      </c>
      <c r="I250" s="525" t="s">
        <v>497</v>
      </c>
      <c r="J250" s="525" t="s">
        <v>1043</v>
      </c>
      <c r="K250" s="525" t="s">
        <v>1044</v>
      </c>
      <c r="L250" s="527">
        <v>135.06664081141494</v>
      </c>
      <c r="M250" s="527">
        <v>15</v>
      </c>
      <c r="N250" s="528">
        <v>2025.9996121712243</v>
      </c>
    </row>
    <row r="251" spans="1:14" ht="14.4" customHeight="1" x14ac:dyDescent="0.3">
      <c r="A251" s="523" t="s">
        <v>443</v>
      </c>
      <c r="B251" s="524" t="s">
        <v>445</v>
      </c>
      <c r="C251" s="525" t="s">
        <v>465</v>
      </c>
      <c r="D251" s="526" t="s">
        <v>466</v>
      </c>
      <c r="E251" s="525" t="s">
        <v>446</v>
      </c>
      <c r="F251" s="526" t="s">
        <v>447</v>
      </c>
      <c r="G251" s="525" t="s">
        <v>469</v>
      </c>
      <c r="H251" s="525" t="s">
        <v>1045</v>
      </c>
      <c r="I251" s="525" t="s">
        <v>497</v>
      </c>
      <c r="J251" s="525" t="s">
        <v>1046</v>
      </c>
      <c r="K251" s="525"/>
      <c r="L251" s="527">
        <v>452.228207000574</v>
      </c>
      <c r="M251" s="527">
        <v>1</v>
      </c>
      <c r="N251" s="528">
        <v>452.228207000574</v>
      </c>
    </row>
    <row r="252" spans="1:14" ht="14.4" customHeight="1" x14ac:dyDescent="0.3">
      <c r="A252" s="523" t="s">
        <v>443</v>
      </c>
      <c r="B252" s="524" t="s">
        <v>445</v>
      </c>
      <c r="C252" s="525" t="s">
        <v>465</v>
      </c>
      <c r="D252" s="526" t="s">
        <v>466</v>
      </c>
      <c r="E252" s="525" t="s">
        <v>446</v>
      </c>
      <c r="F252" s="526" t="s">
        <v>447</v>
      </c>
      <c r="G252" s="525" t="s">
        <v>469</v>
      </c>
      <c r="H252" s="525" t="s">
        <v>1047</v>
      </c>
      <c r="I252" s="525" t="s">
        <v>1048</v>
      </c>
      <c r="J252" s="525" t="s">
        <v>1049</v>
      </c>
      <c r="K252" s="525" t="s">
        <v>1050</v>
      </c>
      <c r="L252" s="527">
        <v>2908.36</v>
      </c>
      <c r="M252" s="527">
        <v>3</v>
      </c>
      <c r="N252" s="528">
        <v>8725.08</v>
      </c>
    </row>
    <row r="253" spans="1:14" ht="14.4" customHeight="1" x14ac:dyDescent="0.3">
      <c r="A253" s="523" t="s">
        <v>443</v>
      </c>
      <c r="B253" s="524" t="s">
        <v>445</v>
      </c>
      <c r="C253" s="525" t="s">
        <v>465</v>
      </c>
      <c r="D253" s="526" t="s">
        <v>466</v>
      </c>
      <c r="E253" s="525" t="s">
        <v>446</v>
      </c>
      <c r="F253" s="526" t="s">
        <v>447</v>
      </c>
      <c r="G253" s="525" t="s">
        <v>469</v>
      </c>
      <c r="H253" s="525" t="s">
        <v>1051</v>
      </c>
      <c r="I253" s="525" t="s">
        <v>1052</v>
      </c>
      <c r="J253" s="525" t="s">
        <v>1053</v>
      </c>
      <c r="K253" s="525" t="s">
        <v>1054</v>
      </c>
      <c r="L253" s="527">
        <v>86.24666666666667</v>
      </c>
      <c r="M253" s="527">
        <v>3</v>
      </c>
      <c r="N253" s="528">
        <v>258.74</v>
      </c>
    </row>
    <row r="254" spans="1:14" ht="14.4" customHeight="1" x14ac:dyDescent="0.3">
      <c r="A254" s="523" t="s">
        <v>443</v>
      </c>
      <c r="B254" s="524" t="s">
        <v>445</v>
      </c>
      <c r="C254" s="525" t="s">
        <v>465</v>
      </c>
      <c r="D254" s="526" t="s">
        <v>466</v>
      </c>
      <c r="E254" s="525" t="s">
        <v>446</v>
      </c>
      <c r="F254" s="526" t="s">
        <v>447</v>
      </c>
      <c r="G254" s="525" t="s">
        <v>469</v>
      </c>
      <c r="H254" s="525" t="s">
        <v>1055</v>
      </c>
      <c r="I254" s="525" t="s">
        <v>497</v>
      </c>
      <c r="J254" s="525" t="s">
        <v>1056</v>
      </c>
      <c r="K254" s="525"/>
      <c r="L254" s="527">
        <v>356.19012533959904</v>
      </c>
      <c r="M254" s="527">
        <v>2</v>
      </c>
      <c r="N254" s="528">
        <v>712.38025067919807</v>
      </c>
    </row>
    <row r="255" spans="1:14" ht="14.4" customHeight="1" x14ac:dyDescent="0.3">
      <c r="A255" s="523" t="s">
        <v>443</v>
      </c>
      <c r="B255" s="524" t="s">
        <v>445</v>
      </c>
      <c r="C255" s="525" t="s">
        <v>465</v>
      </c>
      <c r="D255" s="526" t="s">
        <v>466</v>
      </c>
      <c r="E255" s="525" t="s">
        <v>446</v>
      </c>
      <c r="F255" s="526" t="s">
        <v>447</v>
      </c>
      <c r="G255" s="525" t="s">
        <v>469</v>
      </c>
      <c r="H255" s="525" t="s">
        <v>1057</v>
      </c>
      <c r="I255" s="525" t="s">
        <v>497</v>
      </c>
      <c r="J255" s="525" t="s">
        <v>1058</v>
      </c>
      <c r="K255" s="525"/>
      <c r="L255" s="527">
        <v>170.95184500968713</v>
      </c>
      <c r="M255" s="527">
        <v>25</v>
      </c>
      <c r="N255" s="528">
        <v>4273.7961252421783</v>
      </c>
    </row>
    <row r="256" spans="1:14" ht="14.4" customHeight="1" x14ac:dyDescent="0.3">
      <c r="A256" s="523" t="s">
        <v>443</v>
      </c>
      <c r="B256" s="524" t="s">
        <v>445</v>
      </c>
      <c r="C256" s="525" t="s">
        <v>465</v>
      </c>
      <c r="D256" s="526" t="s">
        <v>466</v>
      </c>
      <c r="E256" s="525" t="s">
        <v>446</v>
      </c>
      <c r="F256" s="526" t="s">
        <v>447</v>
      </c>
      <c r="G256" s="525" t="s">
        <v>469</v>
      </c>
      <c r="H256" s="525" t="s">
        <v>1059</v>
      </c>
      <c r="I256" s="525" t="s">
        <v>497</v>
      </c>
      <c r="J256" s="525" t="s">
        <v>1060</v>
      </c>
      <c r="K256" s="525"/>
      <c r="L256" s="527">
        <v>106.18703657548299</v>
      </c>
      <c r="M256" s="527">
        <v>9</v>
      </c>
      <c r="N256" s="528">
        <v>955.68332917934697</v>
      </c>
    </row>
    <row r="257" spans="1:14" ht="14.4" customHeight="1" x14ac:dyDescent="0.3">
      <c r="A257" s="523" t="s">
        <v>443</v>
      </c>
      <c r="B257" s="524" t="s">
        <v>445</v>
      </c>
      <c r="C257" s="525" t="s">
        <v>465</v>
      </c>
      <c r="D257" s="526" t="s">
        <v>466</v>
      </c>
      <c r="E257" s="525" t="s">
        <v>446</v>
      </c>
      <c r="F257" s="526" t="s">
        <v>447</v>
      </c>
      <c r="G257" s="525" t="s">
        <v>469</v>
      </c>
      <c r="H257" s="525" t="s">
        <v>1061</v>
      </c>
      <c r="I257" s="525" t="s">
        <v>497</v>
      </c>
      <c r="J257" s="525" t="s">
        <v>1062</v>
      </c>
      <c r="K257" s="525"/>
      <c r="L257" s="527">
        <v>68.517023458171437</v>
      </c>
      <c r="M257" s="527">
        <v>7</v>
      </c>
      <c r="N257" s="528">
        <v>479.61916420720001</v>
      </c>
    </row>
    <row r="258" spans="1:14" ht="14.4" customHeight="1" x14ac:dyDescent="0.3">
      <c r="A258" s="523" t="s">
        <v>443</v>
      </c>
      <c r="B258" s="524" t="s">
        <v>445</v>
      </c>
      <c r="C258" s="525" t="s">
        <v>465</v>
      </c>
      <c r="D258" s="526" t="s">
        <v>466</v>
      </c>
      <c r="E258" s="525" t="s">
        <v>446</v>
      </c>
      <c r="F258" s="526" t="s">
        <v>447</v>
      </c>
      <c r="G258" s="525" t="s">
        <v>469</v>
      </c>
      <c r="H258" s="525" t="s">
        <v>1063</v>
      </c>
      <c r="I258" s="525" t="s">
        <v>497</v>
      </c>
      <c r="J258" s="525" t="s">
        <v>1064</v>
      </c>
      <c r="K258" s="525"/>
      <c r="L258" s="527">
        <v>322.78972701080488</v>
      </c>
      <c r="M258" s="527">
        <v>9</v>
      </c>
      <c r="N258" s="528">
        <v>2905.1075430972437</v>
      </c>
    </row>
    <row r="259" spans="1:14" ht="14.4" customHeight="1" x14ac:dyDescent="0.3">
      <c r="A259" s="523" t="s">
        <v>443</v>
      </c>
      <c r="B259" s="524" t="s">
        <v>445</v>
      </c>
      <c r="C259" s="525" t="s">
        <v>465</v>
      </c>
      <c r="D259" s="526" t="s">
        <v>466</v>
      </c>
      <c r="E259" s="525" t="s">
        <v>446</v>
      </c>
      <c r="F259" s="526" t="s">
        <v>447</v>
      </c>
      <c r="G259" s="525" t="s">
        <v>469</v>
      </c>
      <c r="H259" s="525" t="s">
        <v>1065</v>
      </c>
      <c r="I259" s="525" t="s">
        <v>497</v>
      </c>
      <c r="J259" s="525" t="s">
        <v>1066</v>
      </c>
      <c r="K259" s="525"/>
      <c r="L259" s="527">
        <v>41.448862824100885</v>
      </c>
      <c r="M259" s="527">
        <v>155</v>
      </c>
      <c r="N259" s="528">
        <v>6424.5737377356372</v>
      </c>
    </row>
    <row r="260" spans="1:14" ht="14.4" customHeight="1" x14ac:dyDescent="0.3">
      <c r="A260" s="523" t="s">
        <v>443</v>
      </c>
      <c r="B260" s="524" t="s">
        <v>445</v>
      </c>
      <c r="C260" s="525" t="s">
        <v>465</v>
      </c>
      <c r="D260" s="526" t="s">
        <v>466</v>
      </c>
      <c r="E260" s="525" t="s">
        <v>446</v>
      </c>
      <c r="F260" s="526" t="s">
        <v>447</v>
      </c>
      <c r="G260" s="525" t="s">
        <v>469</v>
      </c>
      <c r="H260" s="525" t="s">
        <v>1067</v>
      </c>
      <c r="I260" s="525" t="s">
        <v>497</v>
      </c>
      <c r="J260" s="525" t="s">
        <v>1068</v>
      </c>
      <c r="K260" s="525"/>
      <c r="L260" s="527">
        <v>459.39936778136206</v>
      </c>
      <c r="M260" s="527">
        <v>3</v>
      </c>
      <c r="N260" s="528">
        <v>1378.1981033440861</v>
      </c>
    </row>
    <row r="261" spans="1:14" ht="14.4" customHeight="1" x14ac:dyDescent="0.3">
      <c r="A261" s="523" t="s">
        <v>443</v>
      </c>
      <c r="B261" s="524" t="s">
        <v>445</v>
      </c>
      <c r="C261" s="525" t="s">
        <v>465</v>
      </c>
      <c r="D261" s="526" t="s">
        <v>466</v>
      </c>
      <c r="E261" s="525" t="s">
        <v>446</v>
      </c>
      <c r="F261" s="526" t="s">
        <v>447</v>
      </c>
      <c r="G261" s="525" t="s">
        <v>469</v>
      </c>
      <c r="H261" s="525" t="s">
        <v>1069</v>
      </c>
      <c r="I261" s="525" t="s">
        <v>497</v>
      </c>
      <c r="J261" s="525" t="s">
        <v>1070</v>
      </c>
      <c r="K261" s="525"/>
      <c r="L261" s="527">
        <v>462.19322084489971</v>
      </c>
      <c r="M261" s="527">
        <v>3</v>
      </c>
      <c r="N261" s="528">
        <v>1386.5796625346991</v>
      </c>
    </row>
    <row r="262" spans="1:14" ht="14.4" customHeight="1" x14ac:dyDescent="0.3">
      <c r="A262" s="523" t="s">
        <v>443</v>
      </c>
      <c r="B262" s="524" t="s">
        <v>445</v>
      </c>
      <c r="C262" s="525" t="s">
        <v>465</v>
      </c>
      <c r="D262" s="526" t="s">
        <v>466</v>
      </c>
      <c r="E262" s="525" t="s">
        <v>446</v>
      </c>
      <c r="F262" s="526" t="s">
        <v>447</v>
      </c>
      <c r="G262" s="525" t="s">
        <v>469</v>
      </c>
      <c r="H262" s="525" t="s">
        <v>1071</v>
      </c>
      <c r="I262" s="525" t="s">
        <v>497</v>
      </c>
      <c r="J262" s="525" t="s">
        <v>1072</v>
      </c>
      <c r="K262" s="525"/>
      <c r="L262" s="527">
        <v>39.061722245479835</v>
      </c>
      <c r="M262" s="527">
        <v>11</v>
      </c>
      <c r="N262" s="528">
        <v>429.67894470027818</v>
      </c>
    </row>
    <row r="263" spans="1:14" ht="14.4" customHeight="1" x14ac:dyDescent="0.3">
      <c r="A263" s="523" t="s">
        <v>443</v>
      </c>
      <c r="B263" s="524" t="s">
        <v>445</v>
      </c>
      <c r="C263" s="525" t="s">
        <v>465</v>
      </c>
      <c r="D263" s="526" t="s">
        <v>466</v>
      </c>
      <c r="E263" s="525" t="s">
        <v>446</v>
      </c>
      <c r="F263" s="526" t="s">
        <v>447</v>
      </c>
      <c r="G263" s="525" t="s">
        <v>469</v>
      </c>
      <c r="H263" s="525" t="s">
        <v>1073</v>
      </c>
      <c r="I263" s="525" t="s">
        <v>497</v>
      </c>
      <c r="J263" s="525" t="s">
        <v>1074</v>
      </c>
      <c r="K263" s="525"/>
      <c r="L263" s="527">
        <v>154.18442108122528</v>
      </c>
      <c r="M263" s="527">
        <v>40</v>
      </c>
      <c r="N263" s="528">
        <v>6167.3768432490115</v>
      </c>
    </row>
    <row r="264" spans="1:14" ht="14.4" customHeight="1" x14ac:dyDescent="0.3">
      <c r="A264" s="523" t="s">
        <v>443</v>
      </c>
      <c r="B264" s="524" t="s">
        <v>445</v>
      </c>
      <c r="C264" s="525" t="s">
        <v>465</v>
      </c>
      <c r="D264" s="526" t="s">
        <v>466</v>
      </c>
      <c r="E264" s="525" t="s">
        <v>446</v>
      </c>
      <c r="F264" s="526" t="s">
        <v>447</v>
      </c>
      <c r="G264" s="525" t="s">
        <v>469</v>
      </c>
      <c r="H264" s="525" t="s">
        <v>1075</v>
      </c>
      <c r="I264" s="525" t="s">
        <v>497</v>
      </c>
      <c r="J264" s="525" t="s">
        <v>1076</v>
      </c>
      <c r="K264" s="525"/>
      <c r="L264" s="527">
        <v>77.89</v>
      </c>
      <c r="M264" s="527">
        <v>1</v>
      </c>
      <c r="N264" s="528">
        <v>77.89</v>
      </c>
    </row>
    <row r="265" spans="1:14" ht="14.4" customHeight="1" x14ac:dyDescent="0.3">
      <c r="A265" s="523" t="s">
        <v>443</v>
      </c>
      <c r="B265" s="524" t="s">
        <v>445</v>
      </c>
      <c r="C265" s="525" t="s">
        <v>465</v>
      </c>
      <c r="D265" s="526" t="s">
        <v>466</v>
      </c>
      <c r="E265" s="525" t="s">
        <v>446</v>
      </c>
      <c r="F265" s="526" t="s">
        <v>447</v>
      </c>
      <c r="G265" s="525" t="s">
        <v>626</v>
      </c>
      <c r="H265" s="525" t="s">
        <v>1077</v>
      </c>
      <c r="I265" s="525" t="s">
        <v>1078</v>
      </c>
      <c r="J265" s="525" t="s">
        <v>1079</v>
      </c>
      <c r="K265" s="525" t="s">
        <v>1080</v>
      </c>
      <c r="L265" s="527">
        <v>144.52987680291184</v>
      </c>
      <c r="M265" s="527">
        <v>91</v>
      </c>
      <c r="N265" s="528">
        <v>13152.218789064978</v>
      </c>
    </row>
    <row r="266" spans="1:14" ht="14.4" customHeight="1" x14ac:dyDescent="0.3">
      <c r="A266" s="523" t="s">
        <v>443</v>
      </c>
      <c r="B266" s="524" t="s">
        <v>445</v>
      </c>
      <c r="C266" s="525" t="s">
        <v>465</v>
      </c>
      <c r="D266" s="526" t="s">
        <v>466</v>
      </c>
      <c r="E266" s="525" t="s">
        <v>446</v>
      </c>
      <c r="F266" s="526" t="s">
        <v>447</v>
      </c>
      <c r="G266" s="525" t="s">
        <v>626</v>
      </c>
      <c r="H266" s="525" t="s">
        <v>1081</v>
      </c>
      <c r="I266" s="525" t="s">
        <v>1082</v>
      </c>
      <c r="J266" s="525" t="s">
        <v>1083</v>
      </c>
      <c r="K266" s="525" t="s">
        <v>1084</v>
      </c>
      <c r="L266" s="527">
        <v>83.528712105012161</v>
      </c>
      <c r="M266" s="527">
        <v>5</v>
      </c>
      <c r="N266" s="528">
        <v>417.64356052506082</v>
      </c>
    </row>
    <row r="267" spans="1:14" ht="14.4" customHeight="1" x14ac:dyDescent="0.3">
      <c r="A267" s="523" t="s">
        <v>443</v>
      </c>
      <c r="B267" s="524" t="s">
        <v>445</v>
      </c>
      <c r="C267" s="525" t="s">
        <v>465</v>
      </c>
      <c r="D267" s="526" t="s">
        <v>466</v>
      </c>
      <c r="E267" s="525" t="s">
        <v>446</v>
      </c>
      <c r="F267" s="526" t="s">
        <v>447</v>
      </c>
      <c r="G267" s="525" t="s">
        <v>626</v>
      </c>
      <c r="H267" s="525" t="s">
        <v>1085</v>
      </c>
      <c r="I267" s="525" t="s">
        <v>1086</v>
      </c>
      <c r="J267" s="525" t="s">
        <v>1087</v>
      </c>
      <c r="K267" s="525" t="s">
        <v>1088</v>
      </c>
      <c r="L267" s="527">
        <v>62.709932497522345</v>
      </c>
      <c r="M267" s="527">
        <v>7</v>
      </c>
      <c r="N267" s="528">
        <v>438.96952748265642</v>
      </c>
    </row>
    <row r="268" spans="1:14" ht="14.4" customHeight="1" x14ac:dyDescent="0.3">
      <c r="A268" s="523" t="s">
        <v>443</v>
      </c>
      <c r="B268" s="524" t="s">
        <v>445</v>
      </c>
      <c r="C268" s="525" t="s">
        <v>465</v>
      </c>
      <c r="D268" s="526" t="s">
        <v>466</v>
      </c>
      <c r="E268" s="525" t="s">
        <v>446</v>
      </c>
      <c r="F268" s="526" t="s">
        <v>447</v>
      </c>
      <c r="G268" s="525" t="s">
        <v>626</v>
      </c>
      <c r="H268" s="525" t="s">
        <v>735</v>
      </c>
      <c r="I268" s="525" t="s">
        <v>735</v>
      </c>
      <c r="J268" s="525" t="s">
        <v>736</v>
      </c>
      <c r="K268" s="525" t="s">
        <v>737</v>
      </c>
      <c r="L268" s="527">
        <v>2155.8928382308118</v>
      </c>
      <c r="M268" s="527">
        <v>14</v>
      </c>
      <c r="N268" s="528">
        <v>30182.499735231366</v>
      </c>
    </row>
    <row r="269" spans="1:14" ht="14.4" customHeight="1" x14ac:dyDescent="0.3">
      <c r="A269" s="523" t="s">
        <v>443</v>
      </c>
      <c r="B269" s="524" t="s">
        <v>445</v>
      </c>
      <c r="C269" s="525" t="s">
        <v>465</v>
      </c>
      <c r="D269" s="526" t="s">
        <v>466</v>
      </c>
      <c r="E269" s="525" t="s">
        <v>446</v>
      </c>
      <c r="F269" s="526" t="s">
        <v>447</v>
      </c>
      <c r="G269" s="525" t="s">
        <v>626</v>
      </c>
      <c r="H269" s="525" t="s">
        <v>1089</v>
      </c>
      <c r="I269" s="525" t="s">
        <v>1090</v>
      </c>
      <c r="J269" s="525" t="s">
        <v>1091</v>
      </c>
      <c r="K269" s="525" t="s">
        <v>1092</v>
      </c>
      <c r="L269" s="527">
        <v>414</v>
      </c>
      <c r="M269" s="527">
        <v>1</v>
      </c>
      <c r="N269" s="528">
        <v>414</v>
      </c>
    </row>
    <row r="270" spans="1:14" ht="14.4" customHeight="1" x14ac:dyDescent="0.3">
      <c r="A270" s="523" t="s">
        <v>443</v>
      </c>
      <c r="B270" s="524" t="s">
        <v>445</v>
      </c>
      <c r="C270" s="525" t="s">
        <v>465</v>
      </c>
      <c r="D270" s="526" t="s">
        <v>466</v>
      </c>
      <c r="E270" s="525" t="s">
        <v>446</v>
      </c>
      <c r="F270" s="526" t="s">
        <v>447</v>
      </c>
      <c r="G270" s="525" t="s">
        <v>626</v>
      </c>
      <c r="H270" s="525" t="s">
        <v>1093</v>
      </c>
      <c r="I270" s="525" t="s">
        <v>1094</v>
      </c>
      <c r="J270" s="525" t="s">
        <v>1095</v>
      </c>
      <c r="K270" s="525" t="s">
        <v>1096</v>
      </c>
      <c r="L270" s="527">
        <v>83.803850418108226</v>
      </c>
      <c r="M270" s="527">
        <v>360</v>
      </c>
      <c r="N270" s="528">
        <v>30169.386150518963</v>
      </c>
    </row>
    <row r="271" spans="1:14" ht="14.4" customHeight="1" x14ac:dyDescent="0.3">
      <c r="A271" s="523" t="s">
        <v>443</v>
      </c>
      <c r="B271" s="524" t="s">
        <v>445</v>
      </c>
      <c r="C271" s="525" t="s">
        <v>465</v>
      </c>
      <c r="D271" s="526" t="s">
        <v>466</v>
      </c>
      <c r="E271" s="525" t="s">
        <v>446</v>
      </c>
      <c r="F271" s="526" t="s">
        <v>447</v>
      </c>
      <c r="G271" s="525" t="s">
        <v>626</v>
      </c>
      <c r="H271" s="525" t="s">
        <v>1097</v>
      </c>
      <c r="I271" s="525" t="s">
        <v>1098</v>
      </c>
      <c r="J271" s="525" t="s">
        <v>1099</v>
      </c>
      <c r="K271" s="525" t="s">
        <v>1100</v>
      </c>
      <c r="L271" s="527">
        <v>232.05636363636361</v>
      </c>
      <c r="M271" s="527">
        <v>11</v>
      </c>
      <c r="N271" s="528">
        <v>2552.62</v>
      </c>
    </row>
    <row r="272" spans="1:14" ht="14.4" customHeight="1" x14ac:dyDescent="0.3">
      <c r="A272" s="523" t="s">
        <v>443</v>
      </c>
      <c r="B272" s="524" t="s">
        <v>445</v>
      </c>
      <c r="C272" s="525" t="s">
        <v>465</v>
      </c>
      <c r="D272" s="526" t="s">
        <v>466</v>
      </c>
      <c r="E272" s="525" t="s">
        <v>446</v>
      </c>
      <c r="F272" s="526" t="s">
        <v>447</v>
      </c>
      <c r="G272" s="525" t="s">
        <v>626</v>
      </c>
      <c r="H272" s="525" t="s">
        <v>742</v>
      </c>
      <c r="I272" s="525" t="s">
        <v>743</v>
      </c>
      <c r="J272" s="525" t="s">
        <v>744</v>
      </c>
      <c r="K272" s="525" t="s">
        <v>745</v>
      </c>
      <c r="L272" s="527">
        <v>195.27015746944656</v>
      </c>
      <c r="M272" s="527">
        <v>7</v>
      </c>
      <c r="N272" s="528">
        <v>1366.8911022861259</v>
      </c>
    </row>
    <row r="273" spans="1:14" ht="14.4" customHeight="1" x14ac:dyDescent="0.3">
      <c r="A273" s="523" t="s">
        <v>443</v>
      </c>
      <c r="B273" s="524" t="s">
        <v>445</v>
      </c>
      <c r="C273" s="525" t="s">
        <v>465</v>
      </c>
      <c r="D273" s="526" t="s">
        <v>466</v>
      </c>
      <c r="E273" s="525" t="s">
        <v>448</v>
      </c>
      <c r="F273" s="526" t="s">
        <v>449</v>
      </c>
      <c r="G273" s="525"/>
      <c r="H273" s="525" t="s">
        <v>573</v>
      </c>
      <c r="I273" s="525" t="s">
        <v>574</v>
      </c>
      <c r="J273" s="525" t="s">
        <v>575</v>
      </c>
      <c r="K273" s="525" t="s">
        <v>576</v>
      </c>
      <c r="L273" s="527">
        <v>213.59</v>
      </c>
      <c r="M273" s="527">
        <v>4</v>
      </c>
      <c r="N273" s="528">
        <v>854.36</v>
      </c>
    </row>
    <row r="274" spans="1:14" ht="14.4" customHeight="1" x14ac:dyDescent="0.3">
      <c r="A274" s="523" t="s">
        <v>443</v>
      </c>
      <c r="B274" s="524" t="s">
        <v>445</v>
      </c>
      <c r="C274" s="525" t="s">
        <v>465</v>
      </c>
      <c r="D274" s="526" t="s">
        <v>466</v>
      </c>
      <c r="E274" s="525" t="s">
        <v>448</v>
      </c>
      <c r="F274" s="526" t="s">
        <v>449</v>
      </c>
      <c r="G274" s="525"/>
      <c r="H274" s="525" t="s">
        <v>577</v>
      </c>
      <c r="I274" s="525" t="s">
        <v>578</v>
      </c>
      <c r="J274" s="525" t="s">
        <v>579</v>
      </c>
      <c r="K274" s="525"/>
      <c r="L274" s="527">
        <v>188.549584818629</v>
      </c>
      <c r="M274" s="527">
        <v>2</v>
      </c>
      <c r="N274" s="528">
        <v>377.099169637258</v>
      </c>
    </row>
    <row r="275" spans="1:14" ht="14.4" customHeight="1" x14ac:dyDescent="0.3">
      <c r="A275" s="523" t="s">
        <v>443</v>
      </c>
      <c r="B275" s="524" t="s">
        <v>445</v>
      </c>
      <c r="C275" s="525" t="s">
        <v>465</v>
      </c>
      <c r="D275" s="526" t="s">
        <v>466</v>
      </c>
      <c r="E275" s="525" t="s">
        <v>448</v>
      </c>
      <c r="F275" s="526" t="s">
        <v>449</v>
      </c>
      <c r="G275" s="525"/>
      <c r="H275" s="525" t="s">
        <v>1101</v>
      </c>
      <c r="I275" s="525" t="s">
        <v>1102</v>
      </c>
      <c r="J275" s="525" t="s">
        <v>1103</v>
      </c>
      <c r="K275" s="525" t="s">
        <v>1104</v>
      </c>
      <c r="L275" s="527">
        <v>328.75</v>
      </c>
      <c r="M275" s="527">
        <v>3</v>
      </c>
      <c r="N275" s="528">
        <v>986.25</v>
      </c>
    </row>
    <row r="276" spans="1:14" ht="14.4" customHeight="1" x14ac:dyDescent="0.3">
      <c r="A276" s="523" t="s">
        <v>443</v>
      </c>
      <c r="B276" s="524" t="s">
        <v>445</v>
      </c>
      <c r="C276" s="525" t="s">
        <v>465</v>
      </c>
      <c r="D276" s="526" t="s">
        <v>466</v>
      </c>
      <c r="E276" s="525" t="s">
        <v>448</v>
      </c>
      <c r="F276" s="526" t="s">
        <v>449</v>
      </c>
      <c r="G276" s="525"/>
      <c r="H276" s="525" t="s">
        <v>1105</v>
      </c>
      <c r="I276" s="525" t="s">
        <v>497</v>
      </c>
      <c r="J276" s="525" t="s">
        <v>1106</v>
      </c>
      <c r="K276" s="525"/>
      <c r="L276" s="527">
        <v>179.53</v>
      </c>
      <c r="M276" s="527">
        <v>2</v>
      </c>
      <c r="N276" s="528">
        <v>359.06</v>
      </c>
    </row>
    <row r="277" spans="1:14" ht="14.4" customHeight="1" x14ac:dyDescent="0.3">
      <c r="A277" s="523" t="s">
        <v>443</v>
      </c>
      <c r="B277" s="524" t="s">
        <v>445</v>
      </c>
      <c r="C277" s="525" t="s">
        <v>465</v>
      </c>
      <c r="D277" s="526" t="s">
        <v>466</v>
      </c>
      <c r="E277" s="525" t="s">
        <v>448</v>
      </c>
      <c r="F277" s="526" t="s">
        <v>449</v>
      </c>
      <c r="G277" s="525" t="s">
        <v>469</v>
      </c>
      <c r="H277" s="525" t="s">
        <v>1107</v>
      </c>
      <c r="I277" s="525" t="s">
        <v>1108</v>
      </c>
      <c r="J277" s="525" t="s">
        <v>1109</v>
      </c>
      <c r="K277" s="525" t="s">
        <v>1110</v>
      </c>
      <c r="L277" s="527">
        <v>1766.8939377298511</v>
      </c>
      <c r="M277" s="527">
        <v>29</v>
      </c>
      <c r="N277" s="528">
        <v>51239.92419416568</v>
      </c>
    </row>
    <row r="278" spans="1:14" ht="14.4" customHeight="1" x14ac:dyDescent="0.3">
      <c r="A278" s="523" t="s">
        <v>443</v>
      </c>
      <c r="B278" s="524" t="s">
        <v>445</v>
      </c>
      <c r="C278" s="525" t="s">
        <v>465</v>
      </c>
      <c r="D278" s="526" t="s">
        <v>466</v>
      </c>
      <c r="E278" s="525" t="s">
        <v>448</v>
      </c>
      <c r="F278" s="526" t="s">
        <v>449</v>
      </c>
      <c r="G278" s="525" t="s">
        <v>469</v>
      </c>
      <c r="H278" s="525" t="s">
        <v>1111</v>
      </c>
      <c r="I278" s="525" t="s">
        <v>1112</v>
      </c>
      <c r="J278" s="525" t="s">
        <v>1109</v>
      </c>
      <c r="K278" s="525" t="s">
        <v>1113</v>
      </c>
      <c r="L278" s="527">
        <v>2156.25</v>
      </c>
      <c r="M278" s="527">
        <v>3</v>
      </c>
      <c r="N278" s="528">
        <v>6468.75</v>
      </c>
    </row>
    <row r="279" spans="1:14" ht="14.4" customHeight="1" x14ac:dyDescent="0.3">
      <c r="A279" s="523" t="s">
        <v>443</v>
      </c>
      <c r="B279" s="524" t="s">
        <v>445</v>
      </c>
      <c r="C279" s="525" t="s">
        <v>465</v>
      </c>
      <c r="D279" s="526" t="s">
        <v>466</v>
      </c>
      <c r="E279" s="525" t="s">
        <v>448</v>
      </c>
      <c r="F279" s="526" t="s">
        <v>449</v>
      </c>
      <c r="G279" s="525" t="s">
        <v>469</v>
      </c>
      <c r="H279" s="525" t="s">
        <v>580</v>
      </c>
      <c r="I279" s="525" t="s">
        <v>497</v>
      </c>
      <c r="J279" s="525" t="s">
        <v>581</v>
      </c>
      <c r="K279" s="525"/>
      <c r="L279" s="527">
        <v>314.86005784380211</v>
      </c>
      <c r="M279" s="527">
        <v>15</v>
      </c>
      <c r="N279" s="528">
        <v>4722.900867657032</v>
      </c>
    </row>
    <row r="280" spans="1:14" ht="14.4" customHeight="1" x14ac:dyDescent="0.3">
      <c r="A280" s="523" t="s">
        <v>443</v>
      </c>
      <c r="B280" s="524" t="s">
        <v>445</v>
      </c>
      <c r="C280" s="525" t="s">
        <v>465</v>
      </c>
      <c r="D280" s="526" t="s">
        <v>466</v>
      </c>
      <c r="E280" s="525" t="s">
        <v>448</v>
      </c>
      <c r="F280" s="526" t="s">
        <v>449</v>
      </c>
      <c r="G280" s="525" t="s">
        <v>469</v>
      </c>
      <c r="H280" s="525" t="s">
        <v>582</v>
      </c>
      <c r="I280" s="525" t="s">
        <v>497</v>
      </c>
      <c r="J280" s="525" t="s">
        <v>583</v>
      </c>
      <c r="K280" s="525"/>
      <c r="L280" s="527">
        <v>238.29235206545212</v>
      </c>
      <c r="M280" s="527">
        <v>26</v>
      </c>
      <c r="N280" s="528">
        <v>6195.6011537017548</v>
      </c>
    </row>
    <row r="281" spans="1:14" ht="14.4" customHeight="1" x14ac:dyDescent="0.3">
      <c r="A281" s="523" t="s">
        <v>443</v>
      </c>
      <c r="B281" s="524" t="s">
        <v>445</v>
      </c>
      <c r="C281" s="525" t="s">
        <v>465</v>
      </c>
      <c r="D281" s="526" t="s">
        <v>466</v>
      </c>
      <c r="E281" s="525" t="s">
        <v>448</v>
      </c>
      <c r="F281" s="526" t="s">
        <v>449</v>
      </c>
      <c r="G281" s="525" t="s">
        <v>469</v>
      </c>
      <c r="H281" s="525" t="s">
        <v>584</v>
      </c>
      <c r="I281" s="525" t="s">
        <v>497</v>
      </c>
      <c r="J281" s="525" t="s">
        <v>585</v>
      </c>
      <c r="K281" s="525"/>
      <c r="L281" s="527">
        <v>1089.2094059597066</v>
      </c>
      <c r="M281" s="527">
        <v>3</v>
      </c>
      <c r="N281" s="528">
        <v>3267.6282178791198</v>
      </c>
    </row>
    <row r="282" spans="1:14" ht="14.4" customHeight="1" x14ac:dyDescent="0.3">
      <c r="A282" s="523" t="s">
        <v>443</v>
      </c>
      <c r="B282" s="524" t="s">
        <v>445</v>
      </c>
      <c r="C282" s="525" t="s">
        <v>465</v>
      </c>
      <c r="D282" s="526" t="s">
        <v>466</v>
      </c>
      <c r="E282" s="525" t="s">
        <v>448</v>
      </c>
      <c r="F282" s="526" t="s">
        <v>449</v>
      </c>
      <c r="G282" s="525" t="s">
        <v>469</v>
      </c>
      <c r="H282" s="525" t="s">
        <v>586</v>
      </c>
      <c r="I282" s="525" t="s">
        <v>497</v>
      </c>
      <c r="J282" s="525" t="s">
        <v>587</v>
      </c>
      <c r="K282" s="525"/>
      <c r="L282" s="527">
        <v>430.6398515006519</v>
      </c>
      <c r="M282" s="527">
        <v>20</v>
      </c>
      <c r="N282" s="528">
        <v>8612.7970300130382</v>
      </c>
    </row>
    <row r="283" spans="1:14" ht="14.4" customHeight="1" x14ac:dyDescent="0.3">
      <c r="A283" s="523" t="s">
        <v>443</v>
      </c>
      <c r="B283" s="524" t="s">
        <v>445</v>
      </c>
      <c r="C283" s="525" t="s">
        <v>465</v>
      </c>
      <c r="D283" s="526" t="s">
        <v>466</v>
      </c>
      <c r="E283" s="525" t="s">
        <v>448</v>
      </c>
      <c r="F283" s="526" t="s">
        <v>449</v>
      </c>
      <c r="G283" s="525" t="s">
        <v>469</v>
      </c>
      <c r="H283" s="525" t="s">
        <v>588</v>
      </c>
      <c r="I283" s="525" t="s">
        <v>497</v>
      </c>
      <c r="J283" s="525" t="s">
        <v>589</v>
      </c>
      <c r="K283" s="525" t="s">
        <v>590</v>
      </c>
      <c r="L283" s="527">
        <v>893.58027759078368</v>
      </c>
      <c r="M283" s="527">
        <v>16</v>
      </c>
      <c r="N283" s="528">
        <v>14297.284441452539</v>
      </c>
    </row>
    <row r="284" spans="1:14" ht="14.4" customHeight="1" x14ac:dyDescent="0.3">
      <c r="A284" s="523" t="s">
        <v>443</v>
      </c>
      <c r="B284" s="524" t="s">
        <v>445</v>
      </c>
      <c r="C284" s="525" t="s">
        <v>465</v>
      </c>
      <c r="D284" s="526" t="s">
        <v>466</v>
      </c>
      <c r="E284" s="525" t="s">
        <v>448</v>
      </c>
      <c r="F284" s="526" t="s">
        <v>449</v>
      </c>
      <c r="G284" s="525" t="s">
        <v>469</v>
      </c>
      <c r="H284" s="525" t="s">
        <v>591</v>
      </c>
      <c r="I284" s="525" t="s">
        <v>497</v>
      </c>
      <c r="J284" s="525" t="s">
        <v>592</v>
      </c>
      <c r="K284" s="525" t="s">
        <v>593</v>
      </c>
      <c r="L284" s="527">
        <v>431.39034932089862</v>
      </c>
      <c r="M284" s="527">
        <v>14</v>
      </c>
      <c r="N284" s="528">
        <v>6039.4648904925807</v>
      </c>
    </row>
    <row r="285" spans="1:14" ht="14.4" customHeight="1" x14ac:dyDescent="0.3">
      <c r="A285" s="523" t="s">
        <v>443</v>
      </c>
      <c r="B285" s="524" t="s">
        <v>445</v>
      </c>
      <c r="C285" s="525" t="s">
        <v>465</v>
      </c>
      <c r="D285" s="526" t="s">
        <v>466</v>
      </c>
      <c r="E285" s="525" t="s">
        <v>448</v>
      </c>
      <c r="F285" s="526" t="s">
        <v>449</v>
      </c>
      <c r="G285" s="525" t="s">
        <v>469</v>
      </c>
      <c r="H285" s="525" t="s">
        <v>594</v>
      </c>
      <c r="I285" s="525" t="s">
        <v>497</v>
      </c>
      <c r="J285" s="525" t="s">
        <v>595</v>
      </c>
      <c r="K285" s="525"/>
      <c r="L285" s="527">
        <v>285.08988838803396</v>
      </c>
      <c r="M285" s="527">
        <v>67</v>
      </c>
      <c r="N285" s="528">
        <v>19101.022521998275</v>
      </c>
    </row>
    <row r="286" spans="1:14" ht="14.4" customHeight="1" x14ac:dyDescent="0.3">
      <c r="A286" s="523" t="s">
        <v>443</v>
      </c>
      <c r="B286" s="524" t="s">
        <v>445</v>
      </c>
      <c r="C286" s="525" t="s">
        <v>465</v>
      </c>
      <c r="D286" s="526" t="s">
        <v>466</v>
      </c>
      <c r="E286" s="525" t="s">
        <v>448</v>
      </c>
      <c r="F286" s="526" t="s">
        <v>449</v>
      </c>
      <c r="G286" s="525" t="s">
        <v>469</v>
      </c>
      <c r="H286" s="525" t="s">
        <v>596</v>
      </c>
      <c r="I286" s="525" t="s">
        <v>497</v>
      </c>
      <c r="J286" s="525" t="s">
        <v>597</v>
      </c>
      <c r="K286" s="525"/>
      <c r="L286" s="527">
        <v>705.79935717535716</v>
      </c>
      <c r="M286" s="527">
        <v>99</v>
      </c>
      <c r="N286" s="528">
        <v>69874.136360360353</v>
      </c>
    </row>
    <row r="287" spans="1:14" ht="14.4" customHeight="1" x14ac:dyDescent="0.3">
      <c r="A287" s="523" t="s">
        <v>443</v>
      </c>
      <c r="B287" s="524" t="s">
        <v>445</v>
      </c>
      <c r="C287" s="525" t="s">
        <v>465</v>
      </c>
      <c r="D287" s="526" t="s">
        <v>466</v>
      </c>
      <c r="E287" s="525" t="s">
        <v>448</v>
      </c>
      <c r="F287" s="526" t="s">
        <v>449</v>
      </c>
      <c r="G287" s="525" t="s">
        <v>469</v>
      </c>
      <c r="H287" s="525" t="s">
        <v>749</v>
      </c>
      <c r="I287" s="525" t="s">
        <v>497</v>
      </c>
      <c r="J287" s="525" t="s">
        <v>750</v>
      </c>
      <c r="K287" s="525"/>
      <c r="L287" s="527">
        <v>72.739999999999995</v>
      </c>
      <c r="M287" s="527">
        <v>3</v>
      </c>
      <c r="N287" s="528">
        <v>218.21999999999997</v>
      </c>
    </row>
    <row r="288" spans="1:14" ht="14.4" customHeight="1" x14ac:dyDescent="0.3">
      <c r="A288" s="523" t="s">
        <v>443</v>
      </c>
      <c r="B288" s="524" t="s">
        <v>445</v>
      </c>
      <c r="C288" s="525" t="s">
        <v>465</v>
      </c>
      <c r="D288" s="526" t="s">
        <v>466</v>
      </c>
      <c r="E288" s="525" t="s">
        <v>448</v>
      </c>
      <c r="F288" s="526" t="s">
        <v>449</v>
      </c>
      <c r="G288" s="525" t="s">
        <v>469</v>
      </c>
      <c r="H288" s="525" t="s">
        <v>1114</v>
      </c>
      <c r="I288" s="525" t="s">
        <v>1115</v>
      </c>
      <c r="J288" s="525" t="s">
        <v>1049</v>
      </c>
      <c r="K288" s="525" t="s">
        <v>1116</v>
      </c>
      <c r="L288" s="527">
        <v>2864.4645859444831</v>
      </c>
      <c r="M288" s="527">
        <v>18</v>
      </c>
      <c r="N288" s="528">
        <v>51560.362547000695</v>
      </c>
    </row>
    <row r="289" spans="1:14" ht="14.4" customHeight="1" x14ac:dyDescent="0.3">
      <c r="A289" s="523" t="s">
        <v>443</v>
      </c>
      <c r="B289" s="524" t="s">
        <v>445</v>
      </c>
      <c r="C289" s="525" t="s">
        <v>465</v>
      </c>
      <c r="D289" s="526" t="s">
        <v>466</v>
      </c>
      <c r="E289" s="525" t="s">
        <v>448</v>
      </c>
      <c r="F289" s="526" t="s">
        <v>449</v>
      </c>
      <c r="G289" s="525" t="s">
        <v>469</v>
      </c>
      <c r="H289" s="525" t="s">
        <v>1117</v>
      </c>
      <c r="I289" s="525" t="s">
        <v>1115</v>
      </c>
      <c r="J289" s="525" t="s">
        <v>1118</v>
      </c>
      <c r="K289" s="525" t="s">
        <v>1119</v>
      </c>
      <c r="L289" s="527">
        <v>2735.45</v>
      </c>
      <c r="M289" s="527">
        <v>1</v>
      </c>
      <c r="N289" s="528">
        <v>2735.45</v>
      </c>
    </row>
    <row r="290" spans="1:14" ht="14.4" customHeight="1" x14ac:dyDescent="0.3">
      <c r="A290" s="523" t="s">
        <v>443</v>
      </c>
      <c r="B290" s="524" t="s">
        <v>445</v>
      </c>
      <c r="C290" s="525" t="s">
        <v>465</v>
      </c>
      <c r="D290" s="526" t="s">
        <v>466</v>
      </c>
      <c r="E290" s="525" t="s">
        <v>448</v>
      </c>
      <c r="F290" s="526" t="s">
        <v>449</v>
      </c>
      <c r="G290" s="525" t="s">
        <v>626</v>
      </c>
      <c r="H290" s="525" t="s">
        <v>1120</v>
      </c>
      <c r="I290" s="525" t="s">
        <v>1121</v>
      </c>
      <c r="J290" s="525" t="s">
        <v>1122</v>
      </c>
      <c r="K290" s="525" t="s">
        <v>748</v>
      </c>
      <c r="L290" s="527">
        <v>1361.3894967043514</v>
      </c>
      <c r="M290" s="527">
        <v>9</v>
      </c>
      <c r="N290" s="528">
        <v>12252.505470339162</v>
      </c>
    </row>
    <row r="291" spans="1:14" ht="14.4" customHeight="1" x14ac:dyDescent="0.3">
      <c r="A291" s="523" t="s">
        <v>443</v>
      </c>
      <c r="B291" s="524" t="s">
        <v>445</v>
      </c>
      <c r="C291" s="525" t="s">
        <v>465</v>
      </c>
      <c r="D291" s="526" t="s">
        <v>466</v>
      </c>
      <c r="E291" s="525" t="s">
        <v>452</v>
      </c>
      <c r="F291" s="526" t="s">
        <v>453</v>
      </c>
      <c r="G291" s="525"/>
      <c r="H291" s="525" t="s">
        <v>1123</v>
      </c>
      <c r="I291" s="525" t="s">
        <v>1124</v>
      </c>
      <c r="J291" s="525" t="s">
        <v>1125</v>
      </c>
      <c r="K291" s="525" t="s">
        <v>1126</v>
      </c>
      <c r="L291" s="527">
        <v>32.43</v>
      </c>
      <c r="M291" s="527">
        <v>30</v>
      </c>
      <c r="N291" s="528">
        <v>972.90000000000009</v>
      </c>
    </row>
    <row r="292" spans="1:14" ht="14.4" customHeight="1" x14ac:dyDescent="0.3">
      <c r="A292" s="523" t="s">
        <v>443</v>
      </c>
      <c r="B292" s="524" t="s">
        <v>445</v>
      </c>
      <c r="C292" s="525" t="s">
        <v>465</v>
      </c>
      <c r="D292" s="526" t="s">
        <v>466</v>
      </c>
      <c r="E292" s="525" t="s">
        <v>452</v>
      </c>
      <c r="F292" s="526" t="s">
        <v>453</v>
      </c>
      <c r="G292" s="525"/>
      <c r="H292" s="525" t="s">
        <v>1127</v>
      </c>
      <c r="I292" s="525" t="s">
        <v>1128</v>
      </c>
      <c r="J292" s="525" t="s">
        <v>1129</v>
      </c>
      <c r="K292" s="525" t="s">
        <v>1130</v>
      </c>
      <c r="L292" s="527">
        <v>381.12947566738995</v>
      </c>
      <c r="M292" s="527">
        <v>3.6</v>
      </c>
      <c r="N292" s="528">
        <v>1372.0661124026039</v>
      </c>
    </row>
    <row r="293" spans="1:14" ht="14.4" customHeight="1" x14ac:dyDescent="0.3">
      <c r="A293" s="523" t="s">
        <v>443</v>
      </c>
      <c r="B293" s="524" t="s">
        <v>445</v>
      </c>
      <c r="C293" s="525" t="s">
        <v>465</v>
      </c>
      <c r="D293" s="526" t="s">
        <v>466</v>
      </c>
      <c r="E293" s="525" t="s">
        <v>452</v>
      </c>
      <c r="F293" s="526" t="s">
        <v>453</v>
      </c>
      <c r="G293" s="525" t="s">
        <v>469</v>
      </c>
      <c r="H293" s="525" t="s">
        <v>598</v>
      </c>
      <c r="I293" s="525" t="s">
        <v>599</v>
      </c>
      <c r="J293" s="525" t="s">
        <v>600</v>
      </c>
      <c r="K293" s="525" t="s">
        <v>601</v>
      </c>
      <c r="L293" s="527">
        <v>37.941961129137979</v>
      </c>
      <c r="M293" s="527">
        <v>10</v>
      </c>
      <c r="N293" s="528">
        <v>379.41961129137979</v>
      </c>
    </row>
    <row r="294" spans="1:14" ht="14.4" customHeight="1" x14ac:dyDescent="0.3">
      <c r="A294" s="523" t="s">
        <v>443</v>
      </c>
      <c r="B294" s="524" t="s">
        <v>445</v>
      </c>
      <c r="C294" s="525" t="s">
        <v>465</v>
      </c>
      <c r="D294" s="526" t="s">
        <v>466</v>
      </c>
      <c r="E294" s="525" t="s">
        <v>452</v>
      </c>
      <c r="F294" s="526" t="s">
        <v>453</v>
      </c>
      <c r="G294" s="525" t="s">
        <v>469</v>
      </c>
      <c r="H294" s="525" t="s">
        <v>1131</v>
      </c>
      <c r="I294" s="525" t="s">
        <v>1132</v>
      </c>
      <c r="J294" s="525" t="s">
        <v>1133</v>
      </c>
      <c r="K294" s="525" t="s">
        <v>803</v>
      </c>
      <c r="L294" s="527">
        <v>64.190401481421262</v>
      </c>
      <c r="M294" s="527">
        <v>3</v>
      </c>
      <c r="N294" s="528">
        <v>192.5712044442638</v>
      </c>
    </row>
    <row r="295" spans="1:14" ht="14.4" customHeight="1" x14ac:dyDescent="0.3">
      <c r="A295" s="523" t="s">
        <v>443</v>
      </c>
      <c r="B295" s="524" t="s">
        <v>445</v>
      </c>
      <c r="C295" s="525" t="s">
        <v>465</v>
      </c>
      <c r="D295" s="526" t="s">
        <v>466</v>
      </c>
      <c r="E295" s="525" t="s">
        <v>452</v>
      </c>
      <c r="F295" s="526" t="s">
        <v>453</v>
      </c>
      <c r="G295" s="525" t="s">
        <v>469</v>
      </c>
      <c r="H295" s="525" t="s">
        <v>1134</v>
      </c>
      <c r="I295" s="525" t="s">
        <v>1135</v>
      </c>
      <c r="J295" s="525" t="s">
        <v>1136</v>
      </c>
      <c r="K295" s="525" t="s">
        <v>1137</v>
      </c>
      <c r="L295" s="527">
        <v>446.7806350202805</v>
      </c>
      <c r="M295" s="527">
        <v>2</v>
      </c>
      <c r="N295" s="528">
        <v>893.561270040561</v>
      </c>
    </row>
    <row r="296" spans="1:14" ht="14.4" customHeight="1" x14ac:dyDescent="0.3">
      <c r="A296" s="523" t="s">
        <v>443</v>
      </c>
      <c r="B296" s="524" t="s">
        <v>445</v>
      </c>
      <c r="C296" s="525" t="s">
        <v>465</v>
      </c>
      <c r="D296" s="526" t="s">
        <v>466</v>
      </c>
      <c r="E296" s="525" t="s">
        <v>452</v>
      </c>
      <c r="F296" s="526" t="s">
        <v>453</v>
      </c>
      <c r="G296" s="525" t="s">
        <v>469</v>
      </c>
      <c r="H296" s="525" t="s">
        <v>1138</v>
      </c>
      <c r="I296" s="525" t="s">
        <v>1139</v>
      </c>
      <c r="J296" s="525" t="s">
        <v>1140</v>
      </c>
      <c r="K296" s="525" t="s">
        <v>1141</v>
      </c>
      <c r="L296" s="527">
        <v>2738.74</v>
      </c>
      <c r="M296" s="527">
        <v>1</v>
      </c>
      <c r="N296" s="528">
        <v>2738.74</v>
      </c>
    </row>
    <row r="297" spans="1:14" ht="14.4" customHeight="1" x14ac:dyDescent="0.3">
      <c r="A297" s="523" t="s">
        <v>443</v>
      </c>
      <c r="B297" s="524" t="s">
        <v>445</v>
      </c>
      <c r="C297" s="525" t="s">
        <v>465</v>
      </c>
      <c r="D297" s="526" t="s">
        <v>466</v>
      </c>
      <c r="E297" s="525" t="s">
        <v>452</v>
      </c>
      <c r="F297" s="526" t="s">
        <v>453</v>
      </c>
      <c r="G297" s="525" t="s">
        <v>469</v>
      </c>
      <c r="H297" s="525" t="s">
        <v>602</v>
      </c>
      <c r="I297" s="525" t="s">
        <v>603</v>
      </c>
      <c r="J297" s="525" t="s">
        <v>604</v>
      </c>
      <c r="K297" s="525" t="s">
        <v>605</v>
      </c>
      <c r="L297" s="527">
        <v>86.570256386192298</v>
      </c>
      <c r="M297" s="527">
        <v>1</v>
      </c>
      <c r="N297" s="528">
        <v>86.570256386192298</v>
      </c>
    </row>
    <row r="298" spans="1:14" ht="14.4" customHeight="1" x14ac:dyDescent="0.3">
      <c r="A298" s="523" t="s">
        <v>443</v>
      </c>
      <c r="B298" s="524" t="s">
        <v>445</v>
      </c>
      <c r="C298" s="525" t="s">
        <v>465</v>
      </c>
      <c r="D298" s="526" t="s">
        <v>466</v>
      </c>
      <c r="E298" s="525" t="s">
        <v>452</v>
      </c>
      <c r="F298" s="526" t="s">
        <v>453</v>
      </c>
      <c r="G298" s="525" t="s">
        <v>469</v>
      </c>
      <c r="H298" s="525" t="s">
        <v>1142</v>
      </c>
      <c r="I298" s="525" t="s">
        <v>1143</v>
      </c>
      <c r="J298" s="525" t="s">
        <v>1144</v>
      </c>
      <c r="K298" s="525" t="s">
        <v>1145</v>
      </c>
      <c r="L298" s="527">
        <v>0</v>
      </c>
      <c r="M298" s="527">
        <v>0</v>
      </c>
      <c r="N298" s="528">
        <v>2.8421709430404007E-14</v>
      </c>
    </row>
    <row r="299" spans="1:14" ht="14.4" customHeight="1" x14ac:dyDescent="0.3">
      <c r="A299" s="523" t="s">
        <v>443</v>
      </c>
      <c r="B299" s="524" t="s">
        <v>445</v>
      </c>
      <c r="C299" s="525" t="s">
        <v>465</v>
      </c>
      <c r="D299" s="526" t="s">
        <v>466</v>
      </c>
      <c r="E299" s="525" t="s">
        <v>452</v>
      </c>
      <c r="F299" s="526" t="s">
        <v>453</v>
      </c>
      <c r="G299" s="525" t="s">
        <v>469</v>
      </c>
      <c r="H299" s="525" t="s">
        <v>1146</v>
      </c>
      <c r="I299" s="525" t="s">
        <v>1147</v>
      </c>
      <c r="J299" s="525" t="s">
        <v>1148</v>
      </c>
      <c r="K299" s="525" t="s">
        <v>1149</v>
      </c>
      <c r="L299" s="527">
        <v>82.83</v>
      </c>
      <c r="M299" s="527">
        <v>20</v>
      </c>
      <c r="N299" s="528">
        <v>1656.6</v>
      </c>
    </row>
    <row r="300" spans="1:14" ht="14.4" customHeight="1" x14ac:dyDescent="0.3">
      <c r="A300" s="523" t="s">
        <v>443</v>
      </c>
      <c r="B300" s="524" t="s">
        <v>445</v>
      </c>
      <c r="C300" s="525" t="s">
        <v>465</v>
      </c>
      <c r="D300" s="526" t="s">
        <v>466</v>
      </c>
      <c r="E300" s="525" t="s">
        <v>452</v>
      </c>
      <c r="F300" s="526" t="s">
        <v>453</v>
      </c>
      <c r="G300" s="525" t="s">
        <v>469</v>
      </c>
      <c r="H300" s="525" t="s">
        <v>606</v>
      </c>
      <c r="I300" s="525" t="s">
        <v>607</v>
      </c>
      <c r="J300" s="525" t="s">
        <v>608</v>
      </c>
      <c r="K300" s="525" t="s">
        <v>609</v>
      </c>
      <c r="L300" s="527">
        <v>135.85953458504216</v>
      </c>
      <c r="M300" s="527">
        <v>69</v>
      </c>
      <c r="N300" s="528">
        <v>9374.3078863679093</v>
      </c>
    </row>
    <row r="301" spans="1:14" ht="14.4" customHeight="1" x14ac:dyDescent="0.3">
      <c r="A301" s="523" t="s">
        <v>443</v>
      </c>
      <c r="B301" s="524" t="s">
        <v>445</v>
      </c>
      <c r="C301" s="525" t="s">
        <v>465</v>
      </c>
      <c r="D301" s="526" t="s">
        <v>466</v>
      </c>
      <c r="E301" s="525" t="s">
        <v>452</v>
      </c>
      <c r="F301" s="526" t="s">
        <v>453</v>
      </c>
      <c r="G301" s="525" t="s">
        <v>469</v>
      </c>
      <c r="H301" s="525" t="s">
        <v>610</v>
      </c>
      <c r="I301" s="525" t="s">
        <v>611</v>
      </c>
      <c r="J301" s="525" t="s">
        <v>612</v>
      </c>
      <c r="K301" s="525" t="s">
        <v>613</v>
      </c>
      <c r="L301" s="527">
        <v>63.736811162281143</v>
      </c>
      <c r="M301" s="527">
        <v>38</v>
      </c>
      <c r="N301" s="528">
        <v>2421.9988241666833</v>
      </c>
    </row>
    <row r="302" spans="1:14" ht="14.4" customHeight="1" x14ac:dyDescent="0.3">
      <c r="A302" s="523" t="s">
        <v>443</v>
      </c>
      <c r="B302" s="524" t="s">
        <v>445</v>
      </c>
      <c r="C302" s="525" t="s">
        <v>465</v>
      </c>
      <c r="D302" s="526" t="s">
        <v>466</v>
      </c>
      <c r="E302" s="525" t="s">
        <v>452</v>
      </c>
      <c r="F302" s="526" t="s">
        <v>453</v>
      </c>
      <c r="G302" s="525" t="s">
        <v>469</v>
      </c>
      <c r="H302" s="525" t="s">
        <v>614</v>
      </c>
      <c r="I302" s="525" t="s">
        <v>615</v>
      </c>
      <c r="J302" s="525" t="s">
        <v>616</v>
      </c>
      <c r="K302" s="525" t="s">
        <v>617</v>
      </c>
      <c r="L302" s="527">
        <v>70.531192643164061</v>
      </c>
      <c r="M302" s="527">
        <v>8</v>
      </c>
      <c r="N302" s="528">
        <v>564.24954114531249</v>
      </c>
    </row>
    <row r="303" spans="1:14" ht="14.4" customHeight="1" x14ac:dyDescent="0.3">
      <c r="A303" s="523" t="s">
        <v>443</v>
      </c>
      <c r="B303" s="524" t="s">
        <v>445</v>
      </c>
      <c r="C303" s="525" t="s">
        <v>465</v>
      </c>
      <c r="D303" s="526" t="s">
        <v>466</v>
      </c>
      <c r="E303" s="525" t="s">
        <v>452</v>
      </c>
      <c r="F303" s="526" t="s">
        <v>453</v>
      </c>
      <c r="G303" s="525" t="s">
        <v>469</v>
      </c>
      <c r="H303" s="525" t="s">
        <v>618</v>
      </c>
      <c r="I303" s="525" t="s">
        <v>619</v>
      </c>
      <c r="J303" s="525" t="s">
        <v>620</v>
      </c>
      <c r="K303" s="525" t="s">
        <v>621</v>
      </c>
      <c r="L303" s="527">
        <v>24.63</v>
      </c>
      <c r="M303" s="527">
        <v>1</v>
      </c>
      <c r="N303" s="528">
        <v>24.63</v>
      </c>
    </row>
    <row r="304" spans="1:14" ht="14.4" customHeight="1" x14ac:dyDescent="0.3">
      <c r="A304" s="523" t="s">
        <v>443</v>
      </c>
      <c r="B304" s="524" t="s">
        <v>445</v>
      </c>
      <c r="C304" s="525" t="s">
        <v>465</v>
      </c>
      <c r="D304" s="526" t="s">
        <v>466</v>
      </c>
      <c r="E304" s="525" t="s">
        <v>452</v>
      </c>
      <c r="F304" s="526" t="s">
        <v>453</v>
      </c>
      <c r="G304" s="525" t="s">
        <v>469</v>
      </c>
      <c r="H304" s="525" t="s">
        <v>622</v>
      </c>
      <c r="I304" s="525" t="s">
        <v>623</v>
      </c>
      <c r="J304" s="525" t="s">
        <v>624</v>
      </c>
      <c r="K304" s="525" t="s">
        <v>625</v>
      </c>
      <c r="L304" s="527">
        <v>52.123720900268445</v>
      </c>
      <c r="M304" s="527">
        <v>48</v>
      </c>
      <c r="N304" s="528">
        <v>2501.9386032128855</v>
      </c>
    </row>
    <row r="305" spans="1:14" ht="14.4" customHeight="1" x14ac:dyDescent="0.3">
      <c r="A305" s="523" t="s">
        <v>443</v>
      </c>
      <c r="B305" s="524" t="s">
        <v>445</v>
      </c>
      <c r="C305" s="525" t="s">
        <v>465</v>
      </c>
      <c r="D305" s="526" t="s">
        <v>466</v>
      </c>
      <c r="E305" s="525" t="s">
        <v>452</v>
      </c>
      <c r="F305" s="526" t="s">
        <v>453</v>
      </c>
      <c r="G305" s="525" t="s">
        <v>469</v>
      </c>
      <c r="H305" s="525" t="s">
        <v>751</v>
      </c>
      <c r="I305" s="525" t="s">
        <v>752</v>
      </c>
      <c r="J305" s="525" t="s">
        <v>753</v>
      </c>
      <c r="K305" s="525" t="s">
        <v>754</v>
      </c>
      <c r="L305" s="527">
        <v>66.940000604486954</v>
      </c>
      <c r="M305" s="527">
        <v>2</v>
      </c>
      <c r="N305" s="528">
        <v>133.88000120897391</v>
      </c>
    </row>
    <row r="306" spans="1:14" ht="14.4" customHeight="1" x14ac:dyDescent="0.3">
      <c r="A306" s="523" t="s">
        <v>443</v>
      </c>
      <c r="B306" s="524" t="s">
        <v>445</v>
      </c>
      <c r="C306" s="525" t="s">
        <v>465</v>
      </c>
      <c r="D306" s="526" t="s">
        <v>466</v>
      </c>
      <c r="E306" s="525" t="s">
        <v>452</v>
      </c>
      <c r="F306" s="526" t="s">
        <v>453</v>
      </c>
      <c r="G306" s="525" t="s">
        <v>626</v>
      </c>
      <c r="H306" s="525" t="s">
        <v>755</v>
      </c>
      <c r="I306" s="525" t="s">
        <v>756</v>
      </c>
      <c r="J306" s="525" t="s">
        <v>757</v>
      </c>
      <c r="K306" s="525" t="s">
        <v>758</v>
      </c>
      <c r="L306" s="527">
        <v>3828.7016398517426</v>
      </c>
      <c r="M306" s="527">
        <v>4</v>
      </c>
      <c r="N306" s="528">
        <v>15314.80655940697</v>
      </c>
    </row>
    <row r="307" spans="1:14" ht="14.4" customHeight="1" x14ac:dyDescent="0.3">
      <c r="A307" s="523" t="s">
        <v>443</v>
      </c>
      <c r="B307" s="524" t="s">
        <v>445</v>
      </c>
      <c r="C307" s="525" t="s">
        <v>465</v>
      </c>
      <c r="D307" s="526" t="s">
        <v>466</v>
      </c>
      <c r="E307" s="525" t="s">
        <v>452</v>
      </c>
      <c r="F307" s="526" t="s">
        <v>453</v>
      </c>
      <c r="G307" s="525" t="s">
        <v>626</v>
      </c>
      <c r="H307" s="525" t="s">
        <v>1150</v>
      </c>
      <c r="I307" s="525" t="s">
        <v>1151</v>
      </c>
      <c r="J307" s="525" t="s">
        <v>1152</v>
      </c>
      <c r="K307" s="525" t="s">
        <v>1153</v>
      </c>
      <c r="L307" s="527">
        <v>268.88</v>
      </c>
      <c r="M307" s="527">
        <v>60</v>
      </c>
      <c r="N307" s="528">
        <v>16132.8</v>
      </c>
    </row>
    <row r="308" spans="1:14" ht="14.4" customHeight="1" x14ac:dyDescent="0.3">
      <c r="A308" s="523" t="s">
        <v>443</v>
      </c>
      <c r="B308" s="524" t="s">
        <v>445</v>
      </c>
      <c r="C308" s="525" t="s">
        <v>465</v>
      </c>
      <c r="D308" s="526" t="s">
        <v>466</v>
      </c>
      <c r="E308" s="525" t="s">
        <v>452</v>
      </c>
      <c r="F308" s="526" t="s">
        <v>453</v>
      </c>
      <c r="G308" s="525" t="s">
        <v>626</v>
      </c>
      <c r="H308" s="525" t="s">
        <v>1154</v>
      </c>
      <c r="I308" s="525" t="s">
        <v>1155</v>
      </c>
      <c r="J308" s="525" t="s">
        <v>1156</v>
      </c>
      <c r="K308" s="525" t="s">
        <v>1157</v>
      </c>
      <c r="L308" s="527">
        <v>224.48812499999997</v>
      </c>
      <c r="M308" s="527">
        <v>3.2</v>
      </c>
      <c r="N308" s="528">
        <v>718.36199999999997</v>
      </c>
    </row>
    <row r="309" spans="1:14" ht="14.4" customHeight="1" x14ac:dyDescent="0.3">
      <c r="A309" s="523" t="s">
        <v>443</v>
      </c>
      <c r="B309" s="524" t="s">
        <v>445</v>
      </c>
      <c r="C309" s="525" t="s">
        <v>465</v>
      </c>
      <c r="D309" s="526" t="s">
        <v>466</v>
      </c>
      <c r="E309" s="525" t="s">
        <v>452</v>
      </c>
      <c r="F309" s="526" t="s">
        <v>453</v>
      </c>
      <c r="G309" s="525" t="s">
        <v>626</v>
      </c>
      <c r="H309" s="525" t="s">
        <v>1158</v>
      </c>
      <c r="I309" s="525" t="s">
        <v>1159</v>
      </c>
      <c r="J309" s="525" t="s">
        <v>1160</v>
      </c>
      <c r="K309" s="525" t="s">
        <v>1161</v>
      </c>
      <c r="L309" s="527">
        <v>161.44999999999999</v>
      </c>
      <c r="M309" s="527">
        <v>30</v>
      </c>
      <c r="N309" s="528">
        <v>4843.5</v>
      </c>
    </row>
    <row r="310" spans="1:14" ht="14.4" customHeight="1" x14ac:dyDescent="0.3">
      <c r="A310" s="523" t="s">
        <v>443</v>
      </c>
      <c r="B310" s="524" t="s">
        <v>445</v>
      </c>
      <c r="C310" s="525" t="s">
        <v>465</v>
      </c>
      <c r="D310" s="526" t="s">
        <v>466</v>
      </c>
      <c r="E310" s="525" t="s">
        <v>452</v>
      </c>
      <c r="F310" s="526" t="s">
        <v>453</v>
      </c>
      <c r="G310" s="525" t="s">
        <v>626</v>
      </c>
      <c r="H310" s="525" t="s">
        <v>759</v>
      </c>
      <c r="I310" s="525" t="s">
        <v>760</v>
      </c>
      <c r="J310" s="525" t="s">
        <v>761</v>
      </c>
      <c r="K310" s="525" t="s">
        <v>762</v>
      </c>
      <c r="L310" s="527">
        <v>90.52</v>
      </c>
      <c r="M310" s="527">
        <v>1</v>
      </c>
      <c r="N310" s="528">
        <v>90.52</v>
      </c>
    </row>
    <row r="311" spans="1:14" ht="14.4" customHeight="1" x14ac:dyDescent="0.3">
      <c r="A311" s="523" t="s">
        <v>443</v>
      </c>
      <c r="B311" s="524" t="s">
        <v>445</v>
      </c>
      <c r="C311" s="525" t="s">
        <v>465</v>
      </c>
      <c r="D311" s="526" t="s">
        <v>466</v>
      </c>
      <c r="E311" s="525" t="s">
        <v>452</v>
      </c>
      <c r="F311" s="526" t="s">
        <v>453</v>
      </c>
      <c r="G311" s="525" t="s">
        <v>626</v>
      </c>
      <c r="H311" s="525" t="s">
        <v>1162</v>
      </c>
      <c r="I311" s="525" t="s">
        <v>1163</v>
      </c>
      <c r="J311" s="525" t="s">
        <v>1164</v>
      </c>
      <c r="K311" s="525" t="s">
        <v>1165</v>
      </c>
      <c r="L311" s="527">
        <v>46.240278997312245</v>
      </c>
      <c r="M311" s="527">
        <v>10</v>
      </c>
      <c r="N311" s="528">
        <v>462.40278997312242</v>
      </c>
    </row>
    <row r="312" spans="1:14" ht="14.4" customHeight="1" x14ac:dyDescent="0.3">
      <c r="A312" s="523" t="s">
        <v>443</v>
      </c>
      <c r="B312" s="524" t="s">
        <v>445</v>
      </c>
      <c r="C312" s="525" t="s">
        <v>465</v>
      </c>
      <c r="D312" s="526" t="s">
        <v>466</v>
      </c>
      <c r="E312" s="525" t="s">
        <v>452</v>
      </c>
      <c r="F312" s="526" t="s">
        <v>453</v>
      </c>
      <c r="G312" s="525" t="s">
        <v>626</v>
      </c>
      <c r="H312" s="525" t="s">
        <v>1166</v>
      </c>
      <c r="I312" s="525" t="s">
        <v>1167</v>
      </c>
      <c r="J312" s="525" t="s">
        <v>1168</v>
      </c>
      <c r="K312" s="525" t="s">
        <v>1169</v>
      </c>
      <c r="L312" s="527">
        <v>198.48996740546281</v>
      </c>
      <c r="M312" s="527">
        <v>10</v>
      </c>
      <c r="N312" s="528">
        <v>1984.8996740546281</v>
      </c>
    </row>
    <row r="313" spans="1:14" ht="14.4" customHeight="1" x14ac:dyDescent="0.3">
      <c r="A313" s="523" t="s">
        <v>443</v>
      </c>
      <c r="B313" s="524" t="s">
        <v>445</v>
      </c>
      <c r="C313" s="525" t="s">
        <v>465</v>
      </c>
      <c r="D313" s="526" t="s">
        <v>466</v>
      </c>
      <c r="E313" s="525" t="s">
        <v>452</v>
      </c>
      <c r="F313" s="526" t="s">
        <v>453</v>
      </c>
      <c r="G313" s="525" t="s">
        <v>626</v>
      </c>
      <c r="H313" s="525" t="s">
        <v>627</v>
      </c>
      <c r="I313" s="525" t="s">
        <v>627</v>
      </c>
      <c r="J313" s="525" t="s">
        <v>628</v>
      </c>
      <c r="K313" s="525" t="s">
        <v>629</v>
      </c>
      <c r="L313" s="527">
        <v>189.2585</v>
      </c>
      <c r="M313" s="527">
        <v>6</v>
      </c>
      <c r="N313" s="528">
        <v>1135.5509999999999</v>
      </c>
    </row>
    <row r="314" spans="1:14" ht="14.4" customHeight="1" x14ac:dyDescent="0.3">
      <c r="A314" s="523" t="s">
        <v>443</v>
      </c>
      <c r="B314" s="524" t="s">
        <v>445</v>
      </c>
      <c r="C314" s="525" t="s">
        <v>465</v>
      </c>
      <c r="D314" s="526" t="s">
        <v>466</v>
      </c>
      <c r="E314" s="525" t="s">
        <v>452</v>
      </c>
      <c r="F314" s="526" t="s">
        <v>453</v>
      </c>
      <c r="G314" s="525" t="s">
        <v>626</v>
      </c>
      <c r="H314" s="525" t="s">
        <v>763</v>
      </c>
      <c r="I314" s="525" t="s">
        <v>764</v>
      </c>
      <c r="J314" s="525" t="s">
        <v>765</v>
      </c>
      <c r="K314" s="525" t="s">
        <v>766</v>
      </c>
      <c r="L314" s="527">
        <v>532.62405655523412</v>
      </c>
      <c r="M314" s="527">
        <v>90</v>
      </c>
      <c r="N314" s="528">
        <v>47936.165089971073</v>
      </c>
    </row>
    <row r="315" spans="1:14" ht="14.4" customHeight="1" x14ac:dyDescent="0.3">
      <c r="A315" s="523" t="s">
        <v>443</v>
      </c>
      <c r="B315" s="524" t="s">
        <v>445</v>
      </c>
      <c r="C315" s="525" t="s">
        <v>465</v>
      </c>
      <c r="D315" s="526" t="s">
        <v>466</v>
      </c>
      <c r="E315" s="525" t="s">
        <v>452</v>
      </c>
      <c r="F315" s="526" t="s">
        <v>453</v>
      </c>
      <c r="G315" s="525" t="s">
        <v>626</v>
      </c>
      <c r="H315" s="525" t="s">
        <v>767</v>
      </c>
      <c r="I315" s="525" t="s">
        <v>768</v>
      </c>
      <c r="J315" s="525" t="s">
        <v>769</v>
      </c>
      <c r="K315" s="525" t="s">
        <v>770</v>
      </c>
      <c r="L315" s="527">
        <v>106.77</v>
      </c>
      <c r="M315" s="527">
        <v>2</v>
      </c>
      <c r="N315" s="528">
        <v>213.54</v>
      </c>
    </row>
    <row r="316" spans="1:14" ht="14.4" customHeight="1" x14ac:dyDescent="0.3">
      <c r="A316" s="523" t="s">
        <v>443</v>
      </c>
      <c r="B316" s="524" t="s">
        <v>445</v>
      </c>
      <c r="C316" s="525" t="s">
        <v>465</v>
      </c>
      <c r="D316" s="526" t="s">
        <v>466</v>
      </c>
      <c r="E316" s="525" t="s">
        <v>454</v>
      </c>
      <c r="F316" s="526" t="s">
        <v>455</v>
      </c>
      <c r="G316" s="525" t="s">
        <v>469</v>
      </c>
      <c r="H316" s="525" t="s">
        <v>1170</v>
      </c>
      <c r="I316" s="525" t="s">
        <v>1171</v>
      </c>
      <c r="J316" s="525" t="s">
        <v>1172</v>
      </c>
      <c r="K316" s="525" t="s">
        <v>1173</v>
      </c>
      <c r="L316" s="527">
        <v>87.785999999999987</v>
      </c>
      <c r="M316" s="527">
        <v>5</v>
      </c>
      <c r="N316" s="528">
        <v>438.92999999999995</v>
      </c>
    </row>
    <row r="317" spans="1:14" ht="14.4" customHeight="1" x14ac:dyDescent="0.3">
      <c r="A317" s="523" t="s">
        <v>443</v>
      </c>
      <c r="B317" s="524" t="s">
        <v>445</v>
      </c>
      <c r="C317" s="525" t="s">
        <v>465</v>
      </c>
      <c r="D317" s="526" t="s">
        <v>466</v>
      </c>
      <c r="E317" s="525" t="s">
        <v>454</v>
      </c>
      <c r="F317" s="526" t="s">
        <v>455</v>
      </c>
      <c r="G317" s="525" t="s">
        <v>469</v>
      </c>
      <c r="H317" s="525" t="s">
        <v>634</v>
      </c>
      <c r="I317" s="525" t="s">
        <v>635</v>
      </c>
      <c r="J317" s="525" t="s">
        <v>636</v>
      </c>
      <c r="K317" s="525" t="s">
        <v>637</v>
      </c>
      <c r="L317" s="527">
        <v>89.015848925612204</v>
      </c>
      <c r="M317" s="527">
        <v>17</v>
      </c>
      <c r="N317" s="528">
        <v>1513.2694317354076</v>
      </c>
    </row>
    <row r="318" spans="1:14" ht="14.4" customHeight="1" x14ac:dyDescent="0.3">
      <c r="A318" s="523" t="s">
        <v>443</v>
      </c>
      <c r="B318" s="524" t="s">
        <v>445</v>
      </c>
      <c r="C318" s="525" t="s">
        <v>465</v>
      </c>
      <c r="D318" s="526" t="s">
        <v>466</v>
      </c>
      <c r="E318" s="525" t="s">
        <v>454</v>
      </c>
      <c r="F318" s="526" t="s">
        <v>455</v>
      </c>
      <c r="G318" s="525" t="s">
        <v>469</v>
      </c>
      <c r="H318" s="525" t="s">
        <v>638</v>
      </c>
      <c r="I318" s="525" t="s">
        <v>639</v>
      </c>
      <c r="J318" s="525" t="s">
        <v>640</v>
      </c>
      <c r="K318" s="525" t="s">
        <v>641</v>
      </c>
      <c r="L318" s="527">
        <v>92.259999999999948</v>
      </c>
      <c r="M318" s="527">
        <v>3</v>
      </c>
      <c r="N318" s="528">
        <v>276.77999999999986</v>
      </c>
    </row>
    <row r="319" spans="1:14" ht="14.4" customHeight="1" x14ac:dyDescent="0.3">
      <c r="A319" s="523" t="s">
        <v>443</v>
      </c>
      <c r="B319" s="524" t="s">
        <v>445</v>
      </c>
      <c r="C319" s="525" t="s">
        <v>465</v>
      </c>
      <c r="D319" s="526" t="s">
        <v>466</v>
      </c>
      <c r="E319" s="525" t="s">
        <v>454</v>
      </c>
      <c r="F319" s="526" t="s">
        <v>455</v>
      </c>
      <c r="G319" s="525" t="s">
        <v>626</v>
      </c>
      <c r="H319" s="525" t="s">
        <v>1174</v>
      </c>
      <c r="I319" s="525" t="s">
        <v>1175</v>
      </c>
      <c r="J319" s="525" t="s">
        <v>1176</v>
      </c>
      <c r="K319" s="525"/>
      <c r="L319" s="527">
        <v>91.7099937481686</v>
      </c>
      <c r="M319" s="527">
        <v>106</v>
      </c>
      <c r="N319" s="528">
        <v>9721.2593373058717</v>
      </c>
    </row>
    <row r="320" spans="1:14" ht="14.4" customHeight="1" x14ac:dyDescent="0.3">
      <c r="A320" s="523" t="s">
        <v>443</v>
      </c>
      <c r="B320" s="524" t="s">
        <v>445</v>
      </c>
      <c r="C320" s="525" t="s">
        <v>465</v>
      </c>
      <c r="D320" s="526" t="s">
        <v>466</v>
      </c>
      <c r="E320" s="525" t="s">
        <v>456</v>
      </c>
      <c r="F320" s="526" t="s">
        <v>457</v>
      </c>
      <c r="G320" s="525" t="s">
        <v>469</v>
      </c>
      <c r="H320" s="525" t="s">
        <v>1177</v>
      </c>
      <c r="I320" s="525" t="s">
        <v>1178</v>
      </c>
      <c r="J320" s="525" t="s">
        <v>1179</v>
      </c>
      <c r="K320" s="525" t="s">
        <v>1180</v>
      </c>
      <c r="L320" s="527">
        <v>0</v>
      </c>
      <c r="M320" s="527">
        <v>0</v>
      </c>
      <c r="N320" s="528">
        <v>0</v>
      </c>
    </row>
    <row r="321" spans="1:14" ht="14.4" customHeight="1" x14ac:dyDescent="0.3">
      <c r="A321" s="523" t="s">
        <v>443</v>
      </c>
      <c r="B321" s="524" t="s">
        <v>445</v>
      </c>
      <c r="C321" s="525" t="s">
        <v>465</v>
      </c>
      <c r="D321" s="526" t="s">
        <v>466</v>
      </c>
      <c r="E321" s="525" t="s">
        <v>450</v>
      </c>
      <c r="F321" s="526" t="s">
        <v>451</v>
      </c>
      <c r="G321" s="525"/>
      <c r="H321" s="525"/>
      <c r="I321" s="525" t="s">
        <v>1181</v>
      </c>
      <c r="J321" s="525" t="s">
        <v>1182</v>
      </c>
      <c r="K321" s="525"/>
      <c r="L321" s="527">
        <v>2907</v>
      </c>
      <c r="M321" s="527">
        <v>1</v>
      </c>
      <c r="N321" s="528">
        <v>2907</v>
      </c>
    </row>
    <row r="322" spans="1:14" ht="14.4" customHeight="1" x14ac:dyDescent="0.3">
      <c r="A322" s="523" t="s">
        <v>443</v>
      </c>
      <c r="B322" s="524" t="s">
        <v>445</v>
      </c>
      <c r="C322" s="525" t="s">
        <v>465</v>
      </c>
      <c r="D322" s="526" t="s">
        <v>466</v>
      </c>
      <c r="E322" s="525" t="s">
        <v>450</v>
      </c>
      <c r="F322" s="526" t="s">
        <v>451</v>
      </c>
      <c r="G322" s="525"/>
      <c r="H322" s="525"/>
      <c r="I322" s="525" t="s">
        <v>1183</v>
      </c>
      <c r="J322" s="525" t="s">
        <v>1184</v>
      </c>
      <c r="K322" s="525"/>
      <c r="L322" s="527">
        <v>1322.65</v>
      </c>
      <c r="M322" s="527">
        <v>5</v>
      </c>
      <c r="N322" s="528">
        <v>6613.25</v>
      </c>
    </row>
    <row r="323" spans="1:14" ht="14.4" customHeight="1" x14ac:dyDescent="0.3">
      <c r="A323" s="523" t="s">
        <v>443</v>
      </c>
      <c r="B323" s="524" t="s">
        <v>445</v>
      </c>
      <c r="C323" s="525" t="s">
        <v>465</v>
      </c>
      <c r="D323" s="526" t="s">
        <v>466</v>
      </c>
      <c r="E323" s="525" t="s">
        <v>450</v>
      </c>
      <c r="F323" s="526" t="s">
        <v>451</v>
      </c>
      <c r="G323" s="525"/>
      <c r="H323" s="525"/>
      <c r="I323" s="525" t="s">
        <v>1185</v>
      </c>
      <c r="J323" s="525" t="s">
        <v>1186</v>
      </c>
      <c r="K323" s="525"/>
      <c r="L323" s="527">
        <v>143.63999999999999</v>
      </c>
      <c r="M323" s="527">
        <v>90</v>
      </c>
      <c r="N323" s="528">
        <v>12927.599999999999</v>
      </c>
    </row>
    <row r="324" spans="1:14" ht="14.4" customHeight="1" thickBot="1" x14ac:dyDescent="0.35">
      <c r="A324" s="529" t="s">
        <v>443</v>
      </c>
      <c r="B324" s="530" t="s">
        <v>445</v>
      </c>
      <c r="C324" s="531" t="s">
        <v>467</v>
      </c>
      <c r="D324" s="532" t="s">
        <v>468</v>
      </c>
      <c r="E324" s="531" t="s">
        <v>456</v>
      </c>
      <c r="F324" s="532" t="s">
        <v>457</v>
      </c>
      <c r="G324" s="531" t="s">
        <v>469</v>
      </c>
      <c r="H324" s="531" t="s">
        <v>1177</v>
      </c>
      <c r="I324" s="531" t="s">
        <v>1178</v>
      </c>
      <c r="J324" s="531" t="s">
        <v>1179</v>
      </c>
      <c r="K324" s="531" t="s">
        <v>1180</v>
      </c>
      <c r="L324" s="533">
        <v>10173.084000000001</v>
      </c>
      <c r="M324" s="533">
        <v>10</v>
      </c>
      <c r="N324" s="534">
        <v>101730.84000000001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7" customWidth="1"/>
    <col min="3" max="3" width="5.5546875" style="90" customWidth="1"/>
    <col min="4" max="4" width="10" style="97" customWidth="1"/>
    <col min="5" max="5" width="5.5546875" style="90" customWidth="1"/>
    <col min="6" max="6" width="10" style="97" customWidth="1"/>
    <col min="7" max="16384" width="8.88671875" style="69"/>
  </cols>
  <sheetData>
    <row r="1" spans="1:6" ht="18.600000000000001" customHeight="1" thickBot="1" x14ac:dyDescent="0.4">
      <c r="A1" s="403" t="s">
        <v>1190</v>
      </c>
      <c r="B1" s="403"/>
      <c r="C1" s="403"/>
      <c r="D1" s="403"/>
      <c r="E1" s="403"/>
      <c r="F1" s="403"/>
    </row>
    <row r="2" spans="1:6" ht="14.4" customHeight="1" thickBot="1" x14ac:dyDescent="0.35">
      <c r="A2" s="478" t="s">
        <v>215</v>
      </c>
      <c r="B2" s="92"/>
      <c r="C2" s="93"/>
      <c r="D2" s="94"/>
      <c r="E2" s="93"/>
      <c r="F2" s="94"/>
    </row>
    <row r="3" spans="1:6" ht="14.4" customHeight="1" thickBot="1" x14ac:dyDescent="0.35">
      <c r="A3" s="289"/>
      <c r="B3" s="404" t="s">
        <v>185</v>
      </c>
      <c r="C3" s="405"/>
      <c r="D3" s="406" t="s">
        <v>184</v>
      </c>
      <c r="E3" s="405"/>
      <c r="F3" s="143" t="s">
        <v>6</v>
      </c>
    </row>
    <row r="4" spans="1:6" ht="14.4" customHeight="1" thickBot="1" x14ac:dyDescent="0.35">
      <c r="A4" s="535" t="s">
        <v>204</v>
      </c>
      <c r="B4" s="536" t="s">
        <v>17</v>
      </c>
      <c r="C4" s="537" t="s">
        <v>5</v>
      </c>
      <c r="D4" s="536" t="s">
        <v>17</v>
      </c>
      <c r="E4" s="537" t="s">
        <v>5</v>
      </c>
      <c r="F4" s="538" t="s">
        <v>17</v>
      </c>
    </row>
    <row r="5" spans="1:6" ht="14.4" customHeight="1" x14ac:dyDescent="0.3">
      <c r="A5" s="549" t="s">
        <v>1187</v>
      </c>
      <c r="B5" s="521">
        <v>8166.4452151126889</v>
      </c>
      <c r="C5" s="539">
        <v>3.9576486423558495E-2</v>
      </c>
      <c r="D5" s="521">
        <v>198179.442282659</v>
      </c>
      <c r="E5" s="539">
        <v>0.96042351357644162</v>
      </c>
      <c r="F5" s="522">
        <v>206345.88749777168</v>
      </c>
    </row>
    <row r="6" spans="1:6" ht="14.4" customHeight="1" x14ac:dyDescent="0.3">
      <c r="A6" s="550" t="s">
        <v>1188</v>
      </c>
      <c r="B6" s="527">
        <v>1869.6507469123501</v>
      </c>
      <c r="C6" s="540">
        <v>0.14475761683465038</v>
      </c>
      <c r="D6" s="527">
        <v>11046.082378536667</v>
      </c>
      <c r="E6" s="540">
        <v>0.85524238316534962</v>
      </c>
      <c r="F6" s="528">
        <v>12915.733125449016</v>
      </c>
    </row>
    <row r="7" spans="1:6" ht="14.4" customHeight="1" thickBot="1" x14ac:dyDescent="0.35">
      <c r="A7" s="551" t="s">
        <v>1189</v>
      </c>
      <c r="B7" s="542">
        <v>876.85712783461008</v>
      </c>
      <c r="C7" s="543">
        <v>0.47847984201474764</v>
      </c>
      <c r="D7" s="542">
        <v>955.73235836486003</v>
      </c>
      <c r="E7" s="543">
        <v>0.52152015798525231</v>
      </c>
      <c r="F7" s="544">
        <v>1832.5894861994702</v>
      </c>
    </row>
    <row r="8" spans="1:6" ht="14.4" customHeight="1" thickBot="1" x14ac:dyDescent="0.35">
      <c r="A8" s="545" t="s">
        <v>6</v>
      </c>
      <c r="B8" s="546">
        <v>10912.953089859649</v>
      </c>
      <c r="C8" s="547">
        <v>4.9358837051674924E-2</v>
      </c>
      <c r="D8" s="546">
        <v>210181.25701956052</v>
      </c>
      <c r="E8" s="547">
        <v>0.95064116294832501</v>
      </c>
      <c r="F8" s="548">
        <v>221094.21010942018</v>
      </c>
    </row>
    <row r="9" spans="1:6" ht="14.4" customHeight="1" thickBot="1" x14ac:dyDescent="0.35"/>
    <row r="10" spans="1:6" ht="14.4" customHeight="1" x14ac:dyDescent="0.3">
      <c r="A10" s="549" t="s">
        <v>1191</v>
      </c>
      <c r="B10" s="521">
        <v>3977.9670443842178</v>
      </c>
      <c r="C10" s="539">
        <v>0.22120463449552943</v>
      </c>
      <c r="D10" s="521">
        <v>14005.232328704022</v>
      </c>
      <c r="E10" s="539">
        <v>0.77879536550447059</v>
      </c>
      <c r="F10" s="522">
        <v>17983.199373088239</v>
      </c>
    </row>
    <row r="11" spans="1:6" ht="14.4" customHeight="1" x14ac:dyDescent="0.3">
      <c r="A11" s="550" t="s">
        <v>1192</v>
      </c>
      <c r="B11" s="527">
        <v>2350.6599984279242</v>
      </c>
      <c r="C11" s="540">
        <v>0.4281163064045827</v>
      </c>
      <c r="D11" s="527">
        <v>3140.044194012904</v>
      </c>
      <c r="E11" s="540">
        <v>0.57188369359541735</v>
      </c>
      <c r="F11" s="528">
        <v>5490.7041924408277</v>
      </c>
    </row>
    <row r="12" spans="1:6" ht="14.4" customHeight="1" x14ac:dyDescent="0.3">
      <c r="A12" s="550" t="s">
        <v>1193</v>
      </c>
      <c r="B12" s="527">
        <v>1375.08</v>
      </c>
      <c r="C12" s="540">
        <v>1</v>
      </c>
      <c r="D12" s="527"/>
      <c r="E12" s="540">
        <v>0</v>
      </c>
      <c r="F12" s="528">
        <v>1375.08</v>
      </c>
    </row>
    <row r="13" spans="1:6" ht="14.4" customHeight="1" x14ac:dyDescent="0.3">
      <c r="A13" s="550" t="s">
        <v>1194</v>
      </c>
      <c r="B13" s="527">
        <v>1372.0661124026039</v>
      </c>
      <c r="C13" s="540">
        <v>0.36337297363656346</v>
      </c>
      <c r="D13" s="527">
        <v>2403.8506781920378</v>
      </c>
      <c r="E13" s="540">
        <v>0.6366270263634366</v>
      </c>
      <c r="F13" s="528">
        <v>3775.9167905946415</v>
      </c>
    </row>
    <row r="14" spans="1:6" ht="14.4" customHeight="1" x14ac:dyDescent="0.3">
      <c r="A14" s="550" t="s">
        <v>1195</v>
      </c>
      <c r="B14" s="527">
        <v>972.90000000000009</v>
      </c>
      <c r="C14" s="540">
        <v>1</v>
      </c>
      <c r="D14" s="527"/>
      <c r="E14" s="540">
        <v>0</v>
      </c>
      <c r="F14" s="528">
        <v>972.90000000000009</v>
      </c>
    </row>
    <row r="15" spans="1:6" ht="14.4" customHeight="1" x14ac:dyDescent="0.3">
      <c r="A15" s="550" t="s">
        <v>1196</v>
      </c>
      <c r="B15" s="527">
        <v>864.27993464490203</v>
      </c>
      <c r="C15" s="540">
        <v>6.1661614050798043E-2</v>
      </c>
      <c r="D15" s="527">
        <v>13152.218789064978</v>
      </c>
      <c r="E15" s="540">
        <v>0.93833838594920194</v>
      </c>
      <c r="F15" s="528">
        <v>14016.498723709881</v>
      </c>
    </row>
    <row r="16" spans="1:6" ht="14.4" customHeight="1" x14ac:dyDescent="0.3">
      <c r="A16" s="550" t="s">
        <v>1197</v>
      </c>
      <c r="B16" s="527"/>
      <c r="C16" s="540">
        <v>0</v>
      </c>
      <c r="D16" s="527">
        <v>90.890224389052904</v>
      </c>
      <c r="E16" s="540">
        <v>1</v>
      </c>
      <c r="F16" s="528">
        <v>90.890224389052904</v>
      </c>
    </row>
    <row r="17" spans="1:6" ht="14.4" customHeight="1" x14ac:dyDescent="0.3">
      <c r="A17" s="550" t="s">
        <v>1198</v>
      </c>
      <c r="B17" s="527"/>
      <c r="C17" s="540">
        <v>0</v>
      </c>
      <c r="D17" s="527">
        <v>2552.62</v>
      </c>
      <c r="E17" s="540">
        <v>1</v>
      </c>
      <c r="F17" s="528">
        <v>2552.62</v>
      </c>
    </row>
    <row r="18" spans="1:6" ht="14.4" customHeight="1" x14ac:dyDescent="0.3">
      <c r="A18" s="550" t="s">
        <v>1199</v>
      </c>
      <c r="B18" s="527"/>
      <c r="C18" s="540">
        <v>0</v>
      </c>
      <c r="D18" s="527">
        <v>52427.145089971076</v>
      </c>
      <c r="E18" s="540">
        <v>1</v>
      </c>
      <c r="F18" s="528">
        <v>52427.145089971076</v>
      </c>
    </row>
    <row r="19" spans="1:6" ht="14.4" customHeight="1" x14ac:dyDescent="0.3">
      <c r="A19" s="550" t="s">
        <v>1200</v>
      </c>
      <c r="B19" s="527"/>
      <c r="C19" s="540">
        <v>0</v>
      </c>
      <c r="D19" s="527">
        <v>414</v>
      </c>
      <c r="E19" s="540">
        <v>1</v>
      </c>
      <c r="F19" s="528">
        <v>414</v>
      </c>
    </row>
    <row r="20" spans="1:6" ht="14.4" customHeight="1" x14ac:dyDescent="0.3">
      <c r="A20" s="550" t="s">
        <v>1201</v>
      </c>
      <c r="B20" s="527"/>
      <c r="C20" s="540">
        <v>0</v>
      </c>
      <c r="D20" s="527">
        <v>889.68278997312245</v>
      </c>
      <c r="E20" s="540">
        <v>1</v>
      </c>
      <c r="F20" s="528">
        <v>889.68278997312245</v>
      </c>
    </row>
    <row r="21" spans="1:6" ht="14.4" customHeight="1" x14ac:dyDescent="0.3">
      <c r="A21" s="550" t="s">
        <v>1202</v>
      </c>
      <c r="B21" s="527"/>
      <c r="C21" s="540">
        <v>0</v>
      </c>
      <c r="D21" s="527">
        <v>1813.8673024861264</v>
      </c>
      <c r="E21" s="540">
        <v>1</v>
      </c>
      <c r="F21" s="528">
        <v>1813.8673024861264</v>
      </c>
    </row>
    <row r="22" spans="1:6" ht="14.4" customHeight="1" x14ac:dyDescent="0.3">
      <c r="A22" s="550" t="s">
        <v>1203</v>
      </c>
      <c r="B22" s="527"/>
      <c r="C22" s="540">
        <v>0</v>
      </c>
      <c r="D22" s="527">
        <v>4843.5</v>
      </c>
      <c r="E22" s="540">
        <v>1</v>
      </c>
      <c r="F22" s="528">
        <v>4843.5</v>
      </c>
    </row>
    <row r="23" spans="1:6" ht="14.4" customHeight="1" x14ac:dyDescent="0.3">
      <c r="A23" s="550" t="s">
        <v>1204</v>
      </c>
      <c r="B23" s="527"/>
      <c r="C23" s="540">
        <v>0</v>
      </c>
      <c r="D23" s="527">
        <v>117.76</v>
      </c>
      <c r="E23" s="540">
        <v>1</v>
      </c>
      <c r="F23" s="528">
        <v>117.76</v>
      </c>
    </row>
    <row r="24" spans="1:6" ht="14.4" customHeight="1" x14ac:dyDescent="0.3">
      <c r="A24" s="550" t="s">
        <v>1205</v>
      </c>
      <c r="B24" s="527"/>
      <c r="C24" s="540">
        <v>0</v>
      </c>
      <c r="D24" s="527">
        <v>9721.2593373058717</v>
      </c>
      <c r="E24" s="540">
        <v>1</v>
      </c>
      <c r="F24" s="528">
        <v>9721.2593373058717</v>
      </c>
    </row>
    <row r="25" spans="1:6" ht="14.4" customHeight="1" x14ac:dyDescent="0.3">
      <c r="A25" s="550" t="s">
        <v>1206</v>
      </c>
      <c r="B25" s="527"/>
      <c r="C25" s="540">
        <v>0</v>
      </c>
      <c r="D25" s="527">
        <v>438.96952748265642</v>
      </c>
      <c r="E25" s="540">
        <v>1</v>
      </c>
      <c r="F25" s="528">
        <v>438.96952748265642</v>
      </c>
    </row>
    <row r="26" spans="1:6" ht="14.4" customHeight="1" x14ac:dyDescent="0.3">
      <c r="A26" s="550" t="s">
        <v>1207</v>
      </c>
      <c r="B26" s="527"/>
      <c r="C26" s="540">
        <v>0</v>
      </c>
      <c r="D26" s="527">
        <v>30169.386150518971</v>
      </c>
      <c r="E26" s="540">
        <v>1</v>
      </c>
      <c r="F26" s="528">
        <v>30169.386150518971</v>
      </c>
    </row>
    <row r="27" spans="1:6" ht="14.4" customHeight="1" x14ac:dyDescent="0.3">
      <c r="A27" s="550" t="s">
        <v>1208</v>
      </c>
      <c r="B27" s="527"/>
      <c r="C27" s="540">
        <v>0</v>
      </c>
      <c r="D27" s="527">
        <v>18455.023226073641</v>
      </c>
      <c r="E27" s="540">
        <v>1</v>
      </c>
      <c r="F27" s="528">
        <v>18455.023226073641</v>
      </c>
    </row>
    <row r="28" spans="1:6" ht="14.4" customHeight="1" x14ac:dyDescent="0.3">
      <c r="A28" s="550" t="s">
        <v>1209</v>
      </c>
      <c r="B28" s="527"/>
      <c r="C28" s="540">
        <v>0</v>
      </c>
      <c r="D28" s="527">
        <v>16132.8</v>
      </c>
      <c r="E28" s="540">
        <v>1</v>
      </c>
      <c r="F28" s="528">
        <v>16132.8</v>
      </c>
    </row>
    <row r="29" spans="1:6" ht="14.4" customHeight="1" x14ac:dyDescent="0.3">
      <c r="A29" s="550" t="s">
        <v>1210</v>
      </c>
      <c r="B29" s="527"/>
      <c r="C29" s="540">
        <v>0</v>
      </c>
      <c r="D29" s="527">
        <v>1984.8996740546281</v>
      </c>
      <c r="E29" s="540">
        <v>1</v>
      </c>
      <c r="F29" s="528">
        <v>1984.8996740546281</v>
      </c>
    </row>
    <row r="30" spans="1:6" ht="14.4" customHeight="1" x14ac:dyDescent="0.3">
      <c r="A30" s="550" t="s">
        <v>1211</v>
      </c>
      <c r="B30" s="527"/>
      <c r="C30" s="540">
        <v>0</v>
      </c>
      <c r="D30" s="527">
        <v>1930.8114298201908</v>
      </c>
      <c r="E30" s="540">
        <v>1</v>
      </c>
      <c r="F30" s="528">
        <v>1930.8114298201908</v>
      </c>
    </row>
    <row r="31" spans="1:6" ht="14.4" customHeight="1" x14ac:dyDescent="0.3">
      <c r="A31" s="550" t="s">
        <v>1212</v>
      </c>
      <c r="B31" s="527"/>
      <c r="C31" s="540">
        <v>0</v>
      </c>
      <c r="D31" s="527">
        <v>2738.74</v>
      </c>
      <c r="E31" s="540">
        <v>1</v>
      </c>
      <c r="F31" s="528">
        <v>2738.74</v>
      </c>
    </row>
    <row r="32" spans="1:6" ht="14.4" customHeight="1" x14ac:dyDescent="0.3">
      <c r="A32" s="550" t="s">
        <v>1213</v>
      </c>
      <c r="B32" s="527"/>
      <c r="C32" s="540">
        <v>0</v>
      </c>
      <c r="D32" s="527">
        <v>417.64356052506082</v>
      </c>
      <c r="E32" s="540">
        <v>1</v>
      </c>
      <c r="F32" s="528">
        <v>417.64356052506082</v>
      </c>
    </row>
    <row r="33" spans="1:6" ht="14.4" customHeight="1" thickBot="1" x14ac:dyDescent="0.35">
      <c r="A33" s="551" t="s">
        <v>1214</v>
      </c>
      <c r="B33" s="542"/>
      <c r="C33" s="543">
        <v>0</v>
      </c>
      <c r="D33" s="542">
        <v>32340.912716986197</v>
      </c>
      <c r="E33" s="543">
        <v>1</v>
      </c>
      <c r="F33" s="544">
        <v>32340.912716986197</v>
      </c>
    </row>
    <row r="34" spans="1:6" ht="14.4" customHeight="1" thickBot="1" x14ac:dyDescent="0.35">
      <c r="A34" s="545" t="s">
        <v>6</v>
      </c>
      <c r="B34" s="546">
        <v>10912.953089859648</v>
      </c>
      <c r="C34" s="547">
        <v>4.9358837051674903E-2</v>
      </c>
      <c r="D34" s="546">
        <v>210181.25701956058</v>
      </c>
      <c r="E34" s="547">
        <v>0.95064116294832501</v>
      </c>
      <c r="F34" s="548">
        <v>221094.21010942024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3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2013-10-23T07:49:44Z</dcterms:modified>
</cp:coreProperties>
</file>