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T46" i="371" l="1"/>
  <c r="V46" i="371" s="1"/>
  <c r="S46" i="371"/>
  <c r="R46" i="371"/>
  <c r="Q46" i="371"/>
  <c r="T45" i="371"/>
  <c r="U45" i="371" s="1"/>
  <c r="S45" i="371"/>
  <c r="V45" i="371" s="1"/>
  <c r="R45" i="371"/>
  <c r="Q45" i="371"/>
  <c r="T44" i="371"/>
  <c r="V44" i="371" s="1"/>
  <c r="S44" i="371"/>
  <c r="R44" i="371"/>
  <c r="Q44" i="371"/>
  <c r="V43" i="371"/>
  <c r="T43" i="371"/>
  <c r="U43" i="371" s="1"/>
  <c r="S43" i="371"/>
  <c r="R43" i="371"/>
  <c r="Q43" i="371"/>
  <c r="T42" i="371"/>
  <c r="V42" i="371" s="1"/>
  <c r="S42" i="371"/>
  <c r="R42" i="371"/>
  <c r="Q42" i="371"/>
  <c r="V41" i="371"/>
  <c r="T41" i="371"/>
  <c r="U41" i="371" s="1"/>
  <c r="S41" i="371"/>
  <c r="R41" i="371"/>
  <c r="Q41" i="371"/>
  <c r="T40" i="371"/>
  <c r="V40" i="371" s="1"/>
  <c r="S40" i="371"/>
  <c r="R40" i="371"/>
  <c r="Q40" i="371"/>
  <c r="V39" i="371"/>
  <c r="T39" i="371"/>
  <c r="U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T36" i="371"/>
  <c r="V36" i="371" s="1"/>
  <c r="S36" i="371"/>
  <c r="R36" i="371"/>
  <c r="Q36" i="371"/>
  <c r="V35" i="371"/>
  <c r="T35" i="371"/>
  <c r="U35" i="371" s="1"/>
  <c r="S35" i="371"/>
  <c r="R35" i="371"/>
  <c r="Q35" i="371"/>
  <c r="T34" i="371"/>
  <c r="V34" i="371" s="1"/>
  <c r="S34" i="371"/>
  <c r="R34" i="371"/>
  <c r="Q34" i="371"/>
  <c r="V33" i="371"/>
  <c r="T33" i="371"/>
  <c r="U33" i="371" s="1"/>
  <c r="S33" i="371"/>
  <c r="R33" i="371"/>
  <c r="Q33" i="371"/>
  <c r="V32" i="371"/>
  <c r="U32" i="371"/>
  <c r="T32" i="371"/>
  <c r="S32" i="371"/>
  <c r="R32" i="371"/>
  <c r="Q32" i="371"/>
  <c r="V31" i="371"/>
  <c r="T31" i="371"/>
  <c r="U31" i="371" s="1"/>
  <c r="S31" i="371"/>
  <c r="R31" i="371"/>
  <c r="Q31" i="371"/>
  <c r="T30" i="371"/>
  <c r="V30" i="371" s="1"/>
  <c r="S30" i="371"/>
  <c r="R30" i="371"/>
  <c r="Q30" i="371"/>
  <c r="V29" i="371"/>
  <c r="T29" i="371"/>
  <c r="U29" i="371" s="1"/>
  <c r="S29" i="371"/>
  <c r="R29" i="371"/>
  <c r="Q29" i="371"/>
  <c r="T28" i="371"/>
  <c r="V28" i="371" s="1"/>
  <c r="S28" i="371"/>
  <c r="R28" i="371"/>
  <c r="Q28" i="371"/>
  <c r="V27" i="371"/>
  <c r="T27" i="371"/>
  <c r="U27" i="371" s="1"/>
  <c r="S27" i="371"/>
  <c r="R27" i="371"/>
  <c r="Q27" i="371"/>
  <c r="T26" i="371"/>
  <c r="V26" i="371" s="1"/>
  <c r="S26" i="371"/>
  <c r="R26" i="371"/>
  <c r="Q26" i="371"/>
  <c r="V25" i="371"/>
  <c r="T25" i="371"/>
  <c r="U25" i="371" s="1"/>
  <c r="S25" i="371"/>
  <c r="R25" i="371"/>
  <c r="Q25" i="371"/>
  <c r="T24" i="371"/>
  <c r="V24" i="371" s="1"/>
  <c r="S24" i="371"/>
  <c r="R24" i="371"/>
  <c r="Q24" i="371"/>
  <c r="V23" i="371"/>
  <c r="T23" i="371"/>
  <c r="U23" i="371" s="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T19" i="371"/>
  <c r="U19" i="371" s="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T15" i="371"/>
  <c r="U15" i="371" s="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T11" i="371"/>
  <c r="U11" i="371" s="1"/>
  <c r="S11" i="371"/>
  <c r="R11" i="371"/>
  <c r="Q11" i="371"/>
  <c r="T10" i="371"/>
  <c r="V10" i="371" s="1"/>
  <c r="S10" i="371"/>
  <c r="R10" i="371"/>
  <c r="Q10" i="371"/>
  <c r="V9" i="371"/>
  <c r="T9" i="371"/>
  <c r="U9" i="371" s="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T6" i="371"/>
  <c r="U6" i="371" s="1"/>
  <c r="S6" i="371"/>
  <c r="R6" i="371"/>
  <c r="Q6" i="371"/>
  <c r="V5" i="371"/>
  <c r="T5" i="371"/>
  <c r="U5" i="371" s="1"/>
  <c r="S5" i="371"/>
  <c r="R5" i="371"/>
  <c r="Q5" i="371"/>
  <c r="U10" i="371" l="1"/>
  <c r="U12" i="371"/>
  <c r="U16" i="371"/>
  <c r="U18" i="371"/>
  <c r="U26" i="371"/>
  <c r="V6" i="371"/>
  <c r="U34" i="371"/>
  <c r="U36" i="371"/>
  <c r="U40" i="371"/>
  <c r="U42" i="371"/>
  <c r="U44" i="371"/>
  <c r="U46" i="371"/>
  <c r="U8" i="371"/>
  <c r="U14" i="371"/>
  <c r="U22" i="371"/>
  <c r="U24" i="371"/>
  <c r="U28" i="371"/>
  <c r="U30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D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G22" i="419"/>
  <c r="K22" i="419"/>
  <c r="O22" i="419"/>
  <c r="S22" i="419"/>
  <c r="W22" i="419"/>
  <c r="AA22" i="419"/>
  <c r="AE22" i="419"/>
  <c r="A28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J24" i="370" l="1"/>
  <c r="J23" i="370"/>
  <c r="J22" i="370"/>
  <c r="J21" i="370"/>
  <c r="J20" i="370"/>
  <c r="J19" i="370"/>
  <c r="J18" i="370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8" i="414"/>
  <c r="A7" i="414"/>
  <c r="A14" i="414"/>
  <c r="A4" i="414"/>
  <c r="A6" i="339" l="1"/>
  <c r="A5" i="339"/>
  <c r="D4" i="414"/>
  <c r="D17" i="414"/>
  <c r="D14" i="414"/>
  <c r="C1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F3" i="387"/>
  <c r="N3" i="220"/>
  <c r="L3" i="220" s="1"/>
  <c r="C19" i="414"/>
  <c r="D19" i="414"/>
  <c r="H3" i="387" l="1"/>
  <c r="N3" i="372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<sst xmlns="http://schemas.openxmlformats.org/spreadsheetml/2006/main" count="9655" uniqueCount="2586">
  <si>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</si>
  <si>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</si>
  <si>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</si>
  <si>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</si>
  <si>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</si>
  <si>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</si>
  <si>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</si>
  <si>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</si>
  <si>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</si>
  <si>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</si>
  <si>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</si>
  <si>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</si>
  <si>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</si>
  <si>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</si>
  <si>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</si>
  <si>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</si>
  <si>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</si>
  <si>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</si>
  <si>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</si>
  <si>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</si>
  <si>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</si>
  <si>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</si>
  <si>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</si>
  <si>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</si>
  <si>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</si>
  <si>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</si>
  <si>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</si>
  <si>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</si>
  <si>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</si>
  <si>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</si>
  <si>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</si>
  <si>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</si>
  <si>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</si>
  <si>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</si>
  <si>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</si>
  <si>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</si>
  <si>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</si>
  <si>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</si>
  <si>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</si>
  <si>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</si>
  <si>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</si>
  <si>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</si>
  <si>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</si>
  <si>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</si>
  <si>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</si>
  <si>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</si>
  <si>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</si>
  <si>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</si>
  <si>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</si>
  <si>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</si>
  <si>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</si>
  <si>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</si>
  <si>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</si>
  <si>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</si>
  <si>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</si>
  <si>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</si>
  <si>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</si>
  <si>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</si>
  <si>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</si>
  <si>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</si>
  <si>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</si>
  <si>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</si>
  <si>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</si>
  <si>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</si>
  <si>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</si>
  <si>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</si>
  <si>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</si>
  <si>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</si>
  <si>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</si>
  <si>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</si>
  <si>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</si>
  <si>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</si>
  <si>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</si>
  <si>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</si>
  <si>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</si>
  <si>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</si>
  <si>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</si>
  <si>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</si>
  <si>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</si>
  <si>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</si>
  <si>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</si>
  <si>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</si>
  <si>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</si>
  <si>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</si>
  <si>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</si>
  <si>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</si>
  <si>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</si>
  <si>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</si>
  <si>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</si>
  <si>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</si>
  <si>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</si>
  <si>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</si>
  <si>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</si>
  <si>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</si>
  <si>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</si>
  <si>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</si>
  <si>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</si>
  <si>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</si>
  <si>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</si>
  <si>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</si>
  <si>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</si>
  <si>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</si>
  <si>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</si>
  <si>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</si>
  <si>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</si>
  <si>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</si>
  <si>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</si>
  <si>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</si>
  <si>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</si>
  <si>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</si>
  <si>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</si>
  <si>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</si>
  <si>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</si>
  <si>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</si>
  <si>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</si>
  <si>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</si>
  <si>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</si>
  <si>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</si>
  <si>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</si>
  <si>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</si>
  <si>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</si>
  <si>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</si>
  <si>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</si>
  <si>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</si>
  <si>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</si>
  <si>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</si>
  <si>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</si>
  <si>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</si>
  <si>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</si>
  <si>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</si>
  <si>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</si>
  <si>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</si>
  <si>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</si>
  <si>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</si>
  <si>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</si>
  <si>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</si>
  <si>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</si>
  <si>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</si>
  <si>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</si>
  <si>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</si>
  <si>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</si>
  <si>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</si>
  <si>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</si>
  <si>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</si>
  <si>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</si>
  <si>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</si>
  <si>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</si>
  <si>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</si>
  <si>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</si>
  <si>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</si>
  <si>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</si>
  <si>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</si>
  <si>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</si>
  <si>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</si>
  <si>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</si>
  <si>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</si>
  <si>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</si>
  <si>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</si>
  <si>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</si>
  <si>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</si>
  <si>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</si>
  <si>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</si>
  <si>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</si>
  <si>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</si>
  <si>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</si>
  <si>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</si>
  <si>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</si>
  <si>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</si>
  <si>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</si>
  <si>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</si>
  <si>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</si>
  <si>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</si>
  <si>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</si>
  <si>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</si>
  <si>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</si>
  <si>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</si>
  <si>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</si>
  <si>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</si>
  <si>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</si>
  <si>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</si>
  <si>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</si>
  <si>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</si>
  <si>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</si>
  <si>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</si>
  <si>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</si>
  <si>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</si>
  <si>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</si>
  <si>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</si>
  <si>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</si>
  <si>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</si>
  <si>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</si>
  <si>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</si>
  <si>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</si>
  <si>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</si>
  <si>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</si>
  <si>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</si>
  <si>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</si>
  <si>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</si>
  <si>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</si>
  <si>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</si>
  <si>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</si>
  <si>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</si>
  <si>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</si>
  <si>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</si>
  <si>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</si>
  <si>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</si>
  <si>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</si>
  <si>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</si>
  <si>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</si>
  <si>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</si>
  <si>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</si>
  <si>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</si>
  <si>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</si>
  <si>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</si>
  <si>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</si>
  <si>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</si>
  <si>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</si>
  <si>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</si>
  <si>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</si>
  <si>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</si>
  <si>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</si>
  <si>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</si>
  <si>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</si>
  <si>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</si>
  <si>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</si>
  <si>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</si>
  <si>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</si>
  <si>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</si>
  <si>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</si>
  <si>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</si>
  <si>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</si>
  <si>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</si>
  <si>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</si>
  <si>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</si>
  <si>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</si>
  <si>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</si>
  <si>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</si>
  <si>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</si>
  <si>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</si>
  <si>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</si>
  <si>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</si>
  <si>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</si>
  <si>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</si>
  <si>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</si>
  <si>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</si>
  <si>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</si>
  <si>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</si>
  <si>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</si>
  <si>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</si>
  <si>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</si>
  <si>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</si>
  <si>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</si>
  <si>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</si>
  <si>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</si>
  <si>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</si>
  <si>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</si>
  <si>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</si>
  <si>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</si>
  <si>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</si>
  <si>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</si>
  <si>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</si>
  <si>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</si>
  <si>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</si>
  <si>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</si>
  <si>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</si>
  <si>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</si>
  <si>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</si>
  <si>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</si>
  <si>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</si>
  <si>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</si>
  <si>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</si>
  <si>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</si>
  <si>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</si>
  <si>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</si>
  <si>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</si>
  <si>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</si>
  <si>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</si>
  <si>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</si>
  <si>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</si>
  <si>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</si>
  <si>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</si>
  <si>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</si>
  <si>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</si>
  <si>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</si>
  <si>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</si>
  <si>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</si>
  <si>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</si>
  <si>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</si>
  <si>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</si>
  <si>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</si>
  <si>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</si>
  <si>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</si>
  <si>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</si>
  <si>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</si>
  <si>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</si>
  <si>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</si>
  <si>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</si>
  <si>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</si>
  <si>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</si>
  <si>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</si>
  <si>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</si>
  <si>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</si>
  <si>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</si>
  <si>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</si>
  <si>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</si>
  <si>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</si>
  <si>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</si>
  <si>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</si>
  <si>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</si>
  <si>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</si>
  <si>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</si>
  <si>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</si>
  <si>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</si>
  <si>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</si>
  <si>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</si>
  <si>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</si>
  <si>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</si>
  <si>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</si>
  <si>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</si>
  <si>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</si>
  <si>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50113016     léky - spotřeba v centrech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</si>
  <si>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</si>
  <si>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</si>
  <si>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</si>
  <si>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</si>
  <si>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</si>
  <si>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</si>
  <si>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</si>
  <si>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</si>
  <si>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</si>
  <si>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</si>
  <si>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</si>
  <si>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</si>
  <si>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</si>
  <si>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</si>
  <si>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</si>
  <si>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</si>
  <si>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</si>
  <si>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</si>
  <si>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</si>
  <si>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50116004     výživa kojenců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</si>
  <si>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</si>
  <si>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</si>
  <si>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</si>
  <si>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</si>
  <si>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</si>
  <si>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</si>
  <si>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</si>
  <si>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</si>
  <si>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</si>
  <si>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</si>
  <si>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</si>
  <si>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</si>
  <si>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</si>
  <si>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</si>
  <si>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</si>
  <si>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</si>
  <si>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</si>
  <si>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</si>
  <si>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</si>
  <si>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</si>
  <si>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</si>
  <si>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</si>
  <si>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</si>
  <si>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</si>
  <si>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</si>
  <si>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</si>
  <si>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</si>
  <si>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</si>
  <si>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</si>
  <si>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</si>
  <si>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</si>
  <si>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</si>
  <si>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</si>
  <si>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</si>
  <si>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</si>
  <si>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</si>
  <si>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</si>
  <si>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</si>
  <si>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</si>
  <si>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</si>
  <si>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</si>
  <si>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</si>
  <si>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</si>
  <si>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</si>
  <si>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</si>
  <si>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</si>
  <si>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</si>
  <si>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</si>
  <si>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</si>
  <si>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</si>
  <si>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</si>
  <si>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</si>
  <si>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</si>
  <si>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</si>
  <si>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</si>
  <si>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</si>
  <si>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</si>
  <si>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</si>
  <si>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</si>
  <si>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</si>
  <si>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</si>
  <si>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</si>
  <si>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</si>
  <si>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</si>
  <si>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</si>
  <si>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</si>
  <si>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</si>
  <si>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</si>
  <si>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</si>
  <si>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</si>
  <si>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</si>
  <si>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</si>
  <si>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</si>
  <si>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</si>
  <si>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</si>
  <si>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</si>
  <si>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</si>
  <si>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</si>
  <si>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</si>
  <si>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</si>
  <si>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</si>
  <si>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</si>
  <si>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</si>
  <si>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</si>
  <si>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</si>
  <si>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</si>
  <si>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</si>
  <si>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</si>
  <si>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</si>
  <si>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</si>
  <si>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</si>
  <si>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</si>
  <si>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</si>
  <si>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</si>
  <si>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</si>
  <si>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</si>
  <si>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</si>
  <si>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</si>
  <si>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</si>
  <si>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</si>
  <si>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</si>
  <si>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</si>
  <si>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</si>
  <si>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</si>
  <si>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</si>
  <si>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</si>
  <si>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</si>
  <si>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</si>
  <si>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</si>
  <si>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</si>
  <si>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</si>
  <si>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</si>
  <si>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</si>
  <si>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</si>
  <si>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</si>
  <si>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</si>
  <si>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</si>
  <si>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</si>
  <si>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55801081     DDHM - zdravotnický a laboratorní (finanční dary)</t>
  </si>
  <si>
    <t>55802     DDHM - provozní</t>
  </si>
  <si>
    <t>55802002     DDHM - ostatní provozní technika (sk.V_35)</t>
  </si>
  <si>
    <t>55802003     DDHM - kacelářská technika (sk.V_37)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</si>
  <si>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</si>
  <si>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</si>
  <si>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</si>
  <si>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</si>
  <si>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</si>
  <si>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</si>
  <si>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</si>
  <si>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</si>
  <si>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</si>
  <si>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</si>
  <si>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</si>
  <si>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</si>
  <si>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</si>
  <si>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</si>
  <si>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</si>
  <si>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</si>
  <si>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</si>
  <si>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</si>
  <si>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</si>
  <si>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</si>
  <si>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</si>
  <si>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</si>
  <si>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</si>
  <si>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</si>
  <si>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</si>
  <si>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</si>
  <si>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</si>
  <si>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</si>
  <si>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</si>
  <si>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</si>
  <si>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</si>
  <si>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</si>
  <si>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</si>
  <si>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</si>
  <si>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</si>
  <si>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</si>
  <si>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</si>
  <si>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</si>
  <si>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</si>
  <si>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</si>
  <si>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</si>
  <si>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</si>
  <si>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</si>
  <si>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</si>
  <si>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</si>
  <si>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</si>
  <si>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</si>
  <si>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</si>
  <si>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</si>
  <si>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</si>
  <si>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</si>
  <si>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</si>
  <si>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</si>
  <si>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</si>
  <si>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</si>
  <si>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</si>
  <si>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</si>
  <si>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</si>
  <si>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</si>
  <si>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</si>
  <si>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</si>
  <si>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</si>
  <si>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</si>
  <si>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</si>
  <si>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</si>
  <si>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</si>
  <si>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</si>
  <si>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</si>
  <si>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</si>
  <si>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</si>
  <si>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</si>
  <si>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</si>
  <si>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</si>
  <si>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</si>
  <si>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</si>
  <si>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</si>
  <si>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</si>
  <si>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</si>
  <si>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</si>
  <si>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</si>
  <si>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</si>
  <si>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</si>
  <si>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</si>
  <si>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</si>
  <si>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</si>
  <si>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</si>
  <si>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</si>
  <si>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09</t>
  </si>
  <si>
    <t>Novorozenecké oddělení</t>
  </si>
  <si>
    <t/>
  </si>
  <si>
    <t>Novorozenecké oddělení Celkem</t>
  </si>
  <si>
    <t>SumaKL</t>
  </si>
  <si>
    <t>0911</t>
  </si>
  <si>
    <t xml:space="preserve">lůžkové oddělení 16C </t>
  </si>
  <si>
    <t>lůžkové oddělení 16C  Celkem</t>
  </si>
  <si>
    <t>SumaNS</t>
  </si>
  <si>
    <t>mezeraNS</t>
  </si>
  <si>
    <t>0912</t>
  </si>
  <si>
    <t>lůžkové oddělení 16B + 16D</t>
  </si>
  <si>
    <t>lůžkové oddělení 16B + 16D Celkem</t>
  </si>
  <si>
    <t>0931</t>
  </si>
  <si>
    <t>JIP 16A</t>
  </si>
  <si>
    <t>JIP 16A Celkem</t>
  </si>
  <si>
    <t>0994</t>
  </si>
  <si>
    <t>centrum - novorozenecké</t>
  </si>
  <si>
    <t>centrum - novorozenecké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</si>
  <si>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</si>
  <si>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</si>
  <si>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</si>
  <si>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</si>
  <si>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</si>
  <si>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</si>
  <si>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</si>
  <si>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</si>
  <si>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</si>
  <si>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</si>
  <si>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</si>
  <si>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</si>
  <si>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</si>
  <si>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</si>
  <si>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</si>
  <si>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</si>
  <si>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</si>
  <si>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</si>
  <si>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</si>
  <si>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</si>
  <si>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</si>
  <si>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103575</t>
  </si>
  <si>
    <t>3575</t>
  </si>
  <si>
    <t>HEPAROID LECIVA</t>
  </si>
  <si>
    <t>149317</t>
  </si>
  <si>
    <t>49317</t>
  </si>
  <si>
    <t>CALCIUM GLUCONICUM 10% B.BRAUN</t>
  </si>
  <si>
    <t>INJ SOL 20X10ML</t>
  </si>
  <si>
    <t>152266</t>
  </si>
  <si>
    <t>52266</t>
  </si>
  <si>
    <t>INFADOLAN</t>
  </si>
  <si>
    <t>DRM UNG 1X30GM</t>
  </si>
  <si>
    <t>395997</t>
  </si>
  <si>
    <t>DZ SOFTASEPT N BEZBARVÝ 250 ml</t>
  </si>
  <si>
    <t>840220</t>
  </si>
  <si>
    <t>Lactobacillus acidophil.cps.75 bez laktózy</t>
  </si>
  <si>
    <t>847974</t>
  </si>
  <si>
    <t>125525</t>
  </si>
  <si>
    <t>APO-IBUPROFEN 400 MG</t>
  </si>
  <si>
    <t>POR TBL FLM 30X400MG</t>
  </si>
  <si>
    <t>930444</t>
  </si>
  <si>
    <t>KL AQUA PURIF. KULICH 1 kg</t>
  </si>
  <si>
    <t>100489</t>
  </si>
  <si>
    <t>489</t>
  </si>
  <si>
    <t>INJ 5X1ML/10MG</t>
  </si>
  <si>
    <t>102546</t>
  </si>
  <si>
    <t>2546</t>
  </si>
  <si>
    <t>MAXITROL</t>
  </si>
  <si>
    <t>SUS OPH 1X5ML</t>
  </si>
  <si>
    <t>162315</t>
  </si>
  <si>
    <t>62315</t>
  </si>
  <si>
    <t>BETADINE - zelená</t>
  </si>
  <si>
    <t>LIQ 1X30ML</t>
  </si>
  <si>
    <t>900321</t>
  </si>
  <si>
    <t>KL PRIPRAVEK</t>
  </si>
  <si>
    <t>122629</t>
  </si>
  <si>
    <t>SAB SIMPLEX</t>
  </si>
  <si>
    <t>POR SUS 1X30ML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</si>
  <si>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</si>
  <si>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</si>
  <si>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</si>
  <si>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</si>
  <si>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</si>
  <si>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</si>
  <si>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</si>
  <si>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500701</t>
  </si>
  <si>
    <t>IR  AQUA STERILE OPLACH 1000 ml Pour Bottle Prom.</t>
  </si>
  <si>
    <t>840987</t>
  </si>
  <si>
    <t>IR  AQUA STERILE OPLACH.6x1000 ml</t>
  </si>
  <si>
    <t>IR OPLACH-FR</t>
  </si>
  <si>
    <t>921017</t>
  </si>
  <si>
    <t>KL KAL.PERMANGANAS 2G</t>
  </si>
  <si>
    <t>921575</t>
  </si>
  <si>
    <t>KL BENZINUM 900 ml KUL.,FAG</t>
  </si>
  <si>
    <t>199579</t>
  </si>
  <si>
    <t>99579</t>
  </si>
  <si>
    <t>BRUFEN 400</t>
  </si>
  <si>
    <t>POR TBL FLM30X400MG</t>
  </si>
  <si>
    <t>162189</t>
  </si>
  <si>
    <t>62189</t>
  </si>
  <si>
    <t>NASIVIN</t>
  </si>
  <si>
    <t>GTT NAS 1X5ML 0.01%</t>
  </si>
  <si>
    <t>196886</t>
  </si>
  <si>
    <t>96886</t>
  </si>
  <si>
    <t>0.9% W/V SODIUM CHLORIDE I.V.</t>
  </si>
  <si>
    <t>INJ 20X10ML</t>
  </si>
  <si>
    <t>156171</t>
  </si>
  <si>
    <t>56171</t>
  </si>
  <si>
    <t>ENGERIX-B 20RG(VE STRIKACCE)</t>
  </si>
  <si>
    <t>INJ 1X1ML/20RG</t>
  </si>
  <si>
    <t>189996</t>
  </si>
  <si>
    <t>89996</t>
  </si>
  <si>
    <t>LINOLA-FETT OLBAD</t>
  </si>
  <si>
    <t>OLE 1X200ML</t>
  </si>
  <si>
    <t>394627</t>
  </si>
  <si>
    <t>KL BARVA NA  DETI 20 g</t>
  </si>
  <si>
    <t>844879</t>
  </si>
  <si>
    <t>KL HELIANTHI OLEUM 45g</t>
  </si>
  <si>
    <t>848241</t>
  </si>
  <si>
    <t>107854</t>
  </si>
  <si>
    <t>NEOHEPATECT</t>
  </si>
  <si>
    <t>INF SOL 1X2ML/100UT</t>
  </si>
  <si>
    <t>920352</t>
  </si>
  <si>
    <t>KL HELIANTHI OLEUM 180G</t>
  </si>
  <si>
    <t>921326</t>
  </si>
  <si>
    <t>KL SOL.NOVIKOV SINE V.N. 20G</t>
  </si>
  <si>
    <t>921412</t>
  </si>
  <si>
    <t>KL UNG.LENIENS, 30G</t>
  </si>
  <si>
    <t>930332</t>
  </si>
  <si>
    <t>KL BENZINUM 20g</t>
  </si>
  <si>
    <t>930676</t>
  </si>
  <si>
    <t>KL SACCHAROSUM  24 %  65 g</t>
  </si>
  <si>
    <t>921342</t>
  </si>
  <si>
    <t>KL SOL.COFFEINI 1% 50G</t>
  </si>
  <si>
    <t>930317</t>
  </si>
  <si>
    <t>KL ETHANOLUM 60% 802 g FAGRON, KULICH</t>
  </si>
  <si>
    <t>UN 1170</t>
  </si>
  <si>
    <t>845031</t>
  </si>
  <si>
    <t>101113</t>
  </si>
  <si>
    <t>NUROFEN PRO DĚTI JAHODA (od 3 měsíců)</t>
  </si>
  <si>
    <t>POR SUS 2000MG/100ML TRUB</t>
  </si>
  <si>
    <t>160404</t>
  </si>
  <si>
    <t>60404</t>
  </si>
  <si>
    <t>BALNEUM HERMAL</t>
  </si>
  <si>
    <t>LIQ 200ML</t>
  </si>
  <si>
    <t>988073</t>
  </si>
  <si>
    <t>NESTLÉ Beba H.A.1 800g NEW</t>
  </si>
  <si>
    <t>200863</t>
  </si>
  <si>
    <t>OPH GTT SOL 1X10ML PLAST</t>
  </si>
  <si>
    <t>394153</t>
  </si>
  <si>
    <t>Calcium Pantotenicum 30g Generica</t>
  </si>
  <si>
    <t>395712</t>
  </si>
  <si>
    <t>HBF Calcium panthotenát mast 30g</t>
  </si>
  <si>
    <t>500968</t>
  </si>
  <si>
    <t>KL SACCHAROSUM 24%  120g</t>
  </si>
  <si>
    <t>50113006</t>
  </si>
  <si>
    <t>500708</t>
  </si>
  <si>
    <t>Nutrilon 0 Nenatal 24 x 70ml</t>
  </si>
  <si>
    <t>850713</t>
  </si>
  <si>
    <t>Nutrilon 0 Nenatal (Premature) 400g</t>
  </si>
  <si>
    <t>50113013</t>
  </si>
  <si>
    <t>101066</t>
  </si>
  <si>
    <t>1066</t>
  </si>
  <si>
    <t>FRAMYKOIN</t>
  </si>
  <si>
    <t>UNG 1X10GM</t>
  </si>
  <si>
    <t>190778</t>
  </si>
  <si>
    <t>90778</t>
  </si>
  <si>
    <t>BACTROBAN</t>
  </si>
  <si>
    <t>DRM UNG 1X15GM</t>
  </si>
  <si>
    <t>72973</t>
  </si>
  <si>
    <t>AMOKSIKLAV 600 MG</t>
  </si>
  <si>
    <t>INJ PLV SOL 5X600MG</t>
  </si>
  <si>
    <t>168999</t>
  </si>
  <si>
    <t>68999</t>
  </si>
  <si>
    <t>AMPICILIN BIOTIKA</t>
  </si>
  <si>
    <t>INJ 10X500MG</t>
  </si>
  <si>
    <t>196413</t>
  </si>
  <si>
    <t>96413</t>
  </si>
  <si>
    <t>GENTAMICIN 40MG LEK</t>
  </si>
  <si>
    <t>INJ 10X2ML/40MG</t>
  </si>
  <si>
    <t>155759</t>
  </si>
  <si>
    <t>55759</t>
  </si>
  <si>
    <t>PAMYCON NA PRIPRAVU KAPEK</t>
  </si>
  <si>
    <t>PLV 1X1LAHV</t>
  </si>
  <si>
    <t>166366</t>
  </si>
  <si>
    <t>66366</t>
  </si>
  <si>
    <t>OSPAMOX 250MG/5ML</t>
  </si>
  <si>
    <t>GRA SUS 1X60ML</t>
  </si>
  <si>
    <t>186264</t>
  </si>
  <si>
    <t>86264</t>
  </si>
  <si>
    <t>TOBREX</t>
  </si>
  <si>
    <t>GTT OPH 5ML 3MG/1ML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</si>
  <si>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</si>
  <si>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</si>
  <si>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</si>
  <si>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</si>
  <si>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</si>
  <si>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</si>
  <si>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</si>
  <si>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</si>
  <si>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</si>
  <si>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187425</t>
  </si>
  <si>
    <t>LETROX 50</t>
  </si>
  <si>
    <t>POR TBL NOB 100X50RG II</t>
  </si>
  <si>
    <t>47256</t>
  </si>
  <si>
    <t>GLUKÓZA 5 BRAUN</t>
  </si>
  <si>
    <t>INF SOL 20X100ML-PE</t>
  </si>
  <si>
    <t>100876</t>
  </si>
  <si>
    <t>876</t>
  </si>
  <si>
    <t>UNG OPH 1X5GM</t>
  </si>
  <si>
    <t>162320</t>
  </si>
  <si>
    <t>62320</t>
  </si>
  <si>
    <t>BETADINE</t>
  </si>
  <si>
    <t>UNG 1X20GM</t>
  </si>
  <si>
    <t>395294</t>
  </si>
  <si>
    <t>180306</t>
  </si>
  <si>
    <t>TANTUM VERDE</t>
  </si>
  <si>
    <t>LIQ 1X240ML-PET TR</t>
  </si>
  <si>
    <t>847713</t>
  </si>
  <si>
    <t>125526</t>
  </si>
  <si>
    <t>POR TBL FLM 100X400MG</t>
  </si>
  <si>
    <t>905097</t>
  </si>
  <si>
    <t>23987</t>
  </si>
  <si>
    <t>DZ OCTENISEPT 250 ml</t>
  </si>
  <si>
    <t>sprej</t>
  </si>
  <si>
    <t>102684</t>
  </si>
  <si>
    <t>2684</t>
  </si>
  <si>
    <t>MESOCAIN</t>
  </si>
  <si>
    <t>GEL 1X20GM</t>
  </si>
  <si>
    <t>47247</t>
  </si>
  <si>
    <t>INF SOL 10X1000ML-PE</t>
  </si>
  <si>
    <t>199138</t>
  </si>
  <si>
    <t>99138</t>
  </si>
  <si>
    <t>AKTIFERRIN</t>
  </si>
  <si>
    <t>GTT 1X30ML</t>
  </si>
  <si>
    <t>112023</t>
  </si>
  <si>
    <t>12023</t>
  </si>
  <si>
    <t>VIGANTOL</t>
  </si>
  <si>
    <t>POR GTT SOL 1x10ML</t>
  </si>
  <si>
    <t>189997</t>
  </si>
  <si>
    <t>89997</t>
  </si>
  <si>
    <t>OLE 1X400ML</t>
  </si>
  <si>
    <t>394072</t>
  </si>
  <si>
    <t>1000</t>
  </si>
  <si>
    <t>KL KAPSLE</t>
  </si>
  <si>
    <t>900071</t>
  </si>
  <si>
    <t>KL TBL MAGN.LACT 0,5G+B6 0,02G, 100TBL</t>
  </si>
  <si>
    <t>193779</t>
  </si>
  <si>
    <t>93779</t>
  </si>
  <si>
    <t>FLORSALMIN</t>
  </si>
  <si>
    <t>GTT 1X50ML</t>
  </si>
  <si>
    <t>848783</t>
  </si>
  <si>
    <t>115400</t>
  </si>
  <si>
    <t>CLEXANE</t>
  </si>
  <si>
    <t>INJ SOL 10X0.2ML/2KU</t>
  </si>
  <si>
    <t>920064</t>
  </si>
  <si>
    <t>KL SOL.METHYLROS.CHL.1% 10G</t>
  </si>
  <si>
    <t>501097</t>
  </si>
  <si>
    <t>KL CR.NEOAQUASORBI, 30G</t>
  </si>
  <si>
    <t>120053</t>
  </si>
  <si>
    <t>20053</t>
  </si>
  <si>
    <t>BENOXI 0.4 % UNIMED PHARMA</t>
  </si>
  <si>
    <t>OPH GTT SOL 1X10ML</t>
  </si>
  <si>
    <t>156675</t>
  </si>
  <si>
    <t>56675</t>
  </si>
  <si>
    <t>FLOXAL</t>
  </si>
  <si>
    <t>GTT OPH 1X5ML</t>
  </si>
  <si>
    <t>845628</t>
  </si>
  <si>
    <t>KL COLL.PHENYLEPHRINI 10g</t>
  </si>
  <si>
    <t>846941</t>
  </si>
  <si>
    <t>Swiss Laktobacilky baby 30 cps</t>
  </si>
  <si>
    <t>920020</t>
  </si>
  <si>
    <t>KL COLL.HOMAT.HYDROBROM.1%10G</t>
  </si>
  <si>
    <t>920367</t>
  </si>
  <si>
    <t>KL EREVIT GTT. 18G</t>
  </si>
  <si>
    <t>930224</t>
  </si>
  <si>
    <t>KL BENZINUM 900 ml</t>
  </si>
  <si>
    <t>UN 3295</t>
  </si>
  <si>
    <t>191249</t>
  </si>
  <si>
    <t>91249</t>
  </si>
  <si>
    <t>PARALEN PRO INFANTIBUS</t>
  </si>
  <si>
    <t>SUP 5X100MG</t>
  </si>
  <si>
    <t>115520</t>
  </si>
  <si>
    <t>15520</t>
  </si>
  <si>
    <t>FENISTIL</t>
  </si>
  <si>
    <t>POR GTT SOL 1X20ML</t>
  </si>
  <si>
    <t>849449</t>
  </si>
  <si>
    <t>GASTROTUSS Baby sirup 200ml</t>
  </si>
  <si>
    <t>395421</t>
  </si>
  <si>
    <t>Maltodextrin X-70 500g</t>
  </si>
  <si>
    <t>988271</t>
  </si>
  <si>
    <t>BioLac Baby drops Generica 6 ml</t>
  </si>
  <si>
    <t>845003</t>
  </si>
  <si>
    <t>107295</t>
  </si>
  <si>
    <t>0.9% SODIUM CHLORIDE IN WATER FOR INJECTION FRESEN</t>
  </si>
  <si>
    <t>INF SOL 1X100ML-PE</t>
  </si>
  <si>
    <t>P</t>
  </si>
  <si>
    <t>195604</t>
  </si>
  <si>
    <t>95604</t>
  </si>
  <si>
    <t>FLIXOTIDE 50 INHALER N</t>
  </si>
  <si>
    <t>INH SUS PSS120X50RG</t>
  </si>
  <si>
    <t>848535</t>
  </si>
  <si>
    <t>33216</t>
  </si>
  <si>
    <t>MCT-Oil por.oil.1x500 ml</t>
  </si>
  <si>
    <t>116336</t>
  </si>
  <si>
    <t>16336</t>
  </si>
  <si>
    <t>LIPOPLUS 20%</t>
  </si>
  <si>
    <t>INFEML10X100ML-SKLO</t>
  </si>
  <si>
    <t>161451</t>
  </si>
  <si>
    <t>NUTRILON 1 800g</t>
  </si>
  <si>
    <t>987826</t>
  </si>
  <si>
    <t>NESTLÉ PreBEBA FM85 200g</t>
  </si>
  <si>
    <t>133220</t>
  </si>
  <si>
    <t>33220</t>
  </si>
  <si>
    <t>PROTIFAR</t>
  </si>
  <si>
    <t>POR PLV SOL 1X225GM</t>
  </si>
  <si>
    <t>105114</t>
  </si>
  <si>
    <t>5114</t>
  </si>
  <si>
    <t>TARGOCID 200MG</t>
  </si>
  <si>
    <t>INJ SIC 1X200MG+SOL</t>
  </si>
  <si>
    <t>142845</t>
  </si>
  <si>
    <t>42845</t>
  </si>
  <si>
    <t>ZINNAT 125 MG</t>
  </si>
  <si>
    <t>GRA SUS 1X50ML</t>
  </si>
  <si>
    <t>131739</t>
  </si>
  <si>
    <t>31739</t>
  </si>
  <si>
    <t>HELICID « 40 INF. LYOF.1X40MG</t>
  </si>
  <si>
    <t>31915</t>
  </si>
  <si>
    <t>GLUKÓZA 10 BRAUN</t>
  </si>
  <si>
    <t>INF SOL 10X500ML-PE</t>
  </si>
  <si>
    <t>47249</t>
  </si>
  <si>
    <t>INF SOL 10X250ML-PE</t>
  </si>
  <si>
    <t>51367</t>
  </si>
  <si>
    <t>INF SOL 10X250MLPELAH</t>
  </si>
  <si>
    <t>100498</t>
  </si>
  <si>
    <t>498</t>
  </si>
  <si>
    <t>MAGNESIUM SULFURICUM BIOTIKA</t>
  </si>
  <si>
    <t>INJ 5X10ML 10%</t>
  </si>
  <si>
    <t>100643</t>
  </si>
  <si>
    <t>643</t>
  </si>
  <si>
    <t>VITAMIN B12 LECIVA 1000RG</t>
  </si>
  <si>
    <t>INJ 5X1ML/1000RG</t>
  </si>
  <si>
    <t>100889</t>
  </si>
  <si>
    <t>889</t>
  </si>
  <si>
    <t>PITYOL</t>
  </si>
  <si>
    <t>102133</t>
  </si>
  <si>
    <t>2133</t>
  </si>
  <si>
    <t>FUROSEMID BIOTIKA</t>
  </si>
  <si>
    <t>INJ 5X2ML/20MG</t>
  </si>
  <si>
    <t>102486</t>
  </si>
  <si>
    <t>2486</t>
  </si>
  <si>
    <t>KALIUM CHLORATUM LECIVA 7.5%</t>
  </si>
  <si>
    <t>INJ 5X10ML 7.5%</t>
  </si>
  <si>
    <t>124067</t>
  </si>
  <si>
    <t>HYDROCORTISON VUAB 100 MG</t>
  </si>
  <si>
    <t>INJ PLV SOL 1X100MG</t>
  </si>
  <si>
    <t>147193</t>
  </si>
  <si>
    <t>47193</t>
  </si>
  <si>
    <t>HUMULIN R 100 M.J./ML</t>
  </si>
  <si>
    <t>INJ 1X10ML/1KU</t>
  </si>
  <si>
    <t>164881</t>
  </si>
  <si>
    <t>64881</t>
  </si>
  <si>
    <t>BEROTEC N 100 MCG</t>
  </si>
  <si>
    <t>INH SOL PSS200 DAV</t>
  </si>
  <si>
    <t>184090</t>
  </si>
  <si>
    <t>84090</t>
  </si>
  <si>
    <t>DEXAMED</t>
  </si>
  <si>
    <t>INJ 10X2ML/8MG</t>
  </si>
  <si>
    <t>193746</t>
  </si>
  <si>
    <t>93746</t>
  </si>
  <si>
    <t>HEPARIN LECIVA</t>
  </si>
  <si>
    <t>INJ 1X10ML/50KU</t>
  </si>
  <si>
    <t>846599</t>
  </si>
  <si>
    <t>107754</t>
  </si>
  <si>
    <t>Dobutamin Admeda 250 inf.sol50ml</t>
  </si>
  <si>
    <t>847132</t>
  </si>
  <si>
    <t>137238</t>
  </si>
  <si>
    <t>ADENOCOR</t>
  </si>
  <si>
    <t>INJ SOL 6X2ML/6MG</t>
  </si>
  <si>
    <t>100536</t>
  </si>
  <si>
    <t>536</t>
  </si>
  <si>
    <t>NORADRENALIN LECIVA</t>
  </si>
  <si>
    <t>104380</t>
  </si>
  <si>
    <t>4380</t>
  </si>
  <si>
    <t>TENSAMIN</t>
  </si>
  <si>
    <t>INJ 10X5ML</t>
  </si>
  <si>
    <t>47706</t>
  </si>
  <si>
    <t>GLUKÓZA 20 BRAUN</t>
  </si>
  <si>
    <t>100874</t>
  </si>
  <si>
    <t>874</t>
  </si>
  <si>
    <t>OPHTHALMO-AZULEN</t>
  </si>
  <si>
    <t>110555</t>
  </si>
  <si>
    <t>10555</t>
  </si>
  <si>
    <t>PAR LQF 20X100ML-PE</t>
  </si>
  <si>
    <t>159398</t>
  </si>
  <si>
    <t>59398</t>
  </si>
  <si>
    <t>TRACUTIL</t>
  </si>
  <si>
    <t>INF 5X10ML</t>
  </si>
  <si>
    <t>194852</t>
  </si>
  <si>
    <t>94852</t>
  </si>
  <si>
    <t>SOLUVIT N PRO INFUS.</t>
  </si>
  <si>
    <t>INJ SIC 10</t>
  </si>
  <si>
    <t>100392</t>
  </si>
  <si>
    <t>392</t>
  </si>
  <si>
    <t>ATROPIN BIOTIKA 0.5MG</t>
  </si>
  <si>
    <t>INJ 10X1ML/0.5MG</t>
  </si>
  <si>
    <t>100512</t>
  </si>
  <si>
    <t>512</t>
  </si>
  <si>
    <t>NATRIUM CHLORATUM BIOTIKA 10%</t>
  </si>
  <si>
    <t>INJ 10X5ML 10%</t>
  </si>
  <si>
    <t>102668</t>
  </si>
  <si>
    <t>2668</t>
  </si>
  <si>
    <t>OPHTHALMO-HYDROCORTISON LECIVA</t>
  </si>
  <si>
    <t>UNG OPH 1X5GM 0.5%</t>
  </si>
  <si>
    <t>169724</t>
  </si>
  <si>
    <t>69724</t>
  </si>
  <si>
    <t>ARDEAELYTOSOL NA.HYDR.CARB.4.2%</t>
  </si>
  <si>
    <t>INF 1X80ML</t>
  </si>
  <si>
    <t>169755</t>
  </si>
  <si>
    <t>69755</t>
  </si>
  <si>
    <t>ARDEANUTRISOL G 40</t>
  </si>
  <si>
    <t>117996</t>
  </si>
  <si>
    <t>17996</t>
  </si>
  <si>
    <t>KINEDRYL</t>
  </si>
  <si>
    <t>TBL 10</t>
  </si>
  <si>
    <t>191624</t>
  </si>
  <si>
    <t>91624</t>
  </si>
  <si>
    <t>BETOPTIC</t>
  </si>
  <si>
    <t>840333</t>
  </si>
  <si>
    <t>Vincentka přírod.0.7l-nevrat.láhev</t>
  </si>
  <si>
    <t>169667</t>
  </si>
  <si>
    <t>69667</t>
  </si>
  <si>
    <t>ARDEAELYTOSOL NA.HYDR.FOSF.8.7%</t>
  </si>
  <si>
    <t>INF 1X200ML</t>
  </si>
  <si>
    <t>186970</t>
  </si>
  <si>
    <t>86970</t>
  </si>
  <si>
    <t>ARDEANUTRISOL G 20</t>
  </si>
  <si>
    <t>INF SOL 1X250ML</t>
  </si>
  <si>
    <t>185256</t>
  </si>
  <si>
    <t>85256</t>
  </si>
  <si>
    <t>RIVOTRIL 2.5MG/ML</t>
  </si>
  <si>
    <t>186968</t>
  </si>
  <si>
    <t>86968</t>
  </si>
  <si>
    <t>ARDEANUTRISOL G 10</t>
  </si>
  <si>
    <t>INF 1X250ML</t>
  </si>
  <si>
    <t>118656</t>
  </si>
  <si>
    <t>NALBUPHIN ORPHA</t>
  </si>
  <si>
    <t>INJ SOL 10X2ML</t>
  </si>
  <si>
    <t>395850</t>
  </si>
  <si>
    <t>OptiLube lubrikační gel</t>
  </si>
  <si>
    <t>tuba 113g</t>
  </si>
  <si>
    <t>921416</t>
  </si>
  <si>
    <t>KL CPS CALC.GLUC.+KAL.DIH. 100CPS</t>
  </si>
  <si>
    <t>930435</t>
  </si>
  <si>
    <t>MO LEKOVKA RD 130 ml</t>
  </si>
  <si>
    <t>92305</t>
  </si>
  <si>
    <t>ALPROSTAN</t>
  </si>
  <si>
    <t>INF CNC SOL 10X0.2ML</t>
  </si>
  <si>
    <t>142495</t>
  </si>
  <si>
    <t>42495</t>
  </si>
  <si>
    <t>GLUCOSE-1-PHOSPH.FRESENIUS 1MO</t>
  </si>
  <si>
    <t>INF CNC SOL 5X10ML</t>
  </si>
  <si>
    <t>142594</t>
  </si>
  <si>
    <t>42594</t>
  </si>
  <si>
    <t>VITALIPID N INFANT</t>
  </si>
  <si>
    <t>INF CNC SOL 10X10ML</t>
  </si>
  <si>
    <t>167679</t>
  </si>
  <si>
    <t>PEYONA 20 MG/ML</t>
  </si>
  <si>
    <t>IVN+POR SOL 10X1ML</t>
  </si>
  <si>
    <t>169747</t>
  </si>
  <si>
    <t>69747</t>
  </si>
  <si>
    <t>169751</t>
  </si>
  <si>
    <t>69751</t>
  </si>
  <si>
    <t>INF SOL 1X80ML</t>
  </si>
  <si>
    <t>184449</t>
  </si>
  <si>
    <t>84449</t>
  </si>
  <si>
    <t>LUMINAL</t>
  </si>
  <si>
    <t>INJ 5X1ML/219MG</t>
  </si>
  <si>
    <t>187226</t>
  </si>
  <si>
    <t>87226</t>
  </si>
  <si>
    <t>CUROSURF</t>
  </si>
  <si>
    <t>SUS 2X1.5ML/120MG</t>
  </si>
  <si>
    <t>196023</t>
  </si>
  <si>
    <t>2693</t>
  </si>
  <si>
    <t>PENTAGLOBIN</t>
  </si>
  <si>
    <t>INJ 1X10ML</t>
  </si>
  <si>
    <t>199814</t>
  </si>
  <si>
    <t>99814</t>
  </si>
  <si>
    <t>VODA NA INJEKCI VIAFLO</t>
  </si>
  <si>
    <t>PAR LQF 20X500ML</t>
  </si>
  <si>
    <t>501062</t>
  </si>
  <si>
    <t>KL MORPHINI HYDROCHL. 0,008 AQ.P. AD 20G</t>
  </si>
  <si>
    <t>Novoroz. odd.</t>
  </si>
  <si>
    <t>844978</t>
  </si>
  <si>
    <t>107475</t>
  </si>
  <si>
    <t>PRIMENE 10%</t>
  </si>
  <si>
    <t>INF SOL 10X250ML 10%</t>
  </si>
  <si>
    <t>900892</t>
  </si>
  <si>
    <t>KL SUPP.DIAZEPAMI 0,0005G  10KS</t>
  </si>
  <si>
    <t>920368</t>
  </si>
  <si>
    <t>KL EREVIT GTT. 30G</t>
  </si>
  <si>
    <t>921296</t>
  </si>
  <si>
    <t>KL SUPP.GLYCEROLI  30KS, pro novorozence</t>
  </si>
  <si>
    <t>921404</t>
  </si>
  <si>
    <t>KL SUPP.IBUPROFENI 0,05G  20KS</t>
  </si>
  <si>
    <t>921573</t>
  </si>
  <si>
    <t>KL SUPP.PARACETAMOLI 0,02G  30KS</t>
  </si>
  <si>
    <t>930608</t>
  </si>
  <si>
    <t>KL CHLORAL.HYDRATUM 50 g</t>
  </si>
  <si>
    <t>107273</t>
  </si>
  <si>
    <t>7273</t>
  </si>
  <si>
    <t>L-CARNITIN FRESENIUS 1GM</t>
  </si>
  <si>
    <t>INJ 5X5ML/1GM</t>
  </si>
  <si>
    <t>157871</t>
  </si>
  <si>
    <t>PARACETAMOL KABI 10 MG/ML</t>
  </si>
  <si>
    <t>INF SOL 10X50ML/500MG</t>
  </si>
  <si>
    <t>395180</t>
  </si>
  <si>
    <t>Arfen 400mg/3ml inj. 6 amp.</t>
  </si>
  <si>
    <t>107678</t>
  </si>
  <si>
    <t>KALIUMCHLORID 7.45% BRAUN</t>
  </si>
  <si>
    <t>INF CNC SOL 20X20ML</t>
  </si>
  <si>
    <t>186762</t>
  </si>
  <si>
    <t>86762</t>
  </si>
  <si>
    <t>DOBUJECT</t>
  </si>
  <si>
    <t>INF 5X5ML/250MG</t>
  </si>
  <si>
    <t>200305</t>
  </si>
  <si>
    <t>KREON 10 000</t>
  </si>
  <si>
    <t>POR CPS ETD 50</t>
  </si>
  <si>
    <t>113203</t>
  </si>
  <si>
    <t>13203</t>
  </si>
  <si>
    <t>ACC SIRUP</t>
  </si>
  <si>
    <t>PORPLVSIR 75ML/1.5GM</t>
  </si>
  <si>
    <t>125034</t>
  </si>
  <si>
    <t>25034</t>
  </si>
  <si>
    <t>DORMICUM</t>
  </si>
  <si>
    <t>INJ SOL 10X1ML/5MG</t>
  </si>
  <si>
    <t>131934</t>
  </si>
  <si>
    <t>31934</t>
  </si>
  <si>
    <t>VENTOLIN INHALER N</t>
  </si>
  <si>
    <t>INHSUSPSS200X100RG</t>
  </si>
  <si>
    <t>849266</t>
  </si>
  <si>
    <t>162444</t>
  </si>
  <si>
    <t xml:space="preserve">SUFENTANIL TORREX 5 MCG/ML </t>
  </si>
  <si>
    <t>INJ SOL 5X2ML/10RG</t>
  </si>
  <si>
    <t>140361</t>
  </si>
  <si>
    <t>40361</t>
  </si>
  <si>
    <t>NIMBEX</t>
  </si>
  <si>
    <t>INJ SOL 5X2.5ML/5MG</t>
  </si>
  <si>
    <t>841583</t>
  </si>
  <si>
    <t>33218</t>
  </si>
  <si>
    <t>Nutriton 135g</t>
  </si>
  <si>
    <t>116337</t>
  </si>
  <si>
    <t>16337</t>
  </si>
  <si>
    <t>INFEML10X250ML-SKLO</t>
  </si>
  <si>
    <t>394317</t>
  </si>
  <si>
    <t>NESTLÉ Beba H.A.1 400g</t>
  </si>
  <si>
    <t>395700</t>
  </si>
  <si>
    <t>NESTLÉ PreBEBA Discharge 32x90ml</t>
  </si>
  <si>
    <t>843230</t>
  </si>
  <si>
    <t>NESTLÉ Beba HA 1 Premium tekutá</t>
  </si>
  <si>
    <t>32x90ml</t>
  </si>
  <si>
    <t>845564</t>
  </si>
  <si>
    <t>Nutrilon 1  24x90ml RTF</t>
  </si>
  <si>
    <t>24 x 90 ml</t>
  </si>
  <si>
    <t>845045</t>
  </si>
  <si>
    <t>107472</t>
  </si>
  <si>
    <t>INF SOL 20X100ML 10%</t>
  </si>
  <si>
    <t>989641</t>
  </si>
  <si>
    <t>Nutrilon 1 hypoalergenní 24x90ml</t>
  </si>
  <si>
    <t>33811</t>
  </si>
  <si>
    <t>NEOCATE INFANT</t>
  </si>
  <si>
    <t>POR PLV SOL 1X400GM</t>
  </si>
  <si>
    <t>83050</t>
  </si>
  <si>
    <t>198192</t>
  </si>
  <si>
    <t>SEFOTAK 1 G</t>
  </si>
  <si>
    <t>INJ PLV SOL 1X1GM</t>
  </si>
  <si>
    <t>101076</t>
  </si>
  <si>
    <t>1076</t>
  </si>
  <si>
    <t>OPHTHALMO-FRAMYKOIN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</si>
  <si>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</si>
  <si>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</si>
  <si>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</si>
  <si>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</si>
  <si>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</si>
  <si>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</si>
  <si>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</si>
  <si>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</si>
  <si>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192289</t>
  </si>
  <si>
    <t>92289</t>
  </si>
  <si>
    <t>EDICIN 0,5GM</t>
  </si>
  <si>
    <t>INJ.SICC.1X500MG</t>
  </si>
  <si>
    <t>129767</t>
  </si>
  <si>
    <t>IMIPENEM/CILASTATIN KABI 500 MG/500 MG</t>
  </si>
  <si>
    <t>INF PLV SOL 10LAH/20ML</t>
  </si>
  <si>
    <t>111706</t>
  </si>
  <si>
    <t>11706</t>
  </si>
  <si>
    <t>BISEPTOL 480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</si>
  <si>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</si>
  <si>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</si>
  <si>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</si>
  <si>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</si>
  <si>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</si>
  <si>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</si>
  <si>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</si>
  <si>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201030</t>
  </si>
  <si>
    <t>116600</t>
  </si>
  <si>
    <t>16600</t>
  </si>
  <si>
    <t>UNASYN</t>
  </si>
  <si>
    <t>INJ PLV SOL 1X1.5GM</t>
  </si>
  <si>
    <t>156801</t>
  </si>
  <si>
    <t>56801</t>
  </si>
  <si>
    <t>KLACID I.V.</t>
  </si>
  <si>
    <t>PLV INF 1X500MG</t>
  </si>
  <si>
    <t>177044</t>
  </si>
  <si>
    <t>77044</t>
  </si>
  <si>
    <t>ZINACEF AD INJ.</t>
  </si>
  <si>
    <t>INJ SIC 1X750MG</t>
  </si>
  <si>
    <t>116896</t>
  </si>
  <si>
    <t>16896</t>
  </si>
  <si>
    <t>IMAZOL PLUS</t>
  </si>
  <si>
    <t>DRM CRM 1X30GM</t>
  </si>
  <si>
    <t>165989</t>
  </si>
  <si>
    <t>65989</t>
  </si>
  <si>
    <t>MYCOMAX « INF. INFUZ</t>
  </si>
  <si>
    <t>50113008</t>
  </si>
  <si>
    <t>137484</t>
  </si>
  <si>
    <t>ANBINEX 500 I.U. Grifols</t>
  </si>
  <si>
    <t>0129056</t>
  </si>
  <si>
    <t>ATENATIV 500 I.U. Phoenix</t>
  </si>
  <si>
    <t>26039</t>
  </si>
  <si>
    <t>KIOVIG 1 g CZ Baxter</t>
  </si>
  <si>
    <t>42144</t>
  </si>
  <si>
    <t>Human Albumin 20% 10 ml GRIFOLS</t>
  </si>
  <si>
    <t>Novorozenecké oddělení, lůžkové oddělení 16C</t>
  </si>
  <si>
    <t>Novorozenecké oddělení, lůžkové oddělení 16B + 16D</t>
  </si>
  <si>
    <t>Novorozenecké oddělení, JIP 16A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</si>
  <si>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</si>
  <si>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</si>
  <si>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</si>
  <si>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</si>
  <si>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</si>
  <si>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0931 - Novorozenecké oddělení, JIP 16A</t>
  </si>
  <si>
    <t>0912 - Novorozenecké oddělení, lůžkové oddělení 16B + 16D</t>
  </si>
  <si>
    <t>0911 - Novorozenecké oddělení, lůžkové oddělení 16C</t>
  </si>
  <si>
    <t>V06XX - Potraviny pro zvláštní lékařské účely (PZLÚ)</t>
  </si>
  <si>
    <t>A02BC01 - Omeprazol</t>
  </si>
  <si>
    <t>J01DD01 - Cefotaxim</t>
  </si>
  <si>
    <t>H03AA01 - Levothyroxin, sodná sůl</t>
  </si>
  <si>
    <t>N01AH03 - Sufentanyl</t>
  </si>
  <si>
    <t>J02AC01 - Flukonazol</t>
  </si>
  <si>
    <t>R03AC02 - Salbutamol</t>
  </si>
  <si>
    <t>J01CR02 - Amoxicilin a enzymový inhibitor</t>
  </si>
  <si>
    <t>M03AC11 - Cisatrakurium</t>
  </si>
  <si>
    <t>J01DH51 - Imipenem a enzymový inhibitor</t>
  </si>
  <si>
    <t>N05CD08 - Midazolam</t>
  </si>
  <si>
    <t>R03BA05 - Flutikason</t>
  </si>
  <si>
    <t>J01DC02 - Cefuroxim</t>
  </si>
  <si>
    <t>J01CR01 - Ampicilin a enzymový inhibitor</t>
  </si>
  <si>
    <t>J01XA02 - Teikoplanin</t>
  </si>
  <si>
    <t>J01FA09 - Klarithromycin</t>
  </si>
  <si>
    <t>J01CR02</t>
  </si>
  <si>
    <t>H03AA01</t>
  </si>
  <si>
    <t>J01DC02</t>
  </si>
  <si>
    <t>POR GRA SUS 1X50ML</t>
  </si>
  <si>
    <t>J01XA02</t>
  </si>
  <si>
    <t>TARGOCID 200 MG</t>
  </si>
  <si>
    <t>INJ+POR PSO LQF 1X200MG</t>
  </si>
  <si>
    <t>R03BA05</t>
  </si>
  <si>
    <t>INH SUS PSS 120X50RG</t>
  </si>
  <si>
    <t>V06XX</t>
  </si>
  <si>
    <t>MCT-OIL</t>
  </si>
  <si>
    <t>POR OIL 1X500ML</t>
  </si>
  <si>
    <t>A02BC01</t>
  </si>
  <si>
    <t>HELICID 40 INF</t>
  </si>
  <si>
    <t>INF PLV SOL 1X40MG</t>
  </si>
  <si>
    <t>J01CR01</t>
  </si>
  <si>
    <t>ZINACEF 750 MG</t>
  </si>
  <si>
    <t>INJ PLV SOL 1X750MG</t>
  </si>
  <si>
    <t>J01DD01</t>
  </si>
  <si>
    <t>J01DH51</t>
  </si>
  <si>
    <t>J01FA09</t>
  </si>
  <si>
    <t>INF PLV SOL 1X500MG</t>
  </si>
  <si>
    <t>J02AC01</t>
  </si>
  <si>
    <t>MYCOMAX INF</t>
  </si>
  <si>
    <t>INF SOL 100ML/200MG</t>
  </si>
  <si>
    <t>M03AC11</t>
  </si>
  <si>
    <t>N01AH03</t>
  </si>
  <si>
    <t>SUFENTANIL TORREX 5 MCG/ML</t>
  </si>
  <si>
    <t>N05CD08</t>
  </si>
  <si>
    <t>R03AC02</t>
  </si>
  <si>
    <t>INH SUS PSS 200X100RG</t>
  </si>
  <si>
    <t>NUTRITON</t>
  </si>
  <si>
    <t>POR SOL 1X135GM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</si>
  <si>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</si>
  <si>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</si>
  <si>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</si>
  <si>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</si>
  <si>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</si>
  <si>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ZA318</t>
  </si>
  <si>
    <t>Náplast transpore 1,25 cm x 9,14 m 1527-0</t>
  </si>
  <si>
    <t>ZA429</t>
  </si>
  <si>
    <t>Obinadlo elastické idealtex   8 cm x 5 m 931061</t>
  </si>
  <si>
    <t>ZA446</t>
  </si>
  <si>
    <t>Vata buničitá přířezy 20 x 30 cm 1230200129</t>
  </si>
  <si>
    <t>ZA466</t>
  </si>
  <si>
    <t>Tyčinka vatová sterilní 14 cm bal. á 200 ks 9679501</t>
  </si>
  <si>
    <t>ZA467</t>
  </si>
  <si>
    <t>Tyčinka vatová nesterilní 15 cm 9679369</t>
  </si>
  <si>
    <t>ZA570</t>
  </si>
  <si>
    <t>Náplast tegaderm 4,4 cm x 4,4 cm bal. á 100 ks 1622W</t>
  </si>
  <si>
    <t>ZA604</t>
  </si>
  <si>
    <t>Tyčinka vatová sterilní jednotlivě balalená bal. á 1000 ks 5100/SG/CS</t>
  </si>
  <si>
    <t>ZC854</t>
  </si>
  <si>
    <t xml:space="preserve">Kompresa NT 7,5 x 7,5 cm / 2 ks sterilní 26510 </t>
  </si>
  <si>
    <t>ZF225</t>
  </si>
  <si>
    <t>Náplast hypoalergenní á 250 ks 5353811</t>
  </si>
  <si>
    <t>ZK522</t>
  </si>
  <si>
    <t xml:space="preserve">Tampon sterilní z buničité vaty / 20 ks karton á 2400 ks 1230213120 </t>
  </si>
  <si>
    <t>ZA326</t>
  </si>
  <si>
    <t>Krytí hypro-sorb R 20 x 25 mm bal. á 6 ks 003</t>
  </si>
  <si>
    <t>ZL684</t>
  </si>
  <si>
    <t>Náplast santiband standard poinjekční jednotl. baleno 19 mm x 72 mm 652</t>
  </si>
  <si>
    <t>ZA729</t>
  </si>
  <si>
    <t>Tyčinka vatová sterilní velká 1 bal/200 ks 9679520</t>
  </si>
  <si>
    <t>ZA737</t>
  </si>
  <si>
    <t>Filtr mini spike modrý 4550234</t>
  </si>
  <si>
    <t>ZA743</t>
  </si>
  <si>
    <t>Zkumavka odběrová 0,5 ml tapval fialová 11170</t>
  </si>
  <si>
    <t>ZA744</t>
  </si>
  <si>
    <t>Kanyla neoflon 24G žlutá BDC391350</t>
  </si>
  <si>
    <t>ZA746</t>
  </si>
  <si>
    <t>Stříkačka injekční 3-dílná 1 ml L Omnifix Solo tuberculin 9161406V</t>
  </si>
  <si>
    <t>ZA775</t>
  </si>
  <si>
    <t>Sáček močový lepicí dětský pro novoroz. 744988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</si>
  <si>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</si>
  <si>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</si>
  <si>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</si>
  <si>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</si>
  <si>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</si>
  <si>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</si>
  <si>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</si>
  <si>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</si>
  <si>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ZA888</t>
  </si>
  <si>
    <t>Zkumavka odběrová s gelem tapval bílá 19860</t>
  </si>
  <si>
    <t>ZB117</t>
  </si>
  <si>
    <t>Lanceta haemolance modrá, á 150 ks, DIS7575</t>
  </si>
  <si>
    <t>Lanceta haemolance modrá bal. á 100 ks DIS7575</t>
  </si>
  <si>
    <t>ZB299</t>
  </si>
  <si>
    <t>Konektor bezjehlový s prodl.hadičkou 4097154</t>
  </si>
  <si>
    <t>ZB338</t>
  </si>
  <si>
    <t>Hadička spojovací tlaková unicath pr. 1,0 mm x 200 cm PB 3120 M</t>
  </si>
  <si>
    <t>ZB384</t>
  </si>
  <si>
    <t>Stříkačka injekční 3-dílná 20 ml LL Omnifix Solo 4617207V</t>
  </si>
  <si>
    <t>ZB439</t>
  </si>
  <si>
    <t>Odstraňovač náplastí Convacare, á 100 ks, 37443</t>
  </si>
  <si>
    <t>ZB452</t>
  </si>
  <si>
    <t>Víko kompletní kompaktní podtl. odsáv. P00341</t>
  </si>
  <si>
    <t>ZB453</t>
  </si>
  <si>
    <t>Lopatka dřevěná ústní sterilní bal. á 100 ks 4700096</t>
  </si>
  <si>
    <t>Lopatka dřevěná ústní sterilní bal. á 100 ks 4700096 - již se nevyrábí</t>
  </si>
  <si>
    <t>Lopatka lékařská sterilní dřevěná ústní bal. á 100 ks 4700096 - již se nevyrábí</t>
  </si>
  <si>
    <t>ZB949</t>
  </si>
  <si>
    <t>Pinzeta UH sterilní HAR999565</t>
  </si>
  <si>
    <t>ZC768</t>
  </si>
  <si>
    <t>Zkumavka 10 ml sterilní bal. á 1250 ks 1009/TE/SG</t>
  </si>
  <si>
    <t>ZD350</t>
  </si>
  <si>
    <t>Lanceta haemolance zelená 21 G á 150 ks DIS7568</t>
  </si>
  <si>
    <t>Lanceta haemolance zelená 21 G á 100 ks DIS7372</t>
  </si>
  <si>
    <t>ZD662</t>
  </si>
  <si>
    <t>Cévka odsávací   8CH 07-0002</t>
  </si>
  <si>
    <t>Cévka odsávací CH8 á bal. á 60 ks s přerušovačem sání 07-0002</t>
  </si>
  <si>
    <t>ZF159</t>
  </si>
  <si>
    <t>Nádoba na kontaminovaný odpad 1 l 15-0002</t>
  </si>
  <si>
    <t>ZG515</t>
  </si>
  <si>
    <t>Zkumavka močová vacuette 10,5 ml bal. á 50 ks 455007</t>
  </si>
  <si>
    <t>ZH395</t>
  </si>
  <si>
    <t>Filtr ke kompaktní odsavačce P00094</t>
  </si>
  <si>
    <t>ZI179</t>
  </si>
  <si>
    <t>Zkumavka s mediem+ flovakovaný tampon eSwab růžový 490CE.A</t>
  </si>
  <si>
    <t>ZI681</t>
  </si>
  <si>
    <t>Kapilára s heparinovou úpravou UH á 100 ks 140ul 102090</t>
  </si>
  <si>
    <t>ZK798</t>
  </si>
  <si>
    <t xml:space="preserve">Zátka combi modrá 4495152 </t>
  </si>
  <si>
    <t>ZK424</t>
  </si>
  <si>
    <t>Teploměr digitální s ohebným hrotem flexi P02605</t>
  </si>
  <si>
    <t>ZL688</t>
  </si>
  <si>
    <t>Proužky Accu-Check Inform IIStrip 50 EU1 á 50 ks 05942861</t>
  </si>
  <si>
    <t>ZL689</t>
  </si>
  <si>
    <t>Roztok Accu-Check Performa Int´l Controls 1+2 level 04861736</t>
  </si>
  <si>
    <t>ZC793</t>
  </si>
  <si>
    <t>Čidlo saturační neonatální LNOP Neo-L děti 1 - 10 kg adhesivní sens. bal. á 20 ks 1798</t>
  </si>
  <si>
    <t>ZD030</t>
  </si>
  <si>
    <t>Skalpel jednorázový cutfix sterilní bal. á 10 ks 5518040</t>
  </si>
  <si>
    <t>ZB898</t>
  </si>
  <si>
    <t>Klobouček kojící kontaktní vel. S 16 mm K200.1628</t>
  </si>
  <si>
    <t>ZD892</t>
  </si>
  <si>
    <t>Filtr akustický echo screen bal. á 5 ks 1770</t>
  </si>
  <si>
    <t>ZH286</t>
  </si>
  <si>
    <t>Teploměr digitální s ohebným hrotem Flexo 91925</t>
  </si>
  <si>
    <t>ZM493</t>
  </si>
  <si>
    <t>Set 6430</t>
  </si>
  <si>
    <t>ZC837</t>
  </si>
  <si>
    <t>Fonendoskop neonatální dvoustranný modrý P00202</t>
  </si>
  <si>
    <t>ZA360</t>
  </si>
  <si>
    <t>Jehla sterican 0,5 x 25 mm oranžová 9186158</t>
  </si>
  <si>
    <t>ZA832</t>
  </si>
  <si>
    <t>Jehla injekční 0,9 x   40 mm žlutá 4657519</t>
  </si>
  <si>
    <t>Jehla injekční 0,9 x 40 mm žlutá 4657519</t>
  </si>
  <si>
    <t>ZB556</t>
  </si>
  <si>
    <t>Jehla injekční 1,2 x   40 mm růžová 4665120</t>
  </si>
  <si>
    <t>ZK474</t>
  </si>
  <si>
    <t>Rukavice operační latexové s pudrem ansell medigrip plus vel. 6,5 302923</t>
  </si>
  <si>
    <t>Rukavice operační latexové s pudrem ansell medigrip plus vel. 6,5 303363</t>
  </si>
  <si>
    <t>Rukavice operační latexové s pudrem ansell medigrip plus vel. 6,5 303503</t>
  </si>
  <si>
    <t>ZK475</t>
  </si>
  <si>
    <t>Rukavice operační latexové s pudrem ansell medigrip plus vel. 7,0 302924</t>
  </si>
  <si>
    <t>Rukavice operační latexové s pudrem ansell medigrip plus vel. 7,0 303364</t>
  </si>
  <si>
    <t>Rukavice operační latexové s pudrem ansell medigrip plus vel. 7,0 303504 (303364)</t>
  </si>
  <si>
    <t>ZL948</t>
  </si>
  <si>
    <t>Rukavice nitril promedica bez p. M bílé 6N á 100 ks 9399W3</t>
  </si>
  <si>
    <t>ZM292</t>
  </si>
  <si>
    <t>Rukavice nitril sempercare bez p. M bal. á 200 ks 30 803</t>
  </si>
  <si>
    <t>Rukavice nitril sempercare bez p. M bal. á 200 ks 30803</t>
  </si>
  <si>
    <t>DD305</t>
  </si>
  <si>
    <t>KARTICKY TEST.SCREENING 45X70 á 100 ks</t>
  </si>
  <si>
    <t>DG379</t>
  </si>
  <si>
    <t>Doprava 21%</t>
  </si>
  <si>
    <t>ZA444</t>
  </si>
  <si>
    <t>Tampon nesterilní stáčený 20 x 19 cm 1320300404</t>
  </si>
  <si>
    <t>ZA516</t>
  </si>
  <si>
    <t>Kompresa NT 7,5 x 7,5 cm / 10 sterilní karton á 900 ks 1230119526</t>
  </si>
  <si>
    <t>ZA593</t>
  </si>
  <si>
    <t>Tampon stáčený sterilní 20 x 20 cm / 5 ks 28003</t>
  </si>
  <si>
    <t>ZC845</t>
  </si>
  <si>
    <t>Kompresa NT 10 x 20 cm / 5 ks sterilní 26621</t>
  </si>
  <si>
    <t>ZF351</t>
  </si>
  <si>
    <t>Náplast transpore bílá 1,25 cm x 9,14 m bal. á 24 ks 1534-0</t>
  </si>
  <si>
    <t>ZI558</t>
  </si>
  <si>
    <t>Náplast curapor   7 x   5 cm 22120 ( náhrada za cosmopor )</t>
  </si>
  <si>
    <t>ZA210</t>
  </si>
  <si>
    <t>Cévka vyživovací CV-01 GAM646957</t>
  </si>
  <si>
    <t>ZA674</t>
  </si>
  <si>
    <t>Cévka CN-01 646959</t>
  </si>
  <si>
    <t>Tyčinka vatová ster. velká, 1 bal/200 ks 967952</t>
  </si>
  <si>
    <t>Konektor bezjehlový s prodl.hadičkou, bal.á 50 ks, 4097154</t>
  </si>
  <si>
    <t>ZB360</t>
  </si>
  <si>
    <t>Rourka rektální CH12 délka 12 cm sterilní bal. á 20 ks 646699</t>
  </si>
  <si>
    <t>ZB668</t>
  </si>
  <si>
    <t>Hadička tlaková spojovací unicath pr. 1,0 mm x   50 cm PB 3105 M</t>
  </si>
  <si>
    <t>ZB755</t>
  </si>
  <si>
    <t>Zkumavka 1 ml K3 edta fialová 454034</t>
  </si>
  <si>
    <t>ZC722</t>
  </si>
  <si>
    <t>Páska fixační bal. á 12 ks LNOP 1053</t>
  </si>
  <si>
    <t>ZH168</t>
  </si>
  <si>
    <t>Stříkačka injekční 3-dílná 1 ml L tuberculin KD-JECT III 831786</t>
  </si>
  <si>
    <t>Stříkačka injekční 3-dílná 1 ml L tuberculin s jehlou KD-JECT III 831786</t>
  </si>
  <si>
    <t>ZI682</t>
  </si>
  <si>
    <t>Zátka ke kapiláře á 500 ks 110235</t>
  </si>
  <si>
    <t>ZI683</t>
  </si>
  <si>
    <t>Drátek míchací á 500 ks 110009</t>
  </si>
  <si>
    <t>ZI026</t>
  </si>
  <si>
    <t>Šidítko dětské Flora kytička bal. á 30 ks 1001</t>
  </si>
  <si>
    <t>Šidítko dětské Flora 03 kytička bal. á 30 ks 1001</t>
  </si>
  <si>
    <t>ZI033</t>
  </si>
  <si>
    <t>Sosák plochý anatomický silikonový 0,6 otvor 632 827 024 223</t>
  </si>
  <si>
    <t>ZI034</t>
  </si>
  <si>
    <t>Sosák kulatý úzký silikonový 0,8 otvor 3004</t>
  </si>
  <si>
    <t>ZK083</t>
  </si>
  <si>
    <t>Elektroda EKG bal. á 12 ks 100 BRS-50-K/12</t>
  </si>
  <si>
    <t>ZB985</t>
  </si>
  <si>
    <t>Urin-Monovette s pístem 10 ml sterilní bal. á 100 ks 10.252.020</t>
  </si>
  <si>
    <t>ZI035</t>
  </si>
  <si>
    <t>Savička náhradní kulatá k šidítkům Flora kytička 100N</t>
  </si>
  <si>
    <t>ZM339</t>
  </si>
  <si>
    <t>Láhev kojenecká jednorázová 60 ml + krytka jednotlivě balená bal. á 35 ks NCB1060A</t>
  </si>
  <si>
    <t>ZM351</t>
  </si>
  <si>
    <t>Láhev kojenecká jednorázová 240 ml + dudlík s otvorem multipack bal. á 12 ks NCB2240V</t>
  </si>
  <si>
    <t>ZM352</t>
  </si>
  <si>
    <t>Láhev kojenecká jednorázová 130 ml + dudlík s otvorem multipack bal. á 16 ks NCB2130V</t>
  </si>
  <si>
    <t>ZM337</t>
  </si>
  <si>
    <t>Láhev kojenecká jednorázová 240 ml + krytka multipack bal. á 16 ks NCB1240V</t>
  </si>
  <si>
    <t>ZM338</t>
  </si>
  <si>
    <t>Láhev kojenecká jednorázová 130 ml + krytka multipack bal. á 25 ks NCB1130V</t>
  </si>
  <si>
    <t>ZM362</t>
  </si>
  <si>
    <t>Láhev kojenecká jednorázová 60 ml + dudlík s otvorem multipack bal. á 30 ks NCB2060V</t>
  </si>
  <si>
    <t>ZM407</t>
  </si>
  <si>
    <t>Láhev kojenecká jednorázová 60 ml + krytka multipack bal. á 35 ks NCB1060V</t>
  </si>
  <si>
    <t>ZI237</t>
  </si>
  <si>
    <t>Manžeta TK  k monitoru Dash dvouhadičková vel.č. 2 novor. classic sv.modrá 4-8 cm 2633</t>
  </si>
  <si>
    <t>ZM517</t>
  </si>
  <si>
    <t>Ventil včetně 6 bílých membrán K800.0727</t>
  </si>
  <si>
    <t>ZM515</t>
  </si>
  <si>
    <t>Souprava odsávací nástavec+ventil+membrána+láhev šroub. uzávěr+víčko K800.0605</t>
  </si>
  <si>
    <t>ZI236</t>
  </si>
  <si>
    <t>Manžeta TK k monitoru Dash dvouhadičková vel.č. 3 novor. classic zelená 6 - 11 cm 2628</t>
  </si>
  <si>
    <t>ZC905</t>
  </si>
  <si>
    <t>Hadice silikon 7 x 11,0 x 2,00 mm á 10 m pro drenáž těl.dutin KVS60-070110</t>
  </si>
  <si>
    <t>ZE079</t>
  </si>
  <si>
    <t>Set transfúzní non PVC s odvzdušněním a bakteriálním filtrem ZAR-I-TS</t>
  </si>
  <si>
    <t>ZF733</t>
  </si>
  <si>
    <t>Set resuscitační bal. á 10 ks 900 RD 010</t>
  </si>
  <si>
    <t>ZF925</t>
  </si>
  <si>
    <t>Jehla injekční 0,9 x   25 mm žlutá á 100 ks 4657500</t>
  </si>
  <si>
    <t>ZA821</t>
  </si>
  <si>
    <t>Jehla odběrová Neo-Safe 21G  22 mm průměr 0,8 mm bal. á 50 ks 214.08</t>
  </si>
  <si>
    <t>ZK476</t>
  </si>
  <si>
    <t>Rukavice operační latexové s pudrem ansell medigrip plus vel. 7,5 302925</t>
  </si>
  <si>
    <t>ZL072</t>
  </si>
  <si>
    <t>Rukavice operační gammex bez pudru PF EnLite vel. 7,0 353384</t>
  </si>
  <si>
    <t>ZL074</t>
  </si>
  <si>
    <t>Rukavice operační gammex bez pudru PF EnLite vel. 8,0 353386</t>
  </si>
  <si>
    <t>ZM293</t>
  </si>
  <si>
    <t>Rukavice nitril sempercare bez p. L bal. á 200 ks 30 804</t>
  </si>
  <si>
    <t>DG395</t>
  </si>
  <si>
    <t>Diagnostická souprava ABO set monoklonální na 30</t>
  </si>
  <si>
    <t>ZA542</t>
  </si>
  <si>
    <t>Náplast wet pruf voduvzd. 1,25 cm x 9,14 m bal. á 24 ks K00-3063C</t>
  </si>
  <si>
    <t>ZA544</t>
  </si>
  <si>
    <t>Krytí inadine nepřilnavé 5,0 x 5,0 cm 1/10 SYS01481EE</t>
  </si>
  <si>
    <t>ZA627</t>
  </si>
  <si>
    <t>Krytí granuflex 5 x 10 cm á 10 ks 187959</t>
  </si>
  <si>
    <t>ZE108</t>
  </si>
  <si>
    <t>Krytí mepilex lite 10 x 10 cm bal. á 10 ks 284100-01</t>
  </si>
  <si>
    <t>ZF108</t>
  </si>
  <si>
    <t>Krytí mepilex lite 6 x  8,5 cm bal. á 5 ks 284000-01</t>
  </si>
  <si>
    <t>ZG613</t>
  </si>
  <si>
    <t>Krytí mepitel one 8 x 10 cm  bal. á 5 ks 289200-00</t>
  </si>
  <si>
    <t>Náplast curapor   7 x   5 cm 22 120 ( náhrada za cosmopor )</t>
  </si>
  <si>
    <t>ZI599</t>
  </si>
  <si>
    <t>Náplast curapor 10 x   8 cm 22121 ( náhrada za cosmopor )</t>
  </si>
  <si>
    <t>ZA602</t>
  </si>
  <si>
    <t>Kompresa gáza 5 x 5 cm / 2 ks sterilní karton á 1000 ks 26001</t>
  </si>
  <si>
    <t>ZH318</t>
  </si>
  <si>
    <t>Náplast hydrokoloidní extra small Grip-Lok H á 100 ks ZEF:3100ESH</t>
  </si>
  <si>
    <t>ZA525</t>
  </si>
  <si>
    <t>Normlgel   5 g 370500</t>
  </si>
  <si>
    <t>ZA548</t>
  </si>
  <si>
    <t>Náplast wet pruf voduvzd. 2,50 cm x 9,14 m bal. á 12 ks 3142</t>
  </si>
  <si>
    <t>ZA438</t>
  </si>
  <si>
    <t>Obinadlo pruban č.  4 4273041</t>
  </si>
  <si>
    <t>ZA415</t>
  </si>
  <si>
    <t>Obinadlo idealast-haft 6 cm x 10 m 931114</t>
  </si>
  <si>
    <t>ZA496</t>
  </si>
  <si>
    <t>Krytí bioclusive 5,1 x 7,6 cm bal. á 100 ks SYS2461EE</t>
  </si>
  <si>
    <t>ZA630</t>
  </si>
  <si>
    <t>Tampon sterilní stáčený 9 x 9 cm / 5 ks karton á 500 ks 1230110421</t>
  </si>
  <si>
    <t>ZA687</t>
  </si>
  <si>
    <t>Sáček močový curity s hod.diurézou 200 ml hadička 150 cm 6502</t>
  </si>
  <si>
    <t>ZA691</t>
  </si>
  <si>
    <t>Rampa 3 kohouty discofix 16600C/4085434/</t>
  </si>
  <si>
    <t>ZA705</t>
  </si>
  <si>
    <t>Hadička spojovací HS 1,8 x 450UNIV</t>
  </si>
  <si>
    <t>ZA738</t>
  </si>
  <si>
    <t>Filtr mini spike zelený 4550242</t>
  </si>
  <si>
    <t>ZA749</t>
  </si>
  <si>
    <t>Stříkačka injekční 3-dílná 50 ml LL Omnifix Solo 4617509F</t>
  </si>
  <si>
    <t>ZA822</t>
  </si>
  <si>
    <t>Membrána k Sensor Medics 3100</t>
  </si>
  <si>
    <t>ZB102</t>
  </si>
  <si>
    <t>Láhev k odsávačce flovac 1l hadice 1,8 m á 45 ks 000-036-020</t>
  </si>
  <si>
    <t>ZB103</t>
  </si>
  <si>
    <t>Láhev k odsávačce flovac 2l hadice 1,8 m 000-036-021</t>
  </si>
  <si>
    <t>ZB199</t>
  </si>
  <si>
    <t>Kanyla neoflon 26G fialová BDC391349</t>
  </si>
  <si>
    <t>ZB301</t>
  </si>
  <si>
    <t>Rampa 5 kohoutů bal. á 20 ks RP 5000 M</t>
  </si>
  <si>
    <t>ZB336</t>
  </si>
  <si>
    <t>Zkumavka odběrová 1 ml tapval modrá bal. á 50 ks 13060</t>
  </si>
  <si>
    <t>ZB543</t>
  </si>
  <si>
    <t>Souprava odběrová tracheální G05206</t>
  </si>
  <si>
    <t>ZB708</t>
  </si>
  <si>
    <t>Katetr močový foley silikon CH6 23.000.14.206</t>
  </si>
  <si>
    <t>ZB740</t>
  </si>
  <si>
    <t>Okruh anesteziologický s vyhřívacím drátem 086-771374</t>
  </si>
  <si>
    <t>ZB773</t>
  </si>
  <si>
    <t>Zkumavka šedá-glykemie 454085</t>
  </si>
  <si>
    <t>ZB776</t>
  </si>
  <si>
    <t>Zkumavka zelená 3 ml 454082</t>
  </si>
  <si>
    <t>ZD147</t>
  </si>
  <si>
    <t>Trokar hrudní F8 8 cm, á 15 ks, 625.08</t>
  </si>
  <si>
    <t>ZD478</t>
  </si>
  <si>
    <t>Převodník tlakový arteriální 90 cm jednokom. pediatrický 1 linka bal. á 20 ks T432105A</t>
  </si>
  <si>
    <t>ZD492</t>
  </si>
  <si>
    <t>Svěrka držáku flovac-plast 100 11-5122 (230-500)</t>
  </si>
  <si>
    <t>ZE308</t>
  </si>
  <si>
    <t>Stříkačka injekční 3-dílná 5 ml LL Omnifix Solo 4617053V</t>
  </si>
  <si>
    <t>ZH845</t>
  </si>
  <si>
    <t>Tyčinka vatová medcomfort + glyc. citónová příchuť bal. á 75 ks 09157-100</t>
  </si>
  <si>
    <t>ZJ659</t>
  </si>
  <si>
    <t>Kohout trojcestný s bezjehlovým konektorem Discofix C bal. á 100 ks 16494CSF</t>
  </si>
  <si>
    <t>ZK799</t>
  </si>
  <si>
    <t>Zátka combi červená 4495101</t>
  </si>
  <si>
    <t>ZK806</t>
  </si>
  <si>
    <t>Okruh jednorázový ventilační k ventilátoru babylog 8000IC 5068810</t>
  </si>
  <si>
    <t>Okruh ventilační jednorázový k ventilátoru babylog 8000IC 5068810</t>
  </si>
  <si>
    <t>ZK884</t>
  </si>
  <si>
    <t>Kohout trojcestný discofix modrý 4095111</t>
  </si>
  <si>
    <t>ZA718</t>
  </si>
  <si>
    <t>Patrona nízkoprůtoková vapotherm á 2 ks VT01-B</t>
  </si>
  <si>
    <t>ZA987</t>
  </si>
  <si>
    <t>Maska nasální infant flow bal. á 10 ks 777086-102</t>
  </si>
  <si>
    <t>ZB416</t>
  </si>
  <si>
    <t>Kanyla ET 4,0 bez manž. bal. á 10 ks 9342E</t>
  </si>
  <si>
    <t>ZB850</t>
  </si>
  <si>
    <t>Nos umělý trach-vent bal. á 50 ks 41311U</t>
  </si>
  <si>
    <t>ZD992</t>
  </si>
  <si>
    <t xml:space="preserve">Čidlo saturační jednorázový pro novorozence masimo k monitoru Mindray bal. á 20 ks 2329LHL </t>
  </si>
  <si>
    <t xml:space="preserve">Čidlo saturační jednorázové pro novorozence masimo k monitoru Mindray bal. á 20 ks 2329LHL </t>
  </si>
  <si>
    <t>ZE887</t>
  </si>
  <si>
    <t>Generátor nCPAP bal. á 10 ks P04514</t>
  </si>
  <si>
    <t>ZE888</t>
  </si>
  <si>
    <t>Okruh dýchací neonatální RT224 bal. á 10 ks P04648</t>
  </si>
  <si>
    <t>ZK735</t>
  </si>
  <si>
    <t>Konektor bezjehlový caresite bal. á 200 ks dohodnutá cena 7,93 Kč bez DPH 415122</t>
  </si>
  <si>
    <t>ZG081</t>
  </si>
  <si>
    <t>Čepička na infant flow system velikost 0, á 10 ks 777084-103</t>
  </si>
  <si>
    <t>ZD281</t>
  </si>
  <si>
    <t>Aplikátor nasální infant intermediate á 25 ks MI1300B</t>
  </si>
  <si>
    <t>ZL952</t>
  </si>
  <si>
    <t>Stříkačka injekční 3-dílná 50 ml LL light protected bal.á 60 ks 2022920A</t>
  </si>
  <si>
    <t>ZL951</t>
  </si>
  <si>
    <t xml:space="preserve">Hadička prodlužovací PVC 150 cm pro světlocitlivé léky NO DOP bal. á 20  ks V686423 </t>
  </si>
  <si>
    <t>ZB701</t>
  </si>
  <si>
    <t xml:space="preserve">Šidítko pro nezralé novorozence do 30.týdne čiré Wee Thumbie P03373  </t>
  </si>
  <si>
    <t>ZC729</t>
  </si>
  <si>
    <t>Vzduchovod ústní guedell   40 mm 24101</t>
  </si>
  <si>
    <t>ZB620</t>
  </si>
  <si>
    <t>Víko kompaktní odsávací s poj.ventilem bal. á 3 ks P01102</t>
  </si>
  <si>
    <t>ZD293</t>
  </si>
  <si>
    <t>Spojka heimlich na napoj. pediatr. drénů 800,01</t>
  </si>
  <si>
    <t>ZB614</t>
  </si>
  <si>
    <t>Vak vapotherm bal. á 20 ks WR1200</t>
  </si>
  <si>
    <t>ZB270</t>
  </si>
  <si>
    <t>Okruh anesteziologický vyhřívaný bal. á 20 ks DTPV9007</t>
  </si>
  <si>
    <t>ZM221</t>
  </si>
  <si>
    <t>Klobouček kojící kontaktní Tulips M bal. á 10 párů 63.00.15</t>
  </si>
  <si>
    <t>ZE784</t>
  </si>
  <si>
    <t>Konektor bezjehlový smartsite modrý 2000E7D</t>
  </si>
  <si>
    <t>ZB095</t>
  </si>
  <si>
    <t>Systém odsávací uzavřený TC CH6 neo / pedi 30,5 cm 196-5</t>
  </si>
  <si>
    <t>ZB858</t>
  </si>
  <si>
    <t>Okruh pacientský NeoPEEP s T-kusem 1,5 m 3210021</t>
  </si>
  <si>
    <t>ZK465</t>
  </si>
  <si>
    <t>Kabel propojovací jednorázový k IF bal. á 10 ks 270.520</t>
  </si>
  <si>
    <t>ZE623</t>
  </si>
  <si>
    <t>Cévka odsávací CH6 s přerušovačem sání bal. á 80 ks GCR1021-6</t>
  </si>
  <si>
    <t>ZE783</t>
  </si>
  <si>
    <t>Trn na vak jednosměrný bal. á 100 ks 2309E</t>
  </si>
  <si>
    <t>ZB734</t>
  </si>
  <si>
    <t>Konektor pro připojení k okruhu TT480 silikonový 0120140</t>
  </si>
  <si>
    <t>ZD735</t>
  </si>
  <si>
    <t>Cévka odsávací CH8 s přerušovačem sání bal. á 80 ks GCR1021-8</t>
  </si>
  <si>
    <t>ZC236</t>
  </si>
  <si>
    <t>Cévka odsávací CH10 s přerušovačem sání bal. á 70 ks GCR1021-10</t>
  </si>
  <si>
    <t>ZI119</t>
  </si>
  <si>
    <t>Manžeta TK novorozenecká č. 2 M1868B(dřív.kč.M1868A)</t>
  </si>
  <si>
    <t>ZC847</t>
  </si>
  <si>
    <t>Systém odsávací uzavřený TC CH5  neo / pedi Y adaptér 30,5 cm 195-5</t>
  </si>
  <si>
    <t>ZB428</t>
  </si>
  <si>
    <t>Kanyla ET 2,5 bez manž. bal. á 10 ks 9325E</t>
  </si>
  <si>
    <t>ZA675</t>
  </si>
  <si>
    <t>Cévka pupeční CP-01 GAM646958</t>
  </si>
  <si>
    <t>ZM315</t>
  </si>
  <si>
    <t>Vak jednorázový k odsávačce flovac 1l hadice 1,8 m 000-036-030</t>
  </si>
  <si>
    <t>ZA118</t>
  </si>
  <si>
    <t>Kanyla ET 3,5 bez manž. 9335E</t>
  </si>
  <si>
    <t>Kanyla ET 3,5 bez manžetou bal. á 10 ks 9335E</t>
  </si>
  <si>
    <t>ZB088</t>
  </si>
  <si>
    <t>Kanyla ET 3,0 bez manž. 9336E</t>
  </si>
  <si>
    <t>Kanyla ET 3,0 bez manžety 9336E</t>
  </si>
  <si>
    <t>ZI235</t>
  </si>
  <si>
    <t>Komora Vilamed jednorázové samoplnící typ C200AF á 10 ks 500380</t>
  </si>
  <si>
    <t>ZC792</t>
  </si>
  <si>
    <t>Čidlo saturační jednorázové nellcor lepící pod 3 kg bal. á 24 ks 1776</t>
  </si>
  <si>
    <t>ZB128</t>
  </si>
  <si>
    <t>Kanyla ET 4,5 bez manž. 9345</t>
  </si>
  <si>
    <t>ZL326</t>
  </si>
  <si>
    <t>Manžeta TK dvouhadičková NIBP 6-11 cm k měření nepřímého tlaku u novorozence vel.3 bal. á 10 ks P04575</t>
  </si>
  <si>
    <t>ZJ060</t>
  </si>
  <si>
    <t>Nůžky oční zahnuté hrotnaté 11,5 cm 397113380091</t>
  </si>
  <si>
    <t>ZC222</t>
  </si>
  <si>
    <t>Kanyla TS 3,0 s manžetou 67P030</t>
  </si>
  <si>
    <t>ZB130</t>
  </si>
  <si>
    <t>Peán UH bal. á 50 ks RP88</t>
  </si>
  <si>
    <t>ZL887</t>
  </si>
  <si>
    <t>Kanyla nasální CPAP extra malá bal. á 10 ks 8888162024</t>
  </si>
  <si>
    <t>ZC134</t>
  </si>
  <si>
    <t>Manžeta TK novorozenecká č. 3 M1870A</t>
  </si>
  <si>
    <t>ZB228</t>
  </si>
  <si>
    <t>Systém hrudní drenáže Pleur-evac bal. á 6 ks pro děti A-6020-08LF</t>
  </si>
  <si>
    <t>ZL537</t>
  </si>
  <si>
    <t>Čidlo teplotní jednorázové bal. á 10 ks 6600-0873-700</t>
  </si>
  <si>
    <t>ZA400</t>
  </si>
  <si>
    <t>Sáček jímací dětský sterilní bal. á 10 ks 4425030</t>
  </si>
  <si>
    <t>ZL325</t>
  </si>
  <si>
    <t>Manžeta TK dvouhadičková NIBP 4-8 cm k měření nepřímého tlaku u novorozence vel.2 bal. á 10 ks P04574</t>
  </si>
  <si>
    <t>ZD271</t>
  </si>
  <si>
    <t>Držák láhve flovac-plast 100 11-5121 (300 970-010-210)</t>
  </si>
  <si>
    <t>ZF672</t>
  </si>
  <si>
    <t>Set resuscitační neonatální 1,2 m s variabilním PEEP 6431</t>
  </si>
  <si>
    <t>ZD406</t>
  </si>
  <si>
    <t>Okruh dýchací jednorázový neonatální 150 cm á 10 ks 305/8173</t>
  </si>
  <si>
    <t>ZM618</t>
  </si>
  <si>
    <t>Čidlo saturační neonatální iMEC 8 AL-110204M</t>
  </si>
  <si>
    <t>ZI032</t>
  </si>
  <si>
    <t>Láhev kojenecká sklo náhradní 125 ml á 54 ks KAVA632827090103</t>
  </si>
  <si>
    <t>ZC058</t>
  </si>
  <si>
    <t>Kapilára hep. litný 200 ul+drátek 125/200</t>
  </si>
  <si>
    <t>ZF039</t>
  </si>
  <si>
    <t>Dlaha splint-fix   9 k znehybnění zápěstí a kotníku při kanylaci bal. á 4 ks NKS:60-21</t>
  </si>
  <si>
    <t>ZL818</t>
  </si>
  <si>
    <t>Katetr umbilikální dvoucestný 1272.14</t>
  </si>
  <si>
    <t>ZC619</t>
  </si>
  <si>
    <t>Katetr pupeční žilní  F5/38 cm dvoucestný bal. á 5 ks 8888160556</t>
  </si>
  <si>
    <t>ZC628</t>
  </si>
  <si>
    <t>Katetr pupeční žilní  F3,5/38 cm jednocestný bal. á 10 ks 8888160333</t>
  </si>
  <si>
    <t>ZH961</t>
  </si>
  <si>
    <t xml:space="preserve">Katetr pupeční jednocestný průměr 5ch bal. á 10 ks 8888160341 </t>
  </si>
  <si>
    <t>ZA716</t>
  </si>
  <si>
    <t>Set infuzní intrafix 180 cm 4063002</t>
  </si>
  <si>
    <t>Set infuzní intrafix air bez PVC 180 cm 4063002</t>
  </si>
  <si>
    <t>Okruh resuscitační k přístr.neopuff infant res.RD 900 bal. á 10 ks 900 RD 010</t>
  </si>
  <si>
    <t>ZA878</t>
  </si>
  <si>
    <t>Šití etlon bl 4/0 bal. á 12 ks W319</t>
  </si>
  <si>
    <t>ZA834</t>
  </si>
  <si>
    <t>Jehla injekční 0,7 x   40 mm černá 4660021</t>
  </si>
  <si>
    <t>Jehla injekční 0,7 x 40 mm černá 4660021</t>
  </si>
  <si>
    <t>ZA999</t>
  </si>
  <si>
    <t>Jehla injekční 0,5 x   16 mm oranžová 4657853</t>
  </si>
  <si>
    <t>ZL071</t>
  </si>
  <si>
    <t>Rukavice operační gammex bez pudru PF EnLite vel. 6,5 353383</t>
  </si>
  <si>
    <t>DG383</t>
  </si>
  <si>
    <t>Bactec PEDS</t>
  </si>
  <si>
    <t>DG388</t>
  </si>
  <si>
    <t>Játrový bujon (10ml)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</si>
  <si>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</si>
  <si>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</si>
  <si>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</si>
  <si>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</si>
  <si>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</si>
  <si>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</si>
  <si>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</si>
  <si>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</si>
  <si>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DG427</t>
  </si>
  <si>
    <t>Printer paper OMNI/OMNI S, 6 Pcs</t>
  </si>
  <si>
    <t>DG424</t>
  </si>
  <si>
    <t>Autotrol plus B, level 2, 40 pcs</t>
  </si>
  <si>
    <t>DG423</t>
  </si>
  <si>
    <t>Autotrol plus B, level 1, 40 pcs</t>
  </si>
  <si>
    <t>DG422</t>
  </si>
  <si>
    <t>Sensor GLU/LAC</t>
  </si>
  <si>
    <t>DG419</t>
  </si>
  <si>
    <t>W Waste container, 2 Pcs</t>
  </si>
  <si>
    <t>DG425</t>
  </si>
  <si>
    <t>Autotrol plus B, level 3, 40 pcs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</si>
  <si>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</si>
  <si>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</si>
  <si>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</si>
  <si>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</si>
  <si>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</si>
  <si>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</si>
  <si>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</si>
  <si>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</si>
  <si>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</si>
  <si>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</si>
  <si>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50115063</t>
  </si>
  <si>
    <t>528 SZM sety (112 02 105)</t>
  </si>
  <si>
    <t>50115040</t>
  </si>
  <si>
    <t>505 SZM laboratorní sklo a materiál (112 02 140)</t>
  </si>
  <si>
    <t>50115004</t>
  </si>
  <si>
    <t>506 SZM umělé tělní náhrady kovové (112 02 030)</t>
  </si>
  <si>
    <t>50115070</t>
  </si>
  <si>
    <t>513 SZM katetry, stenty, porty (112 02 101)</t>
  </si>
  <si>
    <t>50115064</t>
  </si>
  <si>
    <t>529 SZM šicí materiál (112 02 106)</t>
  </si>
  <si>
    <t>Spotřeba zdravotnického materiálu - orientační přehled</t>
  </si>
  <si>
    <t>ON Data</t>
  </si>
  <si>
    <t>08 - Porodnicko-gynekologická klinika</t>
  </si>
  <si>
    <t>08</t>
  </si>
  <si>
    <t>3T4</t>
  </si>
  <si>
    <t>V</t>
  </si>
  <si>
    <t>09544</t>
  </si>
  <si>
    <t>REGULAČNÍ POPLATEK ZA KAŽDÝ DEN LŮŽKOVÉ PÉČE -- PO</t>
  </si>
  <si>
    <t>301</t>
  </si>
  <si>
    <t>31022</t>
  </si>
  <si>
    <t>CÍLENÉ VYŠETŘENÍ DĚTSKÝM LÉKAŘEM</t>
  </si>
  <si>
    <t>31021</t>
  </si>
  <si>
    <t>KOMPLEXNÍ VYŠETŘENÍ DĚTSKÝM LÉKAŘEM</t>
  </si>
  <si>
    <t>3F4</t>
  </si>
  <si>
    <t>1</t>
  </si>
  <si>
    <t>0005114</t>
  </si>
  <si>
    <t>0014583</t>
  </si>
  <si>
    <t>0068999</t>
  </si>
  <si>
    <t>AMPICILIN 0,5 BIOTIKA</t>
  </si>
  <si>
    <t>0072973</t>
  </si>
  <si>
    <t>0077044</t>
  </si>
  <si>
    <t>0092206</t>
  </si>
  <si>
    <t>AUGMENTIN 600 MG</t>
  </si>
  <si>
    <t>0092289</t>
  </si>
  <si>
    <t>EDICIN 0,5 G</t>
  </si>
  <si>
    <t>0094176</t>
  </si>
  <si>
    <t>CEFOTAXIME LEK 1 G PRÁŠEK PRO INJEKČNÍ ROZTOK</t>
  </si>
  <si>
    <t>0096413</t>
  </si>
  <si>
    <t>GENTAMICIN LEK 40 MG/2 ML</t>
  </si>
  <si>
    <t>0164350</t>
  </si>
  <si>
    <t>TAZOCIN 4 G/0,5 G</t>
  </si>
  <si>
    <t>0107854</t>
  </si>
  <si>
    <t>2</t>
  </si>
  <si>
    <t>0007957</t>
  </si>
  <si>
    <t xml:space="preserve"> </t>
  </si>
  <si>
    <t>Erytrocyty deleukotizované</t>
  </si>
  <si>
    <t>0107960</t>
  </si>
  <si>
    <t>Trombocyty z aferézy deleukotizované</t>
  </si>
  <si>
    <t>0407942</t>
  </si>
  <si>
    <t>Příplatek za ozáření</t>
  </si>
  <si>
    <t>00631</t>
  </si>
  <si>
    <t>OD TYPU 31 - PRO NEMOCNICE TYPU 3, (KATEGORIE 6)</t>
  </si>
  <si>
    <t>09227</t>
  </si>
  <si>
    <t>I. V. APLIKACE KRVE NEBO KREVNÍCH DERIVÁTŮ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</si>
  <si>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</si>
  <si>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</si>
  <si>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</si>
  <si>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</si>
  <si>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</si>
  <si>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</si>
  <si>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</si>
  <si>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</si>
  <si>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</si>
  <si>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>(VZP) PORODNÍ VÁHA NOVOROZENCE NAD 2499 GRAMŮ</t>
  </si>
  <si>
    <t>99999</t>
  </si>
  <si>
    <t>Nespecifikovany vykon</t>
  </si>
  <si>
    <t>31011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</si>
  <si>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</si>
  <si>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</si>
  <si>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</si>
  <si>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</si>
  <si>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</si>
  <si>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</si>
  <si>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34451</t>
  </si>
  <si>
    <t>(VZP) PORODNÍ VÁHA NOVOROZENCE OD 750 DO 999 GRAMŮ</t>
  </si>
  <si>
    <t>09213</t>
  </si>
  <si>
    <t>NEODKLADNÁ KARDIOPULMONÁLNÍ RESUSCITACE ZÁKLADNÍ Á</t>
  </si>
  <si>
    <t>0001619</t>
  </si>
  <si>
    <t>0003952</t>
  </si>
  <si>
    <t>AMIKIN 500 MG</t>
  </si>
  <si>
    <t>0011592</t>
  </si>
  <si>
    <t>METRONIDAZOL B. BRAUN 5 MG/ML</t>
  </si>
  <si>
    <t>0015273</t>
  </si>
  <si>
    <t>SULPERAZON 2 G IM/IV</t>
  </si>
  <si>
    <t>0017810</t>
  </si>
  <si>
    <t>0026039</t>
  </si>
  <si>
    <t>KIOVIG 100MG/ML</t>
  </si>
  <si>
    <t>KIOVIG 100 MG/ML</t>
  </si>
  <si>
    <t>0027636</t>
  </si>
  <si>
    <t>SYNAGI</t>
  </si>
  <si>
    <t>SYNAGIS 100 MG</t>
  </si>
  <si>
    <t>0042144</t>
  </si>
  <si>
    <t>HUMAN ALBUMIN GRIFOLS 20%</t>
  </si>
  <si>
    <t>0049193</t>
  </si>
  <si>
    <t>CEFTAX 1000</t>
  </si>
  <si>
    <t>0056801</t>
  </si>
  <si>
    <t>0059830</t>
  </si>
  <si>
    <t>CIPRINOL 200 MG/100 ML</t>
  </si>
  <si>
    <t>0065989</t>
  </si>
  <si>
    <t>0083050</t>
  </si>
  <si>
    <t>0083487</t>
  </si>
  <si>
    <t>MERONEM 500 MG</t>
  </si>
  <si>
    <t>0087226</t>
  </si>
  <si>
    <t>0131654</t>
  </si>
  <si>
    <t>CEFTAZIDIM KABI 1 GM</t>
  </si>
  <si>
    <t>0137484</t>
  </si>
  <si>
    <t>ANBINEX</t>
  </si>
  <si>
    <t>0137499</t>
  </si>
  <si>
    <t>0142077</t>
  </si>
  <si>
    <t>ATENATIV</t>
  </si>
  <si>
    <t>0076355</t>
  </si>
  <si>
    <t>FORTUM 500 MG</t>
  </si>
  <si>
    <t>0007955</t>
  </si>
  <si>
    <t>0207921</t>
  </si>
  <si>
    <t>Plazma čerstvá zmrazená</t>
  </si>
  <si>
    <t>0107961</t>
  </si>
  <si>
    <t>3</t>
  </si>
  <si>
    <t>0012999</t>
  </si>
  <si>
    <t>STAPLER LINEÁRNÍ S BŘITEM TCT55 TLC55</t>
  </si>
  <si>
    <t>0068197</t>
  </si>
  <si>
    <t>SYSTÉM HYDROCEPHALNÍ DRENÁŽNÍ</t>
  </si>
  <si>
    <t>0069598</t>
  </si>
  <si>
    <t>SYSTÉM HYDROCEPHALNÍ DRENÁŽNÍ-SHUNT</t>
  </si>
  <si>
    <t>0095636</t>
  </si>
  <si>
    <t>SYSTÉM HYDROCEPHALNÍ DRENÁŽNÍ - SHUNT HAKIM BACTIS</t>
  </si>
  <si>
    <t>0095661</t>
  </si>
  <si>
    <t>SYSTÉM ZEVNÍ DRENÁŽNÍ LIKVOROVÝ DOČASNÝ CODMAN</t>
  </si>
  <si>
    <t>00671</t>
  </si>
  <si>
    <t>OD TYPU 71 - PRO NEMOCNICE TYPU 3, (KATEGORIE 6) -</t>
  </si>
  <si>
    <t>00675</t>
  </si>
  <si>
    <t>OD TYPU 75 - PRO NEMOCNICE TYPU 3, (KATEGORIE 6) -</t>
  </si>
  <si>
    <t>09547</t>
  </si>
  <si>
    <t>REGULAČNÍ POPLATEK -- POJIŠTĚNEC OD ÚHRADY POPLATK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</si>
  <si>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</si>
  <si>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</si>
  <si>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</si>
  <si>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</si>
  <si>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</si>
  <si>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(VZP) PORODNÍ VÁHA NOVOROZENCE POD 750 GRAMŮ</t>
  </si>
  <si>
    <t>99991</t>
  </si>
  <si>
    <t>(VZP) KÓD POUZE PRO CENTRA DLE VYHL. 368/2006 - SL</t>
  </si>
  <si>
    <t>90906</t>
  </si>
  <si>
    <t>90907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</si>
  <si>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</si>
  <si>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</si>
  <si>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</si>
  <si>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</si>
  <si>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</si>
  <si>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</si>
  <si>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34452</t>
  </si>
  <si>
    <t>(VZP) PORODNÍ VÁHA NOVOROZENCE OD 1000 DO 1499 GRA</t>
  </si>
  <si>
    <t>78310</t>
  </si>
  <si>
    <t xml:space="preserve">NEODKLADNÁ KARDIOPULMONÁLNÍ RESUSCITACE ROZŠÍŘENÁ </t>
  </si>
  <si>
    <t>78320</t>
  </si>
  <si>
    <t>90905</t>
  </si>
  <si>
    <t>90955</t>
  </si>
  <si>
    <t>(DRG) VENTILAČNÍ PODPORA U NOVOROZENCŮ</t>
  </si>
  <si>
    <t>501</t>
  </si>
  <si>
    <t>51386</t>
  </si>
  <si>
    <t>SUTURA EV. EXCIZE A SUTURA LÉZE STĚNY ŽALUDKU NEBO</t>
  </si>
  <si>
    <t>APENDEKTOMIE NEBO OPERAČNÍ DRENÁŽ PERIAPENDIKULÁRN</t>
  </si>
  <si>
    <t>52221</t>
  </si>
  <si>
    <t>ATRESIE TENKÉHO STŘEVA VČETNĚ DUODENA U NOVOROZENC</t>
  </si>
  <si>
    <t>5F1</t>
  </si>
  <si>
    <t>51353</t>
  </si>
  <si>
    <t>PUNKCE, ODSÁTÍ TENKÉHO STŘEVA, MANIPULACE SE STŘEV</t>
  </si>
  <si>
    <t>51359</t>
  </si>
  <si>
    <t>RESEKCE A ANASTOMÓZA TLUSTÉHO STŘEVA NEBO REKTOSIG</t>
  </si>
  <si>
    <t>51383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</si>
  <si>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</si>
  <si>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</si>
  <si>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</si>
  <si>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</si>
  <si>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</si>
  <si>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52219</t>
  </si>
  <si>
    <t>OPERACE PRO NEKROTIZUJÍCÍ ENTEROKOLIDU</t>
  </si>
  <si>
    <t>54930</t>
  </si>
  <si>
    <t xml:space="preserve">VYSOKÁ LIGATURA VENAE SAPHENAE MAGNAE + STRIPPING </t>
  </si>
  <si>
    <t>51355</t>
  </si>
  <si>
    <t>DVOJ - A VÍCENÁSOBNÁ RESEKCE A (NEBO) ANASTOMÓZA T</t>
  </si>
  <si>
    <t>51361</t>
  </si>
  <si>
    <t>KOLEKTOMIE SUBTOTÁLNÍ S ILEOSTOMIÍ A UZÁVĚREM REKT</t>
  </si>
  <si>
    <t>52231</t>
  </si>
  <si>
    <t>OPERACE OMFALOKÉLY NEBO GASTROSCHÍZY</t>
  </si>
  <si>
    <t>52237</t>
  </si>
  <si>
    <t xml:space="preserve">KOREKCE VYSOKÉ VROZENÉ ANOREKTÁLNÍ NEPRŮCHODNOSTI </t>
  </si>
  <si>
    <t>5F6</t>
  </si>
  <si>
    <t>56163</t>
  </si>
  <si>
    <t>ZEVNÍ KOMOROVÁ DRENÁŽ NEBO ZAVEDENÍ ČIDLA NA MĚŘEN</t>
  </si>
  <si>
    <t>56125</t>
  </si>
  <si>
    <t>OPERAČNÍ REVIZE NEBO ZAVEDENÍ DRENÁŽE MOZKOMÍŠNÍHO</t>
  </si>
  <si>
    <t>56111</t>
  </si>
  <si>
    <t>ZAVEDENÍ RESERVOÁRU LIKVORU OMMAYA VČETNĚ NÁVRTU</t>
  </si>
  <si>
    <t>606</t>
  </si>
  <si>
    <t>66021</t>
  </si>
  <si>
    <t>KOMPLEXNÍ VYŠETŘENÍ ORTOPEDEM</t>
  </si>
  <si>
    <t>66031</t>
  </si>
  <si>
    <t>PREVENTIVNÍ VYŠETŘENÍ KYČELNÍCH KLOUBŮ U KOJENCE</t>
  </si>
  <si>
    <t>7F6</t>
  </si>
  <si>
    <t>76439</t>
  </si>
  <si>
    <t>ORCHIECTOMIE JEDNOSTRANNÁ</t>
  </si>
  <si>
    <t>Zdravotní výkony vykázané na pracovišti pro pacienty hospitalizované ve FNOL - orientační přehled</t>
  </si>
  <si>
    <t>00042</t>
  </si>
  <si>
    <t>A</t>
  </si>
  <si>
    <t xml:space="preserve">DLOUHODOBÁ MECHANICKÁ VENTILACE &gt; 240 HODIN (11-21 DNÍ) S CC                                        </t>
  </si>
  <si>
    <t>00043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</si>
  <si>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</si>
  <si>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</si>
  <si>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</si>
  <si>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</si>
  <si>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</si>
  <si>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</si>
  <si>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</si>
  <si>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00060</t>
  </si>
  <si>
    <t xml:space="preserve">DLOUHODOBÁ MECHANICKÁ VENTILACE &gt; 1800 HODIN (VÍCE NEŽ 75 DNÍ)                                      </t>
  </si>
  <si>
    <t>00090</t>
  </si>
  <si>
    <t xml:space="preserve">DLOUHODOBÁ MECHANICKÁ VENTILACE &gt; 1008 HODIN (43-75 DNÍ)                                            </t>
  </si>
  <si>
    <t>00110</t>
  </si>
  <si>
    <t xml:space="preserve">DLOUHODOBÁ MECHANICKÁ VENTILACE &gt; 504 HODIN (22-42 DNÍ)                                             </t>
  </si>
  <si>
    <t>00123</t>
  </si>
  <si>
    <t xml:space="preserve">DLOUHODOBÁ MECHANICKÁ VENTILACE &gt; 240 HODIN (11-21 DNÍ) S EKONOMICKY NÁROČNÝM VÝKONEM S MCC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</si>
  <si>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</si>
  <si>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</si>
  <si>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</si>
  <si>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</si>
  <si>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10302</t>
  </si>
  <si>
    <t xml:space="preserve">DIABETES. NUTRIČNÍ A JINÉ METABOLICKÉ PORUCHY S CC                                                  </t>
  </si>
  <si>
    <t>15601</t>
  </si>
  <si>
    <t xml:space="preserve">NOVOROZENEC. MRTVÝ NEBO PŘELOŽENÝ &lt;= 5 DNÍ BEZ CC                                                   </t>
  </si>
  <si>
    <t>15602</t>
  </si>
  <si>
    <t xml:space="preserve">NOVOROZENEC. MRTVÝ NEBO PŘELOŽENÝ &lt;= 5 DNÍ S CC                                                     </t>
  </si>
  <si>
    <t>15603</t>
  </si>
  <si>
    <t xml:space="preserve">NOVOROZENEC. MRTVÝ NEBO PŘELOŽENÝ &lt;= 5 DNÍ S MCC                                                    </t>
  </si>
  <si>
    <t>15623</t>
  </si>
  <si>
    <t xml:space="preserve">NOVOROZENEC. VÁHA PŘI PORODU &lt;=1000G. SE ZÁKLADNÍM VÝKONEM S MCC                                    </t>
  </si>
  <si>
    <t>15632</t>
  </si>
  <si>
    <t xml:space="preserve">NOVOROZENEC. VÁHA PŘI PORODU &lt;=1000G. BEZ ZÁKLADNÍHO VÝKONU S CC                                    </t>
  </si>
  <si>
    <t>15633</t>
  </si>
  <si>
    <t xml:space="preserve">NOVOROZENEC. VÁHA PŘI PORODU &lt;=1000G. BEZ ZÁKLADNÍHO VÝKONU S MCC                                   </t>
  </si>
  <si>
    <t>15652</t>
  </si>
  <si>
    <t xml:space="preserve">NOVOROZENEC. VÁHA PŘI PORODU 1000-1499G. BEZ ZÁKLADNÍHO VÝKONU S CC                                 </t>
  </si>
  <si>
    <t>15653</t>
  </si>
  <si>
    <t xml:space="preserve">NOVOROZENEC. VÁHA PŘI PORODU 1000-1499G. BEZ ZÁKLADNÍHO VÝKONU S MCC                                </t>
  </si>
  <si>
    <t>15671</t>
  </si>
  <si>
    <t xml:space="preserve">NOVOROZENEC. VÁHA PŘI PORODU 1500-1999G. BEZ ZÁKLADNÍHO VÝKONU BEZ CC                               </t>
  </si>
  <si>
    <t>15672</t>
  </si>
  <si>
    <t xml:space="preserve">NOVOROZENEC. VÁHA PŘI PORODU 1500-1999G. BEZ ZÁKLADNÍHO VÝKONU S CC                                 </t>
  </si>
  <si>
    <t>15673</t>
  </si>
  <si>
    <t xml:space="preserve">NOVOROZENEC. VÁHA PŘI PORODU 1500-1999G. BEZ ZÁKLADNÍHO VÝKONU S MCC                                </t>
  </si>
  <si>
    <t>15691</t>
  </si>
  <si>
    <t xml:space="preserve">NOVOROZENEC. VÁHA PŘI PORODU 2000-2499G. BEZ ZÁKLADNÍHO VÝKONU BEZ CC                               </t>
  </si>
  <si>
    <t>15692</t>
  </si>
  <si>
    <t xml:space="preserve">NOVOROZENEC. VÁHA PŘI PORODU 2000-2499G. BEZ ZÁKLADNÍHO VÝKONU S CC                                 </t>
  </si>
  <si>
    <t>15693</t>
  </si>
  <si>
    <t xml:space="preserve">NOVOROZENEC. VÁHA PŘI PORODU 2000-2499G. BEZ ZÁKLADNÍHO VÝKONU S MCC                                </t>
  </si>
  <si>
    <t>15702</t>
  </si>
  <si>
    <t xml:space="preserve">NOVOROZENEC. VÁHA PŘI PORODU &gt;2499G. SE ZÁKLADNÍM VÝKONEM S CC                                      </t>
  </si>
  <si>
    <t>15703</t>
  </si>
  <si>
    <t xml:space="preserve">NOVOROZENEC. VÁHA PŘI PORODU &gt;2499G. SE ZÁKLADNÍM VÝKONEM S MCC                                     </t>
  </si>
  <si>
    <t>15711</t>
  </si>
  <si>
    <t xml:space="preserve">NOVOROZENEC. VÁHA PŘI PORODU &gt;2499G. S VÁŽNOU ANOMÁLIÍ NEBO DĚDIČNÝM STAVEM BEZ CC                  </t>
  </si>
  <si>
    <t>15712</t>
  </si>
  <si>
    <t xml:space="preserve">NOVOROZENEC. VÁHA PŘI PORODU &gt;2499G. S VÁŽNOU ANOMÁLIÍ NEBO DĚDIČNÝM STAVEM S CC                    </t>
  </si>
  <si>
    <t>15713</t>
  </si>
  <si>
    <t xml:space="preserve">NOVOROZENEC. VÁHA PŘI PORODU &gt;2499G. S VÁŽNOU ANOMÁLIÍ NEBO DĚDIČNÝM STAVEM S MCC                   </t>
  </si>
  <si>
    <t>15720</t>
  </si>
  <si>
    <t xml:space="preserve">NOVOROZENEC. VÁHA PŘI PORODU &gt; 2499G. SE SYNDROMEM DÝCHACÍCH POTÍŽÍ                                 </t>
  </si>
  <si>
    <t>15732</t>
  </si>
  <si>
    <t xml:space="preserve">NOVOROZENEC. VÁHA PŘI PORODU &gt; 2499G. S ASPIRAČNÍM SYNDROMEM S CC                                   </t>
  </si>
  <si>
    <t>15741</t>
  </si>
  <si>
    <t xml:space="preserve">NOVOROZENEC. VÁHA PŘI PORODU &gt; 2499G. S VROZENOU NEBO PERINATÁLNÍ INFEKCÍ BEZ CC                    </t>
  </si>
  <si>
    <t>15742</t>
  </si>
  <si>
    <t xml:space="preserve">NOVOROZENEC. VÁHA PŘI PORODU &gt; 2499G. S VROZENOU NEBO PERINATÁLNÍ INFEKCÍ S CC                      </t>
  </si>
  <si>
    <t>15743</t>
  </si>
  <si>
    <t xml:space="preserve">NOVOROZENEC. VÁHA PŘI PORODU &gt; 2499G. S VROZENOU NEBO PERINATÁLNÍ INFEKCÍ S MCC                     </t>
  </si>
  <si>
    <t>15751</t>
  </si>
  <si>
    <t xml:space="preserve">NOVOROZENEC. VÁHA PŘI PORODU &gt; 2499G. BEZ ZÁKLADNÍHO VÝKONU BEZ CC                                  </t>
  </si>
  <si>
    <t>15752</t>
  </si>
  <si>
    <t xml:space="preserve">NOVOROZENEC. VÁHA PŘI PORODU &gt; 2499G. BEZ ZÁKLADNÍHO VÝKONU S CC                                    </t>
  </si>
  <si>
    <t>15753</t>
  </si>
  <si>
    <t xml:space="preserve">NOVOROZENEC. VÁHA PŘI PORODU &gt; 2499G. BEZ ZÁKLADNÍHO VÝKONU S MCC          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</si>
  <si>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</si>
  <si>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</si>
  <si>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</si>
  <si>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</si>
  <si>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</si>
  <si>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</si>
  <si>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</si>
  <si>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</si>
  <si>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</si>
  <si>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</si>
  <si>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</si>
  <si>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</si>
  <si>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</si>
  <si>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</si>
  <si>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</si>
  <si>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</si>
  <si>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603</t>
  </si>
  <si>
    <t>82056</t>
  </si>
  <si>
    <t>MIKROSKOPICKÉ STANOVENÍ MIKROBIÁLNÍHO OBRAZU POŠEV</t>
  </si>
  <si>
    <t>12</t>
  </si>
  <si>
    <t>706</t>
  </si>
  <si>
    <t>89169</t>
  </si>
  <si>
    <t>CYSTOURETROGRAFIE</t>
  </si>
  <si>
    <t>28</t>
  </si>
  <si>
    <t>816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</si>
  <si>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</si>
  <si>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</si>
  <si>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</si>
  <si>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</si>
  <si>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</si>
  <si>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</si>
  <si>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94123</t>
  </si>
  <si>
    <t>PCR ANALÝZA LIDSKÉ DNA</t>
  </si>
  <si>
    <t>94129</t>
  </si>
  <si>
    <t>RUTINNÍ VYŠETŘENÍ CHROMOZOMU Z PERIFERNÍ KRVE</t>
  </si>
  <si>
    <t>32</t>
  </si>
  <si>
    <t>94191</t>
  </si>
  <si>
    <t>FOTOGRAFIE GELU</t>
  </si>
  <si>
    <t>94193</t>
  </si>
  <si>
    <t>ELEKTROFORÉZA NUKLEOVÝCH KYSELIN</t>
  </si>
  <si>
    <t>94199</t>
  </si>
  <si>
    <t>AMPLIFIKACE METODOU PCR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</si>
  <si>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</si>
  <si>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</si>
  <si>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</si>
  <si>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</si>
  <si>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</si>
  <si>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</si>
  <si>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</si>
  <si>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</si>
  <si>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</si>
  <si>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</si>
  <si>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</si>
  <si>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</si>
  <si>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</si>
  <si>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</si>
  <si>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</si>
  <si>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</si>
  <si>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</si>
  <si>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</si>
  <si>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</si>
  <si>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</si>
  <si>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</si>
  <si>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</si>
  <si>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</si>
  <si>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</si>
  <si>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</si>
  <si>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</si>
  <si>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</si>
  <si>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</si>
  <si>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</si>
  <si>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</si>
  <si>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</si>
  <si>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</si>
  <si>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</si>
  <si>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</si>
  <si>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</si>
  <si>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</si>
  <si>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</si>
  <si>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</si>
  <si>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</si>
  <si>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</si>
  <si>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</si>
  <si>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</si>
  <si>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</si>
  <si>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</si>
  <si>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</si>
  <si>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</si>
  <si>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</si>
  <si>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</si>
  <si>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</si>
  <si>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</si>
  <si>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</si>
  <si>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96143</t>
  </si>
  <si>
    <t>T - PA AG</t>
  </si>
  <si>
    <t>96149</t>
  </si>
  <si>
    <t>PAI  ANTIGEN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</si>
  <si>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</si>
  <si>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</si>
  <si>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</si>
  <si>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</si>
  <si>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</si>
  <si>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</si>
  <si>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</si>
  <si>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</si>
  <si>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</si>
  <si>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</si>
  <si>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</si>
  <si>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</si>
  <si>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</si>
  <si>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</si>
  <si>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</si>
  <si>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</si>
  <si>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</si>
  <si>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</si>
  <si>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</si>
  <si>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</si>
  <si>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</si>
  <si>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</si>
  <si>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81221</t>
  </si>
  <si>
    <t>POTNÍ TEST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</si>
  <si>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</si>
  <si>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</si>
  <si>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</si>
  <si>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</si>
  <si>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</si>
  <si>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</si>
  <si>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81331</t>
  </si>
  <si>
    <t>ALBUMIN V MOZKOMÍŠNÍM MOKU</t>
  </si>
  <si>
    <t>81341</t>
  </si>
  <si>
    <t>AMONIAK</t>
  </si>
  <si>
    <t>81351</t>
  </si>
  <si>
    <t>ANDROSTENDION</t>
  </si>
  <si>
    <t>81377</t>
  </si>
  <si>
    <t>SACHARIDY TENKOVRSTEVNOU CHROMATOGRAFIÍ V MOČI</t>
  </si>
  <si>
    <t>81391</t>
  </si>
  <si>
    <t>DISACHARIDY</t>
  </si>
  <si>
    <t>81427</t>
  </si>
  <si>
    <t>FOSFOR ANORGANICKÝ</t>
  </si>
  <si>
    <t>81451</t>
  </si>
  <si>
    <t>HEMOGLOBIN VOLNÝ V PLAZMĚ</t>
  </si>
  <si>
    <t>81481</t>
  </si>
  <si>
    <t>AMYLÁZA PANKREATICKÁ</t>
  </si>
  <si>
    <t>81487</t>
  </si>
  <si>
    <t>KARNITIN</t>
  </si>
  <si>
    <t>81521</t>
  </si>
  <si>
    <t>LAKTÁT (KYSELINA MLÉČNÁ)</t>
  </si>
  <si>
    <t>81527</t>
  </si>
  <si>
    <t>CHOLESTEROL LDL</t>
  </si>
  <si>
    <t>81561</t>
  </si>
  <si>
    <t>PRŮKAZ OKULTNÍHO KRVÁCENÍ</t>
  </si>
  <si>
    <t>81641</t>
  </si>
  <si>
    <t>ŽELEZO CELKOVÉ</t>
  </si>
  <si>
    <t>81651</t>
  </si>
  <si>
    <t xml:space="preserve">VYŠETŘENÍ DĚDIČNÝCH PORUCH METABOLISMU (DÁLE DPM) 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</si>
  <si>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</si>
  <si>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</si>
  <si>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</si>
  <si>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</si>
  <si>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</si>
  <si>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</si>
  <si>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</si>
  <si>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</si>
  <si>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</si>
  <si>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</si>
  <si>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87421</t>
  </si>
  <si>
    <t>CYTOLOGICKÉ NÁTĚRY SEDIMENTU CENTRIFUGOVANÉ TEKUTI</t>
  </si>
  <si>
    <t>87433</t>
  </si>
  <si>
    <t>STANDARDNÍ CYTOLOGICKÉ BARVENÍ,  ZA 1-3 PREPARÁTY</t>
  </si>
  <si>
    <t>91137</t>
  </si>
  <si>
    <t>STANOVENÍ TRANSFERINU</t>
  </si>
  <si>
    <t>91141</t>
  </si>
  <si>
    <t>STANOVENÍ CERULOPLASMINU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</si>
  <si>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</si>
  <si>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</si>
  <si>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</si>
  <si>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</si>
  <si>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</si>
  <si>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</si>
  <si>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</si>
  <si>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</si>
  <si>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</si>
  <si>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</si>
  <si>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</si>
  <si>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</si>
  <si>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</si>
  <si>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</si>
  <si>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</si>
  <si>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</si>
  <si>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</si>
  <si>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</si>
  <si>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</si>
  <si>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</si>
  <si>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</si>
  <si>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</si>
  <si>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</si>
  <si>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</si>
  <si>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</si>
  <si>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</si>
  <si>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</si>
  <si>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</si>
  <si>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</si>
  <si>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</si>
  <si>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</si>
  <si>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</si>
  <si>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</si>
  <si>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</si>
  <si>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</si>
  <si>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</si>
  <si>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</si>
  <si>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</si>
  <si>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</si>
  <si>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</si>
  <si>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</si>
  <si>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</si>
  <si>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</si>
  <si>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</si>
  <si>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</si>
  <si>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</si>
  <si>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</si>
  <si>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</si>
  <si>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</si>
  <si>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</si>
  <si>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</si>
  <si>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</si>
  <si>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</si>
  <si>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</si>
  <si>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</si>
  <si>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</si>
  <si>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</si>
  <si>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</si>
  <si>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</si>
  <si>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</si>
  <si>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</si>
  <si>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</si>
  <si>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</si>
  <si>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</si>
  <si>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</si>
  <si>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</si>
  <si>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</si>
  <si>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</si>
  <si>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</si>
  <si>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</si>
  <si>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</si>
  <si>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</si>
  <si>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</si>
  <si>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</si>
  <si>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</si>
  <si>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</si>
  <si>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</si>
  <si>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</si>
  <si>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</si>
  <si>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</si>
  <si>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</si>
  <si>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</si>
  <si>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</si>
  <si>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</si>
  <si>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</si>
  <si>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</si>
  <si>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</si>
  <si>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</si>
  <si>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</si>
  <si>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</si>
  <si>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</si>
  <si>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</si>
  <si>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</si>
  <si>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</si>
  <si>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</si>
  <si>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</si>
  <si>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</si>
  <si>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</si>
  <si>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</si>
  <si>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</si>
  <si>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</si>
  <si>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</si>
  <si>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</si>
  <si>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</si>
  <si>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</si>
  <si>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</si>
  <si>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</si>
  <si>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</si>
  <si>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</si>
  <si>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</si>
  <si>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</si>
  <si>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</si>
  <si>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81533</t>
  </si>
  <si>
    <t>LIPÁZA</t>
  </si>
  <si>
    <t>81339</t>
  </si>
  <si>
    <t>AMINOKYSELINY STANOVENÍ CELKOVÉHO SPEKTRA V BIOLOG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</si>
  <si>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</si>
  <si>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</si>
  <si>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</si>
  <si>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</si>
  <si>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</si>
  <si>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</si>
  <si>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</si>
  <si>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</si>
  <si>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</si>
  <si>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</si>
  <si>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</si>
  <si>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</si>
  <si>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</si>
  <si>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</si>
  <si>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94189</t>
  </si>
  <si>
    <t>HYBRIDIZACE DNA SE ZNAČENOU SONDOU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</si>
  <si>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</si>
  <si>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</si>
  <si>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</si>
  <si>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</si>
  <si>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</si>
  <si>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</si>
  <si>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</si>
  <si>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</si>
  <si>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</si>
  <si>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</si>
  <si>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</si>
  <si>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</si>
  <si>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</si>
  <si>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</si>
  <si>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</si>
  <si>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</si>
  <si>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</si>
  <si>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</si>
  <si>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</si>
  <si>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</si>
  <si>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</si>
  <si>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</si>
  <si>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</si>
  <si>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</si>
  <si>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</si>
  <si>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81733</t>
  </si>
  <si>
    <t>KVANTITATIVNÍ STANOVENÍ KRVE VE STOLICI NA ANALYZÁ</t>
  </si>
  <si>
    <t>81659</t>
  </si>
  <si>
    <t>VYŠETŘENÍ DPM, STANOVENÍ METABOLITU PLYNOVOU CHROM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</si>
  <si>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</si>
  <si>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</si>
  <si>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</si>
  <si>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</si>
  <si>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</si>
  <si>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</si>
  <si>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</si>
  <si>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</si>
  <si>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</si>
  <si>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</si>
  <si>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81489</t>
  </si>
  <si>
    <t>KATECHOLAMIN A JEHO METABOLITY</t>
  </si>
  <si>
    <t>93179</t>
  </si>
  <si>
    <t>PLAZMATICKÁ RENINOVÁ AKTIVITA (PRA)</t>
  </si>
  <si>
    <t>81725</t>
  </si>
  <si>
    <t>KVANTITATIVNÍ STANOVENÍ ELASTÁSY 1 (PANKREATICKÉHO</t>
  </si>
  <si>
    <t>813</t>
  </si>
  <si>
    <t>91197</t>
  </si>
  <si>
    <t>STANOVENÍ CYTOKINU ELISA</t>
  </si>
  <si>
    <t>34</t>
  </si>
  <si>
    <t>809</t>
  </si>
  <si>
    <t>0001733</t>
  </si>
  <si>
    <t>XENETIX 300</t>
  </si>
  <si>
    <t>0022075</t>
  </si>
  <si>
    <t>IOMERON 400</t>
  </si>
  <si>
    <t>0042433</t>
  </si>
  <si>
    <t>VISIPAQUE 320 MG I/ML</t>
  </si>
  <si>
    <t>0045119</t>
  </si>
  <si>
    <t>VISIPAQUE 270 MG I/ML</t>
  </si>
  <si>
    <t>0045123</t>
  </si>
  <si>
    <t>0045124</t>
  </si>
  <si>
    <t>0065978</t>
  </si>
  <si>
    <t>DOTAREM</t>
  </si>
  <si>
    <t>0077015</t>
  </si>
  <si>
    <t>0077018</t>
  </si>
  <si>
    <t>ULTRAVIST 370</t>
  </si>
  <si>
    <t>0077019</t>
  </si>
  <si>
    <t>0077024</t>
  </si>
  <si>
    <t>ULTRAVIST 300</t>
  </si>
  <si>
    <t>0038482</t>
  </si>
  <si>
    <t>DRÁT VODÍCÍ GUIDE WIRE M</t>
  </si>
  <si>
    <t>0052140</t>
  </si>
  <si>
    <t>KATETR DILATAČNÍ PTA WANDA, SMASH</t>
  </si>
  <si>
    <t>0053563</t>
  </si>
  <si>
    <t>KATETR DIAGNOSTICKÝ TEMPO4F,5F</t>
  </si>
  <si>
    <t>0059345</t>
  </si>
  <si>
    <t>INDEFLÁTOR 622510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</si>
  <si>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</si>
  <si>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</si>
  <si>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</si>
  <si>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</si>
  <si>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</si>
  <si>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</si>
  <si>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</si>
  <si>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</si>
  <si>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</si>
  <si>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</si>
  <si>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</si>
  <si>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</si>
  <si>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</si>
  <si>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</si>
  <si>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89167</t>
  </si>
  <si>
    <t>CYSTOGRAFIE</t>
  </si>
  <si>
    <t>89337</t>
  </si>
  <si>
    <t xml:space="preserve">DILATACE STENÓZ JÍCNU, GASTROINTESTINÁLNÍ TRUBICE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</si>
  <si>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</si>
  <si>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</si>
  <si>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</si>
  <si>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</si>
  <si>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</si>
  <si>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</si>
  <si>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</si>
  <si>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</si>
  <si>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</si>
  <si>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</si>
  <si>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</si>
  <si>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</si>
  <si>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</si>
  <si>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</si>
  <si>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</si>
  <si>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</si>
  <si>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</si>
  <si>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</si>
  <si>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</si>
  <si>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</si>
  <si>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</si>
  <si>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</si>
  <si>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</si>
  <si>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</si>
  <si>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</si>
  <si>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</si>
  <si>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</si>
  <si>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</si>
  <si>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89155</t>
  </si>
  <si>
    <t>RTG VYŠETŘENÍ TLUSTÉHO STŘEVA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</si>
  <si>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</si>
  <si>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</si>
  <si>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</si>
  <si>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</si>
  <si>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</si>
  <si>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</si>
  <si>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</si>
  <si>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</si>
  <si>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</si>
  <si>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</si>
  <si>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</si>
  <si>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</si>
  <si>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</si>
  <si>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22319</t>
  </si>
  <si>
    <t>ELUCE ANTIERYTROCYTÁRNÍCH PROTILÁTEK METODOU MRAZO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</si>
  <si>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</si>
  <si>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</si>
  <si>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</si>
  <si>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</si>
  <si>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</si>
  <si>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</si>
  <si>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</si>
  <si>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</si>
  <si>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</si>
  <si>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</si>
  <si>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</si>
  <si>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</si>
  <si>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</si>
  <si>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</si>
  <si>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</si>
  <si>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</si>
  <si>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</si>
  <si>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</si>
  <si>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</si>
  <si>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</si>
  <si>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</si>
  <si>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</si>
  <si>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</si>
  <si>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</si>
  <si>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</si>
  <si>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</si>
  <si>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</si>
  <si>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</si>
  <si>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</si>
  <si>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</si>
  <si>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</si>
  <si>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</si>
  <si>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</si>
  <si>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</si>
  <si>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</si>
  <si>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</si>
  <si>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</si>
  <si>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</si>
  <si>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</si>
  <si>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</si>
  <si>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</si>
  <si>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</si>
  <si>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</si>
  <si>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</si>
  <si>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</si>
  <si>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</si>
  <si>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</si>
  <si>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</si>
  <si>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</si>
  <si>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</si>
  <si>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</si>
  <si>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</si>
  <si>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</si>
  <si>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</si>
  <si>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</si>
  <si>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</si>
  <si>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</si>
  <si>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</si>
  <si>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</si>
  <si>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</si>
  <si>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</si>
  <si>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</si>
  <si>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</si>
  <si>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</si>
  <si>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</si>
  <si>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</si>
  <si>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</si>
  <si>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</si>
  <si>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</si>
  <si>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</si>
  <si>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</si>
  <si>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</si>
  <si>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</si>
  <si>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</si>
  <si>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</si>
  <si>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</si>
  <si>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</si>
  <si>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</si>
  <si>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</si>
  <si>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</si>
  <si>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</si>
  <si>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</si>
  <si>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</si>
  <si>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</si>
  <si>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</si>
  <si>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</si>
  <si>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</si>
  <si>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</si>
  <si>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</si>
  <si>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</si>
  <si>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</si>
  <si>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</si>
  <si>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</si>
  <si>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</si>
  <si>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</si>
  <si>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</si>
  <si>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</si>
  <si>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</si>
  <si>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</si>
  <si>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</si>
  <si>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</si>
  <si>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</si>
  <si>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</si>
  <si>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</si>
  <si>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</si>
  <si>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82233</t>
  </si>
  <si>
    <t>IDENTIFIKACE MYKOPLASMAT</t>
  </si>
  <si>
    <t>82115</t>
  </si>
  <si>
    <t>PRŮKAZ VIROVÉHO ANTIGENU V BIOLOGICKÉM MATERIÁLU N</t>
  </si>
  <si>
    <t>82149</t>
  </si>
  <si>
    <t>SEROTYPIZACE STŘEVNÍCH A JINÝCH PATOGENŮ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</si>
  <si>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</si>
  <si>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</si>
  <si>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</si>
  <si>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</si>
  <si>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</si>
  <si>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</si>
  <si>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</si>
  <si>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91431</t>
  </si>
  <si>
    <t>ZVLÁŠTĚ NÁROČNÉ IZOLACE BUNĚK GRADIENTOVOU CENTRIF</t>
  </si>
  <si>
    <t>91567</t>
  </si>
  <si>
    <t>IMUNOANALYTICKÉ STANOVENÍ AUTOPROTILÁTEK</t>
  </si>
  <si>
    <t>91439</t>
  </si>
  <si>
    <t>IMUNOFENOTYPIZACE BUNĚČNÝCH SUBPOPULACÍ DLE POVRCH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</si>
  <si>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</si>
  <si>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</si>
  <si>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</si>
  <si>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</si>
  <si>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</si>
  <si>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</si>
  <si>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91133</t>
  </si>
  <si>
    <t>STANOVENÍ IgM</t>
  </si>
  <si>
    <t>91265</t>
  </si>
  <si>
    <t>STANOVENÍ ANTI SS-B/La Ab ELISA</t>
  </si>
  <si>
    <t>91263</t>
  </si>
  <si>
    <t>STANOVENÍ ANTI SS-A/Ro Ab ELISA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</si>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</sst>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7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8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8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0" fontId="46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2" xfId="0" applyNumberFormat="1" applyFont="1" applyFill="1" applyBorder="1" applyAlignment="1">
      <alignment horizontal="right" vertical="top"/>
    </xf>
    <xf numFmtId="3" fontId="36" fillId="10" borderId="113" xfId="0" applyNumberFormat="1" applyFont="1" applyFill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6" fillId="0" borderId="112" xfId="0" applyNumberFormat="1" applyFont="1" applyBorder="1" applyAlignment="1">
      <alignment horizontal="right" vertical="top"/>
    </xf>
    <xf numFmtId="176" fontId="36" fillId="10" borderId="115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3" fontId="38" fillId="10" borderId="118" xfId="0" applyNumberFormat="1" applyFont="1" applyFill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3" fontId="38" fillId="0" borderId="117" xfId="0" applyNumberFormat="1" applyFont="1" applyBorder="1" applyAlignment="1">
      <alignment horizontal="right" vertical="top"/>
    </xf>
    <xf numFmtId="0" fontId="38" fillId="10" borderId="120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0" fontId="36" fillId="10" borderId="115" xfId="0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176" fontId="38" fillId="10" borderId="120" xfId="0" applyNumberFormat="1" applyFont="1" applyFill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3" fontId="38" fillId="0" borderId="122" xfId="0" applyNumberFormat="1" applyFont="1" applyBorder="1" applyAlignment="1">
      <alignment horizontal="right" vertical="top"/>
    </xf>
    <xf numFmtId="0" fontId="38" fillId="0" borderId="123" xfId="0" applyFont="1" applyBorder="1" applyAlignment="1">
      <alignment horizontal="right" vertical="top"/>
    </xf>
    <xf numFmtId="176" fontId="38" fillId="10" borderId="124" xfId="0" applyNumberFormat="1" applyFont="1" applyFill="1" applyBorder="1" applyAlignment="1">
      <alignment horizontal="right" vertical="top"/>
    </xf>
    <xf numFmtId="0" fontId="40" fillId="11" borderId="111" xfId="0" applyFont="1" applyFill="1" applyBorder="1" applyAlignment="1">
      <alignment vertical="top"/>
    </xf>
    <xf numFmtId="0" fontId="40" fillId="11" borderId="111" xfId="0" applyFont="1" applyFill="1" applyBorder="1" applyAlignment="1">
      <alignment vertical="top" indent="2"/>
    </xf>
    <xf numFmtId="0" fontId="40" fillId="11" borderId="111" xfId="0" applyFont="1" applyFill="1" applyBorder="1" applyAlignment="1">
      <alignment vertical="top" indent="4"/>
    </xf>
    <xf numFmtId="0" fontId="41" fillId="11" borderId="116" xfId="0" applyFont="1" applyFill="1" applyBorder="1" applyAlignment="1">
      <alignment vertical="top" indent="6"/>
    </xf>
    <xf numFmtId="0" fontId="40" fillId="11" borderId="111" xfId="0" applyFont="1" applyFill="1" applyBorder="1" applyAlignment="1">
      <alignment vertical="top" indent="8"/>
    </xf>
    <xf numFmtId="0" fontId="41" fillId="11" borderId="116" xfId="0" applyFont="1" applyFill="1" applyBorder="1" applyAlignment="1">
      <alignment vertical="top" indent="2"/>
    </xf>
    <xf numFmtId="0" fontId="40" fillId="11" borderId="111" xfId="0" applyFont="1" applyFill="1" applyBorder="1" applyAlignment="1">
      <alignment vertical="top" indent="6"/>
    </xf>
    <xf numFmtId="0" fontId="41" fillId="11" borderId="116" xfId="0" applyFont="1" applyFill="1" applyBorder="1" applyAlignment="1">
      <alignment vertical="top" indent="4"/>
    </xf>
    <xf numFmtId="0" fontId="41" fillId="11" borderId="116" xfId="0" applyFont="1" applyFill="1" applyBorder="1" applyAlignment="1">
      <alignment vertical="top"/>
    </xf>
    <xf numFmtId="0" fontId="35" fillId="11" borderId="111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5" xfId="53" applyNumberFormat="1" applyFont="1" applyFill="1" applyBorder="1" applyAlignment="1">
      <alignment horizontal="left"/>
    </xf>
    <xf numFmtId="164" fontId="34" fillId="2" borderId="126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5" xfId="0" applyFont="1" applyFill="1" applyBorder="1"/>
    <xf numFmtId="3" fontId="42" fillId="2" borderId="127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77" xfId="0" applyNumberFormat="1" applyFont="1" applyFill="1" applyBorder="1"/>
    <xf numFmtId="9" fontId="35" fillId="0" borderId="87" xfId="0" applyNumberFormat="1" applyFont="1" applyFill="1" applyBorder="1"/>
    <xf numFmtId="9" fontId="35" fillId="0" borderId="80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8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26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5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8" xfId="0" applyNumberFormat="1" applyFont="1" applyFill="1" applyBorder="1"/>
    <xf numFmtId="9" fontId="35" fillId="0" borderId="81" xfId="0" applyNumberFormat="1" applyFont="1" applyFill="1" applyBorder="1"/>
    <xf numFmtId="0" fontId="42" fillId="0" borderId="108" xfId="0" applyFont="1" applyFill="1" applyBorder="1"/>
    <xf numFmtId="0" fontId="42" fillId="0" borderId="106" xfId="0" applyFont="1" applyFill="1" applyBorder="1" applyAlignment="1">
      <alignment horizontal="left" indent="1"/>
    </xf>
    <xf numFmtId="0" fontId="42" fillId="0" borderId="107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8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8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1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173" fontId="42" fillId="4" borderId="131" xfId="0" applyNumberFormat="1" applyFont="1" applyFill="1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6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6" xfId="0" applyNumberFormat="1" applyFont="1" applyBorder="1"/>
    <xf numFmtId="173" fontId="35" fillId="0" borderId="103" xfId="0" applyNumberFormat="1" applyFont="1" applyBorder="1"/>
    <xf numFmtId="9" fontId="35" fillId="0" borderId="101" xfId="0" applyNumberFormat="1" applyFont="1" applyBorder="1"/>
    <xf numFmtId="173" fontId="42" fillId="4" borderId="137" xfId="0" applyNumberFormat="1" applyFont="1" applyFill="1" applyBorder="1" applyAlignment="1">
      <alignment horizontal="center"/>
    </xf>
    <xf numFmtId="173" fontId="35" fillId="0" borderId="138" xfId="0" applyNumberFormat="1" applyFont="1" applyBorder="1" applyAlignment="1">
      <alignment horizontal="right"/>
    </xf>
    <xf numFmtId="175" fontId="35" fillId="0" borderId="138" xfId="0" applyNumberFormat="1" applyFont="1" applyBorder="1" applyAlignment="1">
      <alignment horizontal="right"/>
    </xf>
    <xf numFmtId="173" fontId="35" fillId="0" borderId="139" xfId="0" applyNumberFormat="1" applyFont="1" applyBorder="1" applyAlignment="1">
      <alignment horizontal="right"/>
    </xf>
    <xf numFmtId="0" fontId="0" fillId="0" borderId="17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66" fontId="5" fillId="0" borderId="129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3" fontId="12" fillId="0" borderId="129" xfId="0" applyNumberFormat="1" applyFont="1" applyBorder="1" applyAlignment="1">
      <alignment horizontal="right"/>
    </xf>
    <xf numFmtId="166" fontId="12" fillId="0" borderId="129" xfId="0" applyNumberFormat="1" applyFont="1" applyBorder="1" applyAlignment="1">
      <alignment horizontal="right"/>
    </xf>
    <xf numFmtId="166" fontId="11" fillId="0" borderId="91" xfId="0" applyNumberFormat="1" applyFont="1" applyBorder="1" applyAlignment="1">
      <alignment horizontal="right"/>
    </xf>
    <xf numFmtId="177" fontId="5" fillId="0" borderId="129" xfId="0" applyNumberFormat="1" applyFont="1" applyBorder="1" applyAlignment="1">
      <alignment horizontal="right"/>
    </xf>
    <xf numFmtId="3" fontId="5" fillId="0" borderId="129" xfId="0" applyNumberFormat="1" applyFont="1" applyBorder="1" applyAlignment="1">
      <alignment horizontal="right"/>
    </xf>
    <xf numFmtId="4" fontId="5" fillId="0" borderId="129" xfId="0" applyNumberFormat="1" applyFont="1" applyBorder="1" applyAlignment="1">
      <alignment horizontal="right"/>
    </xf>
    <xf numFmtId="3" fontId="5" fillId="0" borderId="129" xfId="0" applyNumberFormat="1" applyFont="1" applyBorder="1"/>
    <xf numFmtId="3" fontId="11" fillId="0" borderId="90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91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2" fillId="0" borderId="129" xfId="0" applyNumberFormat="1" applyFont="1" applyBorder="1"/>
    <xf numFmtId="166" fontId="12" fillId="0" borderId="129" xfId="0" applyNumberFormat="1" applyFont="1" applyBorder="1"/>
    <xf numFmtId="166" fontId="12" fillId="0" borderId="91" xfId="0" applyNumberFormat="1" applyFont="1" applyBorder="1"/>
    <xf numFmtId="166" fontId="12" fillId="0" borderId="18" xfId="0" applyNumberFormat="1" applyFont="1" applyBorder="1"/>
    <xf numFmtId="3" fontId="35" fillId="0" borderId="129" xfId="0" applyNumberFormat="1" applyFont="1" applyBorder="1"/>
    <xf numFmtId="166" fontId="35" fillId="0" borderId="129" xfId="0" applyNumberFormat="1" applyFont="1" applyBorder="1"/>
    <xf numFmtId="166" fontId="35" fillId="0" borderId="91" xfId="0" applyNumberFormat="1" applyFont="1" applyBorder="1"/>
    <xf numFmtId="3" fontId="35" fillId="0" borderId="129" xfId="0" applyNumberFormat="1" applyFont="1" applyBorder="1" applyAlignment="1">
      <alignment horizontal="right"/>
    </xf>
    <xf numFmtId="0" fontId="5" fillId="0" borderId="129" xfId="0" applyFont="1" applyBorder="1"/>
    <xf numFmtId="9" fontId="35" fillId="0" borderId="129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5" fillId="0" borderId="100" xfId="0" applyNumberFormat="1" applyFont="1" applyBorder="1"/>
    <xf numFmtId="166" fontId="35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3" fontId="12" fillId="0" borderId="100" xfId="0" applyNumberFormat="1" applyFont="1" applyBorder="1" applyAlignment="1">
      <alignment horizontal="right"/>
    </xf>
    <xf numFmtId="166" fontId="12" fillId="0" borderId="100" xfId="0" applyNumberFormat="1" applyFont="1" applyBorder="1" applyAlignment="1">
      <alignment horizontal="right"/>
    </xf>
    <xf numFmtId="166" fontId="11" fillId="0" borderId="75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7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12" fillId="0" borderId="105" xfId="0" applyNumberFormat="1" applyFont="1" applyBorder="1"/>
    <xf numFmtId="166" fontId="12" fillId="0" borderId="105" xfId="0" applyNumberFormat="1" applyFont="1" applyBorder="1"/>
    <xf numFmtId="166" fontId="12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66" fontId="11" fillId="0" borderId="96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3" fontId="3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87" xfId="0" applyNumberFormat="1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1.5185328788441745</c:v>
                </c:pt>
                <c:pt idx="1">
                  <c:v>1.6092193858023451</c:v>
                </c:pt>
                <c:pt idx="2">
                  <c:v>1.8180230400915911</c:v>
                </c:pt>
                <c:pt idx="3">
                  <c:v>2.0030041288773535</c:v>
                </c:pt>
                <c:pt idx="4">
                  <c:v>1.8423493969498772</c:v>
                </c:pt>
                <c:pt idx="5">
                  <c:v>1.6566758173586376</c:v>
                </c:pt>
                <c:pt idx="6">
                  <c:v>1.6727419460117756</c:v>
                </c:pt>
                <c:pt idx="7">
                  <c:v>1.7369466800405235</c:v>
                </c:pt>
                <c:pt idx="8">
                  <c:v>1.7599490315571265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588712"/>
        <c:axId val="17915914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1.5748109375717512</c:v>
                </c:pt>
                <c:pt idx="1">
                  <c:v>1.5748109375717512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591848"/>
        <c:axId val="1791597336"/>
      </c:scatterChart>
      <c:catAx>
        <c:axId val="1791588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159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591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91588712"/>
        <c:crosses val="autoZero"/>
        <c:crossBetween val="between"/>
      </c:valAx>
      <c:valAx>
        <c:axId val="17915918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91597336"/>
        <c:crosses val="max"/>
        <c:crossBetween val="midCat"/>
      </c:valAx>
      <c:valAx>
        <c:axId val="17915973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915918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0.88980095713724572</c:v>
                </c:pt>
                <c:pt idx="1">
                  <c:v>0.9207059136295751</c:v>
                </c:pt>
                <c:pt idx="2">
                  <c:v>0.90258665520524894</c:v>
                </c:pt>
                <c:pt idx="3">
                  <c:v>0.91626658549746121</c:v>
                </c:pt>
                <c:pt idx="4">
                  <c:v>0.92124364354620081</c:v>
                </c:pt>
                <c:pt idx="5">
                  <c:v>0.92502274993729372</c:v>
                </c:pt>
                <c:pt idx="6">
                  <c:v>0.91865027563251367</c:v>
                </c:pt>
                <c:pt idx="7">
                  <c:v>0.91536943213088662</c:v>
                </c:pt>
                <c:pt idx="8">
                  <c:v>0.91432532609003192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392240"/>
        <c:axId val="201539929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5396944"/>
        <c:axId val="2015392632"/>
      </c:scatterChart>
      <c:catAx>
        <c:axId val="201539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0153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3992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15392240"/>
        <c:crosses val="autoZero"/>
        <c:crossBetween val="between"/>
      </c:valAx>
      <c:valAx>
        <c:axId val="20153969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015392632"/>
        <c:crosses val="max"/>
        <c:crossBetween val="midCat"/>
      </c:valAx>
      <c:valAx>
        <c:axId val="201539263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201539694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2" t="s">
        <v>119</v>
      </c>
      <c r="B1" s="452"/>
    </row>
    <row r="2" spans="1:3" ht="14.4" customHeight="1" thickBot="1" x14ac:dyDescent="0.35">
      <c r="A2" s="361" t="s">
        <v>305</v>
      </c>
      <c r="B2" s="50"/>
    </row>
    <row r="3" spans="1:3" ht="14.4" customHeight="1" thickBot="1" x14ac:dyDescent="0.35">
      <c r="A3" s="448" t="s">
        <v>163</v>
      </c>
      <c r="B3" s="449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307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0" t="s">
        <v>120</v>
      </c>
      <c r="B10" s="449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40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1242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0" t="s">
        <v>293</v>
      </c>
      <c r="C15" s="51" t="s">
        <v>303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1724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1" t="s">
        <v>121</v>
      </c>
      <c r="B20" s="449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1915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2001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2583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8"/>
  </cols>
  <sheetData>
    <row r="1" spans="1:13" ht="18.600000000000001" customHeight="1" thickBot="1" x14ac:dyDescent="0.4">
      <c r="A1" s="490" t="s">
        <v>1242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52"/>
      <c r="M1" s="452"/>
    </row>
    <row r="2" spans="1:13" ht="14.4" customHeight="1" thickBot="1" x14ac:dyDescent="0.35">
      <c r="A2" s="361" t="s">
        <v>305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5" t="s">
        <v>142</v>
      </c>
      <c r="F3" s="47">
        <f>SUBTOTAL(9,F6:F1048576)</f>
        <v>40</v>
      </c>
      <c r="G3" s="47">
        <f>SUBTOTAL(9,G6:G1048576)</f>
        <v>12273.400488872912</v>
      </c>
      <c r="H3" s="48">
        <f>IF(M3=0,0,G3/M3)</f>
        <v>0.12193991368301127</v>
      </c>
      <c r="I3" s="47">
        <f>SUBTOTAL(9,I6:I1048576)</f>
        <v>351</v>
      </c>
      <c r="J3" s="47">
        <f>SUBTOTAL(9,J6:J1048576)</f>
        <v>88377.814672540218</v>
      </c>
      <c r="K3" s="48">
        <f>IF(M3=0,0,J3/M3)</f>
        <v>0.87806008631698873</v>
      </c>
      <c r="L3" s="47">
        <f>SUBTOTAL(9,L6:L1048576)</f>
        <v>391</v>
      </c>
      <c r="M3" s="49">
        <f>SUBTOTAL(9,M6:M1048576)</f>
        <v>100651.21516141313</v>
      </c>
    </row>
    <row r="4" spans="1:13" ht="14.4" customHeight="1" thickBot="1" x14ac:dyDescent="0.35">
      <c r="A4" s="45"/>
      <c r="B4" s="45"/>
      <c r="C4" s="45"/>
      <c r="D4" s="45"/>
      <c r="E4" s="46"/>
      <c r="F4" s="494" t="s">
        <v>144</v>
      </c>
      <c r="G4" s="495"/>
      <c r="H4" s="496"/>
      <c r="I4" s="497" t="s">
        <v>143</v>
      </c>
      <c r="J4" s="495"/>
      <c r="K4" s="496"/>
      <c r="L4" s="498" t="s">
        <v>3</v>
      </c>
      <c r="M4" s="499"/>
    </row>
    <row r="5" spans="1:13" ht="14.4" customHeight="1" thickBot="1" x14ac:dyDescent="0.35">
      <c r="A5" s="623" t="s">
        <v>145</v>
      </c>
      <c r="B5" s="641" t="s">
        <v>146</v>
      </c>
      <c r="C5" s="641" t="s">
        <v>77</v>
      </c>
      <c r="D5" s="641" t="s">
        <v>147</v>
      </c>
      <c r="E5" s="641" t="s">
        <v>148</v>
      </c>
      <c r="F5" s="642" t="s">
        <v>15</v>
      </c>
      <c r="G5" s="642" t="s">
        <v>14</v>
      </c>
      <c r="H5" s="625" t="s">
        <v>149</v>
      </c>
      <c r="I5" s="624" t="s">
        <v>15</v>
      </c>
      <c r="J5" s="642" t="s">
        <v>14</v>
      </c>
      <c r="K5" s="625" t="s">
        <v>149</v>
      </c>
      <c r="L5" s="624" t="s">
        <v>15</v>
      </c>
      <c r="M5" s="643" t="s">
        <v>14</v>
      </c>
    </row>
    <row r="6" spans="1:13" ht="14.4" customHeight="1" x14ac:dyDescent="0.3">
      <c r="A6" s="605" t="s">
        <v>555</v>
      </c>
      <c r="B6" s="606" t="s">
        <v>1209</v>
      </c>
      <c r="C6" s="606" t="s">
        <v>718</v>
      </c>
      <c r="D6" s="606" t="s">
        <v>719</v>
      </c>
      <c r="E6" s="606" t="s">
        <v>720</v>
      </c>
      <c r="F6" s="609"/>
      <c r="G6" s="609"/>
      <c r="H6" s="627">
        <v>0</v>
      </c>
      <c r="I6" s="609">
        <v>3</v>
      </c>
      <c r="J6" s="609">
        <v>138</v>
      </c>
      <c r="K6" s="627">
        <v>1</v>
      </c>
      <c r="L6" s="609">
        <v>3</v>
      </c>
      <c r="M6" s="610">
        <v>138</v>
      </c>
    </row>
    <row r="7" spans="1:13" ht="14.4" customHeight="1" x14ac:dyDescent="0.3">
      <c r="A7" s="611" t="s">
        <v>560</v>
      </c>
      <c r="B7" s="612" t="s">
        <v>1210</v>
      </c>
      <c r="C7" s="612" t="s">
        <v>750</v>
      </c>
      <c r="D7" s="612" t="s">
        <v>751</v>
      </c>
      <c r="E7" s="612" t="s">
        <v>752</v>
      </c>
      <c r="F7" s="615">
        <v>1</v>
      </c>
      <c r="G7" s="615">
        <v>49.800000000000018</v>
      </c>
      <c r="H7" s="628">
        <v>1</v>
      </c>
      <c r="I7" s="615"/>
      <c r="J7" s="615"/>
      <c r="K7" s="628">
        <v>0</v>
      </c>
      <c r="L7" s="615">
        <v>1</v>
      </c>
      <c r="M7" s="616">
        <v>49.800000000000018</v>
      </c>
    </row>
    <row r="8" spans="1:13" ht="14.4" customHeight="1" x14ac:dyDescent="0.3">
      <c r="A8" s="611" t="s">
        <v>560</v>
      </c>
      <c r="B8" s="612" t="s">
        <v>1209</v>
      </c>
      <c r="C8" s="612" t="s">
        <v>718</v>
      </c>
      <c r="D8" s="612" t="s">
        <v>719</v>
      </c>
      <c r="E8" s="612" t="s">
        <v>720</v>
      </c>
      <c r="F8" s="615"/>
      <c r="G8" s="615"/>
      <c r="H8" s="628">
        <v>0</v>
      </c>
      <c r="I8" s="615">
        <v>2</v>
      </c>
      <c r="J8" s="615">
        <v>92</v>
      </c>
      <c r="K8" s="628">
        <v>1</v>
      </c>
      <c r="L8" s="615">
        <v>2</v>
      </c>
      <c r="M8" s="616">
        <v>92</v>
      </c>
    </row>
    <row r="9" spans="1:13" ht="14.4" customHeight="1" x14ac:dyDescent="0.3">
      <c r="A9" s="611" t="s">
        <v>560</v>
      </c>
      <c r="B9" s="612" t="s">
        <v>1211</v>
      </c>
      <c r="C9" s="612" t="s">
        <v>870</v>
      </c>
      <c r="D9" s="612" t="s">
        <v>871</v>
      </c>
      <c r="E9" s="612" t="s">
        <v>1212</v>
      </c>
      <c r="F9" s="615"/>
      <c r="G9" s="615"/>
      <c r="H9" s="628">
        <v>0</v>
      </c>
      <c r="I9" s="615">
        <v>1</v>
      </c>
      <c r="J9" s="615">
        <v>106.97000000000003</v>
      </c>
      <c r="K9" s="628">
        <v>1</v>
      </c>
      <c r="L9" s="615">
        <v>1</v>
      </c>
      <c r="M9" s="616">
        <v>106.97000000000003</v>
      </c>
    </row>
    <row r="10" spans="1:13" ht="14.4" customHeight="1" x14ac:dyDescent="0.3">
      <c r="A10" s="611" t="s">
        <v>560</v>
      </c>
      <c r="B10" s="612" t="s">
        <v>1213</v>
      </c>
      <c r="C10" s="612" t="s">
        <v>866</v>
      </c>
      <c r="D10" s="612" t="s">
        <v>1214</v>
      </c>
      <c r="E10" s="612" t="s">
        <v>1215</v>
      </c>
      <c r="F10" s="615"/>
      <c r="G10" s="615"/>
      <c r="H10" s="628">
        <v>0</v>
      </c>
      <c r="I10" s="615">
        <v>7</v>
      </c>
      <c r="J10" s="615">
        <v>3143.7030332109925</v>
      </c>
      <c r="K10" s="628">
        <v>1</v>
      </c>
      <c r="L10" s="615">
        <v>7</v>
      </c>
      <c r="M10" s="616">
        <v>3143.7030332109925</v>
      </c>
    </row>
    <row r="11" spans="1:13" ht="14.4" customHeight="1" x14ac:dyDescent="0.3">
      <c r="A11" s="611" t="s">
        <v>560</v>
      </c>
      <c r="B11" s="612" t="s">
        <v>1216</v>
      </c>
      <c r="C11" s="612" t="s">
        <v>847</v>
      </c>
      <c r="D11" s="612" t="s">
        <v>848</v>
      </c>
      <c r="E11" s="612" t="s">
        <v>1217</v>
      </c>
      <c r="F11" s="615"/>
      <c r="G11" s="615"/>
      <c r="H11" s="628">
        <v>0</v>
      </c>
      <c r="I11" s="615">
        <v>1</v>
      </c>
      <c r="J11" s="615">
        <v>184.14999999999998</v>
      </c>
      <c r="K11" s="628">
        <v>1</v>
      </c>
      <c r="L11" s="615">
        <v>1</v>
      </c>
      <c r="M11" s="616">
        <v>184.14999999999998</v>
      </c>
    </row>
    <row r="12" spans="1:13" ht="14.4" customHeight="1" x14ac:dyDescent="0.3">
      <c r="A12" s="611" t="s">
        <v>560</v>
      </c>
      <c r="B12" s="612" t="s">
        <v>1218</v>
      </c>
      <c r="C12" s="612" t="s">
        <v>851</v>
      </c>
      <c r="D12" s="612" t="s">
        <v>1219</v>
      </c>
      <c r="E12" s="612" t="s">
        <v>1220</v>
      </c>
      <c r="F12" s="615"/>
      <c r="G12" s="615"/>
      <c r="H12" s="628">
        <v>0</v>
      </c>
      <c r="I12" s="615">
        <v>1</v>
      </c>
      <c r="J12" s="615">
        <v>668.15</v>
      </c>
      <c r="K12" s="628">
        <v>1</v>
      </c>
      <c r="L12" s="615">
        <v>1</v>
      </c>
      <c r="M12" s="616">
        <v>668.15</v>
      </c>
    </row>
    <row r="13" spans="1:13" ht="14.4" customHeight="1" x14ac:dyDescent="0.3">
      <c r="A13" s="611" t="s">
        <v>560</v>
      </c>
      <c r="B13" s="612" t="s">
        <v>1218</v>
      </c>
      <c r="C13" s="612" t="s">
        <v>862</v>
      </c>
      <c r="D13" s="612" t="s">
        <v>863</v>
      </c>
      <c r="E13" s="612" t="s">
        <v>864</v>
      </c>
      <c r="F13" s="615"/>
      <c r="G13" s="615"/>
      <c r="H13" s="628">
        <v>0</v>
      </c>
      <c r="I13" s="615">
        <v>1</v>
      </c>
      <c r="J13" s="615">
        <v>198.25938323990368</v>
      </c>
      <c r="K13" s="628">
        <v>1</v>
      </c>
      <c r="L13" s="615">
        <v>1</v>
      </c>
      <c r="M13" s="616">
        <v>198.25938323990368</v>
      </c>
    </row>
    <row r="14" spans="1:13" ht="14.4" customHeight="1" x14ac:dyDescent="0.3">
      <c r="A14" s="611" t="s">
        <v>563</v>
      </c>
      <c r="B14" s="612" t="s">
        <v>1221</v>
      </c>
      <c r="C14" s="612" t="s">
        <v>874</v>
      </c>
      <c r="D14" s="612" t="s">
        <v>1222</v>
      </c>
      <c r="E14" s="612" t="s">
        <v>1223</v>
      </c>
      <c r="F14" s="615">
        <v>16</v>
      </c>
      <c r="G14" s="615">
        <v>1213.2800000000002</v>
      </c>
      <c r="H14" s="628">
        <v>1</v>
      </c>
      <c r="I14" s="615"/>
      <c r="J14" s="615"/>
      <c r="K14" s="628">
        <v>0</v>
      </c>
      <c r="L14" s="615">
        <v>16</v>
      </c>
      <c r="M14" s="616">
        <v>1213.2800000000002</v>
      </c>
    </row>
    <row r="15" spans="1:13" ht="14.4" customHeight="1" x14ac:dyDescent="0.3">
      <c r="A15" s="611" t="s">
        <v>563</v>
      </c>
      <c r="B15" s="612" t="s">
        <v>1224</v>
      </c>
      <c r="C15" s="612" t="s">
        <v>1155</v>
      </c>
      <c r="D15" s="612" t="s">
        <v>1156</v>
      </c>
      <c r="E15" s="612" t="s">
        <v>1157</v>
      </c>
      <c r="F15" s="615"/>
      <c r="G15" s="615"/>
      <c r="H15" s="628">
        <v>0</v>
      </c>
      <c r="I15" s="615">
        <v>10</v>
      </c>
      <c r="J15" s="615">
        <v>458.50000000000011</v>
      </c>
      <c r="K15" s="628">
        <v>1</v>
      </c>
      <c r="L15" s="615">
        <v>10</v>
      </c>
      <c r="M15" s="616">
        <v>458.50000000000011</v>
      </c>
    </row>
    <row r="16" spans="1:13" ht="14.4" customHeight="1" x14ac:dyDescent="0.3">
      <c r="A16" s="611" t="s">
        <v>563</v>
      </c>
      <c r="B16" s="612" t="s">
        <v>1209</v>
      </c>
      <c r="C16" s="612" t="s">
        <v>718</v>
      </c>
      <c r="D16" s="612" t="s">
        <v>719</v>
      </c>
      <c r="E16" s="612" t="s">
        <v>720</v>
      </c>
      <c r="F16" s="615"/>
      <c r="G16" s="615"/>
      <c r="H16" s="628">
        <v>0</v>
      </c>
      <c r="I16" s="615">
        <v>12</v>
      </c>
      <c r="J16" s="615">
        <v>552.00033950295744</v>
      </c>
      <c r="K16" s="628">
        <v>1</v>
      </c>
      <c r="L16" s="615">
        <v>12</v>
      </c>
      <c r="M16" s="616">
        <v>552.00033950295744</v>
      </c>
    </row>
    <row r="17" spans="1:13" ht="14.4" customHeight="1" x14ac:dyDescent="0.3">
      <c r="A17" s="611" t="s">
        <v>563</v>
      </c>
      <c r="B17" s="612" t="s">
        <v>1211</v>
      </c>
      <c r="C17" s="612" t="s">
        <v>870</v>
      </c>
      <c r="D17" s="612" t="s">
        <v>871</v>
      </c>
      <c r="E17" s="612" t="s">
        <v>1212</v>
      </c>
      <c r="F17" s="615"/>
      <c r="G17" s="615"/>
      <c r="H17" s="628">
        <v>0</v>
      </c>
      <c r="I17" s="615">
        <v>1</v>
      </c>
      <c r="J17" s="615">
        <v>106.77</v>
      </c>
      <c r="K17" s="628">
        <v>1</v>
      </c>
      <c r="L17" s="615">
        <v>1</v>
      </c>
      <c r="M17" s="616">
        <v>106.77</v>
      </c>
    </row>
    <row r="18" spans="1:13" ht="14.4" customHeight="1" x14ac:dyDescent="0.3">
      <c r="A18" s="611" t="s">
        <v>563</v>
      </c>
      <c r="B18" s="612" t="s">
        <v>1211</v>
      </c>
      <c r="C18" s="612" t="s">
        <v>1163</v>
      </c>
      <c r="D18" s="612" t="s">
        <v>1225</v>
      </c>
      <c r="E18" s="612" t="s">
        <v>1226</v>
      </c>
      <c r="F18" s="615"/>
      <c r="G18" s="615"/>
      <c r="H18" s="628">
        <v>0</v>
      </c>
      <c r="I18" s="615">
        <v>25</v>
      </c>
      <c r="J18" s="615">
        <v>1155.1581741744485</v>
      </c>
      <c r="K18" s="628">
        <v>1</v>
      </c>
      <c r="L18" s="615">
        <v>25</v>
      </c>
      <c r="M18" s="616">
        <v>1155.1581741744485</v>
      </c>
    </row>
    <row r="19" spans="1:13" ht="14.4" customHeight="1" x14ac:dyDescent="0.3">
      <c r="A19" s="611" t="s">
        <v>563</v>
      </c>
      <c r="B19" s="612" t="s">
        <v>1227</v>
      </c>
      <c r="C19" s="612" t="s">
        <v>1122</v>
      </c>
      <c r="D19" s="612" t="s">
        <v>1123</v>
      </c>
      <c r="E19" s="612" t="s">
        <v>1124</v>
      </c>
      <c r="F19" s="615">
        <v>10</v>
      </c>
      <c r="G19" s="615">
        <v>349.28</v>
      </c>
      <c r="H19" s="628">
        <v>1</v>
      </c>
      <c r="I19" s="615"/>
      <c r="J19" s="615"/>
      <c r="K19" s="628">
        <v>0</v>
      </c>
      <c r="L19" s="615">
        <v>10</v>
      </c>
      <c r="M19" s="616">
        <v>349.28</v>
      </c>
    </row>
    <row r="20" spans="1:13" ht="14.4" customHeight="1" x14ac:dyDescent="0.3">
      <c r="A20" s="611" t="s">
        <v>563</v>
      </c>
      <c r="B20" s="612" t="s">
        <v>1228</v>
      </c>
      <c r="C20" s="612" t="s">
        <v>1140</v>
      </c>
      <c r="D20" s="612" t="s">
        <v>1141</v>
      </c>
      <c r="E20" s="612" t="s">
        <v>1142</v>
      </c>
      <c r="F20" s="615"/>
      <c r="G20" s="615"/>
      <c r="H20" s="628">
        <v>0</v>
      </c>
      <c r="I20" s="615">
        <v>9</v>
      </c>
      <c r="J20" s="615">
        <v>14711.279999999999</v>
      </c>
      <c r="K20" s="628">
        <v>1</v>
      </c>
      <c r="L20" s="615">
        <v>9</v>
      </c>
      <c r="M20" s="616">
        <v>14711.279999999999</v>
      </c>
    </row>
    <row r="21" spans="1:13" ht="14.4" customHeight="1" x14ac:dyDescent="0.3">
      <c r="A21" s="611" t="s">
        <v>563</v>
      </c>
      <c r="B21" s="612" t="s">
        <v>1229</v>
      </c>
      <c r="C21" s="612" t="s">
        <v>1159</v>
      </c>
      <c r="D21" s="612" t="s">
        <v>1160</v>
      </c>
      <c r="E21" s="612" t="s">
        <v>1230</v>
      </c>
      <c r="F21" s="615"/>
      <c r="G21" s="615"/>
      <c r="H21" s="628">
        <v>0</v>
      </c>
      <c r="I21" s="615">
        <v>10</v>
      </c>
      <c r="J21" s="615">
        <v>2610.5</v>
      </c>
      <c r="K21" s="628">
        <v>1</v>
      </c>
      <c r="L21" s="615">
        <v>10</v>
      </c>
      <c r="M21" s="616">
        <v>2610.5</v>
      </c>
    </row>
    <row r="22" spans="1:13" ht="14.4" customHeight="1" x14ac:dyDescent="0.3">
      <c r="A22" s="611" t="s">
        <v>563</v>
      </c>
      <c r="B22" s="612" t="s">
        <v>1213</v>
      </c>
      <c r="C22" s="612" t="s">
        <v>866</v>
      </c>
      <c r="D22" s="612" t="s">
        <v>1214</v>
      </c>
      <c r="E22" s="612" t="s">
        <v>1215</v>
      </c>
      <c r="F22" s="615"/>
      <c r="G22" s="615"/>
      <c r="H22" s="628">
        <v>0</v>
      </c>
      <c r="I22" s="615">
        <v>110</v>
      </c>
      <c r="J22" s="615">
        <v>49392.430438768904</v>
      </c>
      <c r="K22" s="628">
        <v>1</v>
      </c>
      <c r="L22" s="615">
        <v>110</v>
      </c>
      <c r="M22" s="616">
        <v>49392.430438768904</v>
      </c>
    </row>
    <row r="23" spans="1:13" ht="14.4" customHeight="1" x14ac:dyDescent="0.3">
      <c r="A23" s="611" t="s">
        <v>563</v>
      </c>
      <c r="B23" s="612" t="s">
        <v>1231</v>
      </c>
      <c r="C23" s="612" t="s">
        <v>1171</v>
      </c>
      <c r="D23" s="612" t="s">
        <v>1232</v>
      </c>
      <c r="E23" s="612" t="s">
        <v>1233</v>
      </c>
      <c r="F23" s="615"/>
      <c r="G23" s="615"/>
      <c r="H23" s="628">
        <v>0</v>
      </c>
      <c r="I23" s="615">
        <v>30</v>
      </c>
      <c r="J23" s="615">
        <v>947.69999999999993</v>
      </c>
      <c r="K23" s="628">
        <v>1</v>
      </c>
      <c r="L23" s="615">
        <v>30</v>
      </c>
      <c r="M23" s="616">
        <v>947.69999999999993</v>
      </c>
    </row>
    <row r="24" spans="1:13" ht="14.4" customHeight="1" x14ac:dyDescent="0.3">
      <c r="A24" s="611" t="s">
        <v>563</v>
      </c>
      <c r="B24" s="612" t="s">
        <v>1234</v>
      </c>
      <c r="C24" s="612" t="s">
        <v>1094</v>
      </c>
      <c r="D24" s="612" t="s">
        <v>1095</v>
      </c>
      <c r="E24" s="612" t="s">
        <v>1096</v>
      </c>
      <c r="F24" s="615"/>
      <c r="G24" s="615"/>
      <c r="H24" s="628">
        <v>0</v>
      </c>
      <c r="I24" s="615">
        <v>2</v>
      </c>
      <c r="J24" s="615">
        <v>366.51</v>
      </c>
      <c r="K24" s="628">
        <v>1</v>
      </c>
      <c r="L24" s="615">
        <v>2</v>
      </c>
      <c r="M24" s="616">
        <v>366.51</v>
      </c>
    </row>
    <row r="25" spans="1:13" ht="14.4" customHeight="1" x14ac:dyDescent="0.3">
      <c r="A25" s="611" t="s">
        <v>563</v>
      </c>
      <c r="B25" s="612" t="s">
        <v>1235</v>
      </c>
      <c r="C25" s="612" t="s">
        <v>1090</v>
      </c>
      <c r="D25" s="612" t="s">
        <v>1236</v>
      </c>
      <c r="E25" s="612" t="s">
        <v>1092</v>
      </c>
      <c r="F25" s="615"/>
      <c r="G25" s="615"/>
      <c r="H25" s="628">
        <v>0</v>
      </c>
      <c r="I25" s="615">
        <v>70</v>
      </c>
      <c r="J25" s="615">
        <v>5871.5907437559054</v>
      </c>
      <c r="K25" s="628">
        <v>1</v>
      </c>
      <c r="L25" s="615">
        <v>70</v>
      </c>
      <c r="M25" s="616">
        <v>5871.5907437559054</v>
      </c>
    </row>
    <row r="26" spans="1:13" ht="14.4" customHeight="1" x14ac:dyDescent="0.3">
      <c r="A26" s="611" t="s">
        <v>563</v>
      </c>
      <c r="B26" s="612" t="s">
        <v>1237</v>
      </c>
      <c r="C26" s="612" t="s">
        <v>1082</v>
      </c>
      <c r="D26" s="612" t="s">
        <v>1083</v>
      </c>
      <c r="E26" s="612" t="s">
        <v>1084</v>
      </c>
      <c r="F26" s="615"/>
      <c r="G26" s="615"/>
      <c r="H26" s="628">
        <v>0</v>
      </c>
      <c r="I26" s="615">
        <v>40</v>
      </c>
      <c r="J26" s="615">
        <v>5781.1996932141419</v>
      </c>
      <c r="K26" s="628">
        <v>1</v>
      </c>
      <c r="L26" s="615">
        <v>40</v>
      </c>
      <c r="M26" s="616">
        <v>5781.1996932141419</v>
      </c>
    </row>
    <row r="27" spans="1:13" ht="14.4" customHeight="1" x14ac:dyDescent="0.3">
      <c r="A27" s="611" t="s">
        <v>563</v>
      </c>
      <c r="B27" s="612" t="s">
        <v>1238</v>
      </c>
      <c r="C27" s="612" t="s">
        <v>1086</v>
      </c>
      <c r="D27" s="612" t="s">
        <v>1087</v>
      </c>
      <c r="E27" s="612" t="s">
        <v>1239</v>
      </c>
      <c r="F27" s="615"/>
      <c r="G27" s="615"/>
      <c r="H27" s="628">
        <v>0</v>
      </c>
      <c r="I27" s="615">
        <v>8</v>
      </c>
      <c r="J27" s="615">
        <v>420.82225421156369</v>
      </c>
      <c r="K27" s="628">
        <v>1</v>
      </c>
      <c r="L27" s="615">
        <v>8</v>
      </c>
      <c r="M27" s="616">
        <v>420.82225421156369</v>
      </c>
    </row>
    <row r="28" spans="1:13" ht="14.4" customHeight="1" x14ac:dyDescent="0.3">
      <c r="A28" s="611" t="s">
        <v>563</v>
      </c>
      <c r="B28" s="612" t="s">
        <v>1216</v>
      </c>
      <c r="C28" s="612" t="s">
        <v>847</v>
      </c>
      <c r="D28" s="612" t="s">
        <v>848</v>
      </c>
      <c r="E28" s="612" t="s">
        <v>1217</v>
      </c>
      <c r="F28" s="615"/>
      <c r="G28" s="615"/>
      <c r="H28" s="628">
        <v>0</v>
      </c>
      <c r="I28" s="615">
        <v>8</v>
      </c>
      <c r="J28" s="615">
        <v>1472.1206124614027</v>
      </c>
      <c r="K28" s="628">
        <v>1</v>
      </c>
      <c r="L28" s="615">
        <v>8</v>
      </c>
      <c r="M28" s="616">
        <v>1472.1206124614027</v>
      </c>
    </row>
    <row r="29" spans="1:13" ht="14.4" customHeight="1" x14ac:dyDescent="0.3">
      <c r="A29" s="611" t="s">
        <v>563</v>
      </c>
      <c r="B29" s="612" t="s">
        <v>1218</v>
      </c>
      <c r="C29" s="612" t="s">
        <v>1098</v>
      </c>
      <c r="D29" s="612" t="s">
        <v>1240</v>
      </c>
      <c r="E29" s="612" t="s">
        <v>1241</v>
      </c>
      <c r="F29" s="615">
        <v>6</v>
      </c>
      <c r="G29" s="615">
        <v>1131.31</v>
      </c>
      <c r="H29" s="628">
        <v>1</v>
      </c>
      <c r="I29" s="615"/>
      <c r="J29" s="615"/>
      <c r="K29" s="628">
        <v>0</v>
      </c>
      <c r="L29" s="615">
        <v>6</v>
      </c>
      <c r="M29" s="616">
        <v>1131.31</v>
      </c>
    </row>
    <row r="30" spans="1:13" ht="14.4" customHeight="1" thickBot="1" x14ac:dyDescent="0.35">
      <c r="A30" s="617" t="s">
        <v>563</v>
      </c>
      <c r="B30" s="618" t="s">
        <v>1218</v>
      </c>
      <c r="C30" s="618" t="s">
        <v>1118</v>
      </c>
      <c r="D30" s="618" t="s">
        <v>1119</v>
      </c>
      <c r="E30" s="618" t="s">
        <v>1120</v>
      </c>
      <c r="F30" s="621">
        <v>7</v>
      </c>
      <c r="G30" s="621">
        <v>9529.7304888729122</v>
      </c>
      <c r="H30" s="629">
        <v>1</v>
      </c>
      <c r="I30" s="621"/>
      <c r="J30" s="621"/>
      <c r="K30" s="629">
        <v>0</v>
      </c>
      <c r="L30" s="621">
        <v>7</v>
      </c>
      <c r="M30" s="622">
        <v>9529.7304888729122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4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8"/>
  </cols>
  <sheetData>
    <row r="1" spans="1:17" ht="18.600000000000001" customHeight="1" thickBot="1" x14ac:dyDescent="0.4">
      <c r="A1" s="490" t="s">
        <v>293</v>
      </c>
      <c r="B1" s="490"/>
      <c r="C1" s="490"/>
      <c r="D1" s="490"/>
      <c r="E1" s="490"/>
      <c r="F1" s="453"/>
      <c r="G1" s="453"/>
      <c r="H1" s="453"/>
      <c r="I1" s="453"/>
      <c r="J1" s="483"/>
      <c r="K1" s="483"/>
      <c r="L1" s="483"/>
      <c r="M1" s="483"/>
      <c r="N1" s="483"/>
      <c r="O1" s="483"/>
      <c r="P1" s="483"/>
      <c r="Q1" s="483"/>
    </row>
    <row r="2" spans="1:17" ht="14.4" customHeight="1" thickBot="1" x14ac:dyDescent="0.35">
      <c r="A2" s="361" t="s">
        <v>305</v>
      </c>
      <c r="B2" s="326"/>
      <c r="C2" s="326"/>
      <c r="D2" s="326"/>
      <c r="E2" s="326"/>
    </row>
    <row r="3" spans="1:17" ht="14.4" customHeight="1" thickBot="1" x14ac:dyDescent="0.35">
      <c r="A3" s="433" t="s">
        <v>3</v>
      </c>
      <c r="B3" s="437">
        <f>SUM(B6:B1048576)</f>
        <v>2225</v>
      </c>
      <c r="C3" s="438">
        <f>SUM(C6:C1048576)</f>
        <v>137</v>
      </c>
      <c r="D3" s="438">
        <f>SUM(D6:D1048576)</f>
        <v>78</v>
      </c>
      <c r="E3" s="439">
        <f>SUM(E6:E1048576)</f>
        <v>0</v>
      </c>
      <c r="F3" s="436">
        <f>IF(SUM($B3:$E3)=0,"",B3/SUM($B3:$E3))</f>
        <v>0.91188524590163933</v>
      </c>
      <c r="G3" s="434">
        <f t="shared" ref="G3:I3" si="0">IF(SUM($B3:$E3)=0,"",C3/SUM($B3:$E3))</f>
        <v>5.614754098360656E-2</v>
      </c>
      <c r="H3" s="434">
        <f t="shared" si="0"/>
        <v>3.1967213114754096E-2</v>
      </c>
      <c r="I3" s="435">
        <f t="shared" si="0"/>
        <v>0</v>
      </c>
      <c r="J3" s="438">
        <f>SUM(J6:J1048576)</f>
        <v>372</v>
      </c>
      <c r="K3" s="438">
        <f>SUM(K6:K1048576)</f>
        <v>100</v>
      </c>
      <c r="L3" s="438">
        <f>SUM(L6:L1048576)</f>
        <v>78</v>
      </c>
      <c r="M3" s="439">
        <f>SUM(M6:M1048576)</f>
        <v>0</v>
      </c>
      <c r="N3" s="436">
        <f>IF(SUM($J3:$M3)=0,"",J3/SUM($J3:$M3))</f>
        <v>0.67636363636363639</v>
      </c>
      <c r="O3" s="434">
        <f t="shared" ref="O3:Q3" si="1">IF(SUM($J3:$M3)=0,"",K3/SUM($J3:$M3))</f>
        <v>0.18181818181818182</v>
      </c>
      <c r="P3" s="434">
        <f t="shared" si="1"/>
        <v>0.14181818181818182</v>
      </c>
      <c r="Q3" s="435">
        <f t="shared" si="1"/>
        <v>0</v>
      </c>
    </row>
    <row r="4" spans="1:17" ht="14.4" customHeight="1" thickBot="1" x14ac:dyDescent="0.35">
      <c r="A4" s="432"/>
      <c r="B4" s="503" t="s">
        <v>295</v>
      </c>
      <c r="C4" s="504"/>
      <c r="D4" s="504"/>
      <c r="E4" s="505"/>
      <c r="F4" s="500" t="s">
        <v>300</v>
      </c>
      <c r="G4" s="501"/>
      <c r="H4" s="501"/>
      <c r="I4" s="502"/>
      <c r="J4" s="503" t="s">
        <v>301</v>
      </c>
      <c r="K4" s="504"/>
      <c r="L4" s="504"/>
      <c r="M4" s="505"/>
      <c r="N4" s="500" t="s">
        <v>302</v>
      </c>
      <c r="O4" s="501"/>
      <c r="P4" s="501"/>
      <c r="Q4" s="502"/>
    </row>
    <row r="5" spans="1:17" ht="14.4" customHeight="1" thickBot="1" x14ac:dyDescent="0.35">
      <c r="A5" s="644" t="s">
        <v>294</v>
      </c>
      <c r="B5" s="645" t="s">
        <v>296</v>
      </c>
      <c r="C5" s="645" t="s">
        <v>297</v>
      </c>
      <c r="D5" s="645" t="s">
        <v>298</v>
      </c>
      <c r="E5" s="646" t="s">
        <v>299</v>
      </c>
      <c r="F5" s="647" t="s">
        <v>296</v>
      </c>
      <c r="G5" s="648" t="s">
        <v>297</v>
      </c>
      <c r="H5" s="648" t="s">
        <v>298</v>
      </c>
      <c r="I5" s="649" t="s">
        <v>299</v>
      </c>
      <c r="J5" s="645" t="s">
        <v>296</v>
      </c>
      <c r="K5" s="645" t="s">
        <v>297</v>
      </c>
      <c r="L5" s="645" t="s">
        <v>298</v>
      </c>
      <c r="M5" s="646" t="s">
        <v>299</v>
      </c>
      <c r="N5" s="647" t="s">
        <v>296</v>
      </c>
      <c r="O5" s="648" t="s">
        <v>297</v>
      </c>
      <c r="P5" s="648" t="s">
        <v>298</v>
      </c>
      <c r="Q5" s="649" t="s">
        <v>299</v>
      </c>
    </row>
    <row r="6" spans="1:17" ht="14.4" customHeight="1" x14ac:dyDescent="0.3">
      <c r="A6" s="653" t="s">
        <v>1243</v>
      </c>
      <c r="B6" s="659"/>
      <c r="C6" s="609"/>
      <c r="D6" s="609"/>
      <c r="E6" s="610"/>
      <c r="F6" s="656"/>
      <c r="G6" s="627"/>
      <c r="H6" s="627"/>
      <c r="I6" s="662"/>
      <c r="J6" s="659"/>
      <c r="K6" s="609"/>
      <c r="L6" s="609"/>
      <c r="M6" s="610"/>
      <c r="N6" s="656"/>
      <c r="O6" s="627"/>
      <c r="P6" s="627"/>
      <c r="Q6" s="650"/>
    </row>
    <row r="7" spans="1:17" ht="14.4" customHeight="1" x14ac:dyDescent="0.3">
      <c r="A7" s="654" t="s">
        <v>1244</v>
      </c>
      <c r="B7" s="660">
        <v>472</v>
      </c>
      <c r="C7" s="615">
        <v>23</v>
      </c>
      <c r="D7" s="615">
        <v>5</v>
      </c>
      <c r="E7" s="616"/>
      <c r="F7" s="657">
        <v>0.94399999999999995</v>
      </c>
      <c r="G7" s="628">
        <v>4.5999999999999999E-2</v>
      </c>
      <c r="H7" s="628">
        <v>0.01</v>
      </c>
      <c r="I7" s="663">
        <v>0</v>
      </c>
      <c r="J7" s="660">
        <v>116</v>
      </c>
      <c r="K7" s="615">
        <v>18</v>
      </c>
      <c r="L7" s="615">
        <v>5</v>
      </c>
      <c r="M7" s="616"/>
      <c r="N7" s="657">
        <v>0.83453237410071945</v>
      </c>
      <c r="O7" s="628">
        <v>0.12949640287769784</v>
      </c>
      <c r="P7" s="628">
        <v>3.5971223021582732E-2</v>
      </c>
      <c r="Q7" s="651">
        <v>0</v>
      </c>
    </row>
    <row r="8" spans="1:17" ht="14.4" customHeight="1" x14ac:dyDescent="0.3">
      <c r="A8" s="654" t="s">
        <v>1245</v>
      </c>
      <c r="B8" s="660">
        <v>460</v>
      </c>
      <c r="C8" s="615">
        <v>57</v>
      </c>
      <c r="D8" s="615">
        <v>6</v>
      </c>
      <c r="E8" s="616"/>
      <c r="F8" s="657">
        <v>0.87954110898661564</v>
      </c>
      <c r="G8" s="628">
        <v>0.10898661567877629</v>
      </c>
      <c r="H8" s="628">
        <v>1.1472275334608031E-2</v>
      </c>
      <c r="I8" s="663">
        <v>0</v>
      </c>
      <c r="J8" s="660">
        <v>110</v>
      </c>
      <c r="K8" s="615">
        <v>46</v>
      </c>
      <c r="L8" s="615">
        <v>6</v>
      </c>
      <c r="M8" s="616"/>
      <c r="N8" s="657">
        <v>0.67901234567901236</v>
      </c>
      <c r="O8" s="628">
        <v>0.2839506172839506</v>
      </c>
      <c r="P8" s="628">
        <v>3.7037037037037035E-2</v>
      </c>
      <c r="Q8" s="651">
        <v>0</v>
      </c>
    </row>
    <row r="9" spans="1:17" ht="14.4" customHeight="1" thickBot="1" x14ac:dyDescent="0.35">
      <c r="A9" s="655" t="s">
        <v>1246</v>
      </c>
      <c r="B9" s="661">
        <v>1293</v>
      </c>
      <c r="C9" s="621">
        <v>57</v>
      </c>
      <c r="D9" s="621">
        <v>67</v>
      </c>
      <c r="E9" s="622"/>
      <c r="F9" s="658">
        <v>0.91249117854622441</v>
      </c>
      <c r="G9" s="629">
        <v>4.0225829216654907E-2</v>
      </c>
      <c r="H9" s="629">
        <v>4.728299223712068E-2</v>
      </c>
      <c r="I9" s="664">
        <v>0</v>
      </c>
      <c r="J9" s="661">
        <v>146</v>
      </c>
      <c r="K9" s="621">
        <v>36</v>
      </c>
      <c r="L9" s="621">
        <v>67</v>
      </c>
      <c r="M9" s="622"/>
      <c r="N9" s="658">
        <v>0.58634538152610438</v>
      </c>
      <c r="O9" s="629">
        <v>0.14457831325301204</v>
      </c>
      <c r="P9" s="629">
        <v>0.26907630522088355</v>
      </c>
      <c r="Q9" s="6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159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6">
        <v>2014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285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550</v>
      </c>
      <c r="B5" s="596" t="s">
        <v>551</v>
      </c>
      <c r="C5" s="597" t="s">
        <v>552</v>
      </c>
      <c r="D5" s="597" t="s">
        <v>552</v>
      </c>
      <c r="E5" s="597"/>
      <c r="F5" s="597" t="s">
        <v>552</v>
      </c>
      <c r="G5" s="597" t="s">
        <v>552</v>
      </c>
      <c r="H5" s="597" t="s">
        <v>552</v>
      </c>
      <c r="I5" s="598" t="s">
        <v>552</v>
      </c>
      <c r="J5" s="599" t="s">
        <v>61</v>
      </c>
    </row>
    <row r="6" spans="1:10" ht="14.4" customHeight="1" x14ac:dyDescent="0.3">
      <c r="A6" s="595" t="s">
        <v>550</v>
      </c>
      <c r="B6" s="596" t="s">
        <v>326</v>
      </c>
      <c r="C6" s="597" t="s">
        <v>552</v>
      </c>
      <c r="D6" s="597" t="s">
        <v>552</v>
      </c>
      <c r="E6" s="597"/>
      <c r="F6" s="597">
        <v>0.495</v>
      </c>
      <c r="G6" s="597">
        <v>0</v>
      </c>
      <c r="H6" s="597">
        <v>0.495</v>
      </c>
      <c r="I6" s="598" t="s">
        <v>552</v>
      </c>
      <c r="J6" s="599" t="s">
        <v>1</v>
      </c>
    </row>
    <row r="7" spans="1:10" ht="14.4" customHeight="1" x14ac:dyDescent="0.3">
      <c r="A7" s="595" t="s">
        <v>550</v>
      </c>
      <c r="B7" s="596" t="s">
        <v>327</v>
      </c>
      <c r="C7" s="597">
        <v>275.54656</v>
      </c>
      <c r="D7" s="597">
        <v>257.01984999999996</v>
      </c>
      <c r="E7" s="597"/>
      <c r="F7" s="597">
        <v>308.26803999999998</v>
      </c>
      <c r="G7" s="597">
        <v>403.55936950239823</v>
      </c>
      <c r="H7" s="597">
        <v>-95.291329502398241</v>
      </c>
      <c r="I7" s="598">
        <v>0.76387283581125742</v>
      </c>
      <c r="J7" s="599" t="s">
        <v>1</v>
      </c>
    </row>
    <row r="8" spans="1:10" ht="14.4" customHeight="1" x14ac:dyDescent="0.3">
      <c r="A8" s="595" t="s">
        <v>550</v>
      </c>
      <c r="B8" s="596" t="s">
        <v>328</v>
      </c>
      <c r="C8" s="597">
        <v>6.2657000000000007</v>
      </c>
      <c r="D8" s="597">
        <v>4.0221400000000003</v>
      </c>
      <c r="E8" s="597"/>
      <c r="F8" s="597">
        <v>2.6819699999999997</v>
      </c>
      <c r="G8" s="597">
        <v>3.9969576645832499</v>
      </c>
      <c r="H8" s="597">
        <v>-1.3149876645832501</v>
      </c>
      <c r="I8" s="598">
        <v>0.67100285393681802</v>
      </c>
      <c r="J8" s="599" t="s">
        <v>1</v>
      </c>
    </row>
    <row r="9" spans="1:10" ht="14.4" customHeight="1" x14ac:dyDescent="0.3">
      <c r="A9" s="595" t="s">
        <v>550</v>
      </c>
      <c r="B9" s="596" t="s">
        <v>329</v>
      </c>
      <c r="C9" s="597">
        <v>174.35914</v>
      </c>
      <c r="D9" s="597">
        <v>125.69371999999902</v>
      </c>
      <c r="E9" s="597"/>
      <c r="F9" s="597">
        <v>125.91180000000001</v>
      </c>
      <c r="G9" s="597">
        <v>121.37193156956025</v>
      </c>
      <c r="H9" s="597">
        <v>4.5398684304397676</v>
      </c>
      <c r="I9" s="598">
        <v>1.0374045990018532</v>
      </c>
      <c r="J9" s="599" t="s">
        <v>1</v>
      </c>
    </row>
    <row r="10" spans="1:10" ht="14.4" customHeight="1" x14ac:dyDescent="0.3">
      <c r="A10" s="595" t="s">
        <v>550</v>
      </c>
      <c r="B10" s="596" t="s">
        <v>330</v>
      </c>
      <c r="C10" s="597">
        <v>1373.6755200000002</v>
      </c>
      <c r="D10" s="597">
        <v>2030.5128699999998</v>
      </c>
      <c r="E10" s="597"/>
      <c r="F10" s="597">
        <v>2070.9558900000011</v>
      </c>
      <c r="G10" s="597">
        <v>2429.8654665820131</v>
      </c>
      <c r="H10" s="597">
        <v>-358.90957658201205</v>
      </c>
      <c r="I10" s="598">
        <v>0.85229240815259022</v>
      </c>
      <c r="J10" s="599" t="s">
        <v>1</v>
      </c>
    </row>
    <row r="11" spans="1:10" ht="14.4" customHeight="1" x14ac:dyDescent="0.3">
      <c r="A11" s="595" t="s">
        <v>550</v>
      </c>
      <c r="B11" s="596" t="s">
        <v>331</v>
      </c>
      <c r="C11" s="597">
        <v>46.400370000000002</v>
      </c>
      <c r="D11" s="597">
        <v>55.672859999999005</v>
      </c>
      <c r="E11" s="597"/>
      <c r="F11" s="597">
        <v>24.211569999999998</v>
      </c>
      <c r="G11" s="597">
        <v>53.491142359051494</v>
      </c>
      <c r="H11" s="597">
        <v>-29.279572359051496</v>
      </c>
      <c r="I11" s="598">
        <v>0.45262764884480061</v>
      </c>
      <c r="J11" s="599" t="s">
        <v>1</v>
      </c>
    </row>
    <row r="12" spans="1:10" ht="14.4" customHeight="1" x14ac:dyDescent="0.3">
      <c r="A12" s="595" t="s">
        <v>550</v>
      </c>
      <c r="B12" s="596" t="s">
        <v>332</v>
      </c>
      <c r="C12" s="597">
        <v>4.0386899999999999</v>
      </c>
      <c r="D12" s="597">
        <v>6.6688899999980009</v>
      </c>
      <c r="E12" s="597"/>
      <c r="F12" s="597">
        <v>3.3344399999999998</v>
      </c>
      <c r="G12" s="597">
        <v>5.8844819413387501</v>
      </c>
      <c r="H12" s="597">
        <v>-2.5500419413387503</v>
      </c>
      <c r="I12" s="598">
        <v>0.56664971245393903</v>
      </c>
      <c r="J12" s="599" t="s">
        <v>1</v>
      </c>
    </row>
    <row r="13" spans="1:10" ht="14.4" customHeight="1" x14ac:dyDescent="0.3">
      <c r="A13" s="595" t="s">
        <v>550</v>
      </c>
      <c r="B13" s="596" t="s">
        <v>333</v>
      </c>
      <c r="C13" s="597">
        <v>4.9240499999999994</v>
      </c>
      <c r="D13" s="597">
        <v>5.820539999997</v>
      </c>
      <c r="E13" s="597"/>
      <c r="F13" s="597">
        <v>7.2360200000000017</v>
      </c>
      <c r="G13" s="597">
        <v>5.4965209050562507</v>
      </c>
      <c r="H13" s="597">
        <v>1.739499094943751</v>
      </c>
      <c r="I13" s="598">
        <v>1.3164727515806562</v>
      </c>
      <c r="J13" s="599" t="s">
        <v>1</v>
      </c>
    </row>
    <row r="14" spans="1:10" ht="14.4" customHeight="1" x14ac:dyDescent="0.3">
      <c r="A14" s="595" t="s">
        <v>550</v>
      </c>
      <c r="B14" s="596" t="s">
        <v>334</v>
      </c>
      <c r="C14" s="597">
        <v>62.847139999999996</v>
      </c>
      <c r="D14" s="597">
        <v>110.92759999999801</v>
      </c>
      <c r="E14" s="597"/>
      <c r="F14" s="597">
        <v>97.85569000000001</v>
      </c>
      <c r="G14" s="597">
        <v>115.91749129642952</v>
      </c>
      <c r="H14" s="597">
        <v>-18.061801296429508</v>
      </c>
      <c r="I14" s="598">
        <v>0.84418398729626543</v>
      </c>
      <c r="J14" s="599" t="s">
        <v>1</v>
      </c>
    </row>
    <row r="15" spans="1:10" ht="14.4" customHeight="1" x14ac:dyDescent="0.3">
      <c r="A15" s="595" t="s">
        <v>550</v>
      </c>
      <c r="B15" s="596" t="s">
        <v>335</v>
      </c>
      <c r="C15" s="597">
        <v>65.997450000000001</v>
      </c>
      <c r="D15" s="597">
        <v>80.071750000000009</v>
      </c>
      <c r="E15" s="597"/>
      <c r="F15" s="597">
        <v>64.257059999999996</v>
      </c>
      <c r="G15" s="597">
        <v>80.69071720361174</v>
      </c>
      <c r="H15" s="597">
        <v>-16.433657203611745</v>
      </c>
      <c r="I15" s="598">
        <v>0.79633769815003985</v>
      </c>
      <c r="J15" s="599" t="s">
        <v>1</v>
      </c>
    </row>
    <row r="16" spans="1:10" ht="14.4" customHeight="1" x14ac:dyDescent="0.3">
      <c r="A16" s="595" t="s">
        <v>550</v>
      </c>
      <c r="B16" s="596" t="s">
        <v>336</v>
      </c>
      <c r="C16" s="597" t="s">
        <v>552</v>
      </c>
      <c r="D16" s="597">
        <v>0.21611</v>
      </c>
      <c r="E16" s="597"/>
      <c r="F16" s="597">
        <v>0</v>
      </c>
      <c r="G16" s="597">
        <v>0.165505902693</v>
      </c>
      <c r="H16" s="597">
        <v>-0.165505902693</v>
      </c>
      <c r="I16" s="598">
        <v>0</v>
      </c>
      <c r="J16" s="599" t="s">
        <v>1</v>
      </c>
    </row>
    <row r="17" spans="1:10" ht="14.4" customHeight="1" x14ac:dyDescent="0.3">
      <c r="A17" s="595" t="s">
        <v>550</v>
      </c>
      <c r="B17" s="596" t="s">
        <v>553</v>
      </c>
      <c r="C17" s="597">
        <v>2014.0546200000006</v>
      </c>
      <c r="D17" s="597">
        <v>2676.626329999991</v>
      </c>
      <c r="E17" s="597"/>
      <c r="F17" s="597">
        <v>2705.2074800000009</v>
      </c>
      <c r="G17" s="597">
        <v>3220.4395849267353</v>
      </c>
      <c r="H17" s="597">
        <v>-515.23210492673434</v>
      </c>
      <c r="I17" s="598">
        <v>0.84001187063459359</v>
      </c>
      <c r="J17" s="599" t="s">
        <v>554</v>
      </c>
    </row>
    <row r="19" spans="1:10" ht="14.4" customHeight="1" x14ac:dyDescent="0.3">
      <c r="A19" s="595" t="s">
        <v>550</v>
      </c>
      <c r="B19" s="596" t="s">
        <v>551</v>
      </c>
      <c r="C19" s="597" t="s">
        <v>552</v>
      </c>
      <c r="D19" s="597" t="s">
        <v>552</v>
      </c>
      <c r="E19" s="597"/>
      <c r="F19" s="597" t="s">
        <v>552</v>
      </c>
      <c r="G19" s="597" t="s">
        <v>552</v>
      </c>
      <c r="H19" s="597" t="s">
        <v>552</v>
      </c>
      <c r="I19" s="598" t="s">
        <v>552</v>
      </c>
      <c r="J19" s="599" t="s">
        <v>61</v>
      </c>
    </row>
    <row r="20" spans="1:10" ht="14.4" customHeight="1" x14ac:dyDescent="0.3">
      <c r="A20" s="595" t="s">
        <v>555</v>
      </c>
      <c r="B20" s="596" t="s">
        <v>556</v>
      </c>
      <c r="C20" s="597" t="s">
        <v>552</v>
      </c>
      <c r="D20" s="597" t="s">
        <v>552</v>
      </c>
      <c r="E20" s="597"/>
      <c r="F20" s="597" t="s">
        <v>552</v>
      </c>
      <c r="G20" s="597" t="s">
        <v>552</v>
      </c>
      <c r="H20" s="597" t="s">
        <v>552</v>
      </c>
      <c r="I20" s="598" t="s">
        <v>552</v>
      </c>
      <c r="J20" s="599" t="s">
        <v>0</v>
      </c>
    </row>
    <row r="21" spans="1:10" ht="14.4" customHeight="1" x14ac:dyDescent="0.3">
      <c r="A21" s="595" t="s">
        <v>555</v>
      </c>
      <c r="B21" s="596" t="s">
        <v>327</v>
      </c>
      <c r="C21" s="597">
        <v>61.695630000000001</v>
      </c>
      <c r="D21" s="597">
        <v>49.36889</v>
      </c>
      <c r="E21" s="597"/>
      <c r="F21" s="597">
        <v>26.61</v>
      </c>
      <c r="G21" s="597">
        <v>55.540276174352243</v>
      </c>
      <c r="H21" s="597">
        <v>-28.930276174352244</v>
      </c>
      <c r="I21" s="598">
        <v>0.47911176956459106</v>
      </c>
      <c r="J21" s="599" t="s">
        <v>1</v>
      </c>
    </row>
    <row r="22" spans="1:10" ht="14.4" customHeight="1" x14ac:dyDescent="0.3">
      <c r="A22" s="595" t="s">
        <v>555</v>
      </c>
      <c r="B22" s="596" t="s">
        <v>328</v>
      </c>
      <c r="C22" s="597">
        <v>0</v>
      </c>
      <c r="D22" s="597">
        <v>1.3068</v>
      </c>
      <c r="E22" s="597"/>
      <c r="F22" s="597">
        <v>0</v>
      </c>
      <c r="G22" s="597">
        <v>0.98016196017899992</v>
      </c>
      <c r="H22" s="597">
        <v>-0.98016196017899992</v>
      </c>
      <c r="I22" s="598">
        <v>0</v>
      </c>
      <c r="J22" s="599" t="s">
        <v>1</v>
      </c>
    </row>
    <row r="23" spans="1:10" ht="14.4" customHeight="1" x14ac:dyDescent="0.3">
      <c r="A23" s="595" t="s">
        <v>555</v>
      </c>
      <c r="B23" s="596" t="s">
        <v>329</v>
      </c>
      <c r="C23" s="597">
        <v>28.651590000000002</v>
      </c>
      <c r="D23" s="597">
        <v>31.023850000000003</v>
      </c>
      <c r="E23" s="597"/>
      <c r="F23" s="597">
        <v>11.381169999999999</v>
      </c>
      <c r="G23" s="597">
        <v>25.196297220903002</v>
      </c>
      <c r="H23" s="597">
        <v>-13.815127220903003</v>
      </c>
      <c r="I23" s="598">
        <v>0.4517001010195304</v>
      </c>
      <c r="J23" s="599" t="s">
        <v>1</v>
      </c>
    </row>
    <row r="24" spans="1:10" ht="14.4" customHeight="1" x14ac:dyDescent="0.3">
      <c r="A24" s="595" t="s">
        <v>555</v>
      </c>
      <c r="B24" s="596" t="s">
        <v>330</v>
      </c>
      <c r="C24" s="597">
        <v>99.432560000000009</v>
      </c>
      <c r="D24" s="597">
        <v>123.31549</v>
      </c>
      <c r="E24" s="597"/>
      <c r="F24" s="597">
        <v>133.98200999999997</v>
      </c>
      <c r="G24" s="597">
        <v>127.45350033508574</v>
      </c>
      <c r="H24" s="597">
        <v>6.5285096649142389</v>
      </c>
      <c r="I24" s="598">
        <v>1.0512226784493972</v>
      </c>
      <c r="J24" s="599" t="s">
        <v>1</v>
      </c>
    </row>
    <row r="25" spans="1:10" ht="14.4" customHeight="1" x14ac:dyDescent="0.3">
      <c r="A25" s="595" t="s">
        <v>555</v>
      </c>
      <c r="B25" s="596" t="s">
        <v>331</v>
      </c>
      <c r="C25" s="597">
        <v>1.984</v>
      </c>
      <c r="D25" s="597">
        <v>2.1053999999999999</v>
      </c>
      <c r="E25" s="597"/>
      <c r="F25" s="597">
        <v>0</v>
      </c>
      <c r="G25" s="597">
        <v>3.0937517348812502</v>
      </c>
      <c r="H25" s="597">
        <v>-3.0937517348812502</v>
      </c>
      <c r="I25" s="598">
        <v>0</v>
      </c>
      <c r="J25" s="599" t="s">
        <v>1</v>
      </c>
    </row>
    <row r="26" spans="1:10" ht="14.4" customHeight="1" x14ac:dyDescent="0.3">
      <c r="A26" s="595" t="s">
        <v>555</v>
      </c>
      <c r="B26" s="596" t="s">
        <v>333</v>
      </c>
      <c r="C26" s="597">
        <v>0.48699999999999993</v>
      </c>
      <c r="D26" s="597">
        <v>0.65799999999899994</v>
      </c>
      <c r="E26" s="597"/>
      <c r="F26" s="597">
        <v>0.66400000000000003</v>
      </c>
      <c r="G26" s="597">
        <v>0.72012266730675001</v>
      </c>
      <c r="H26" s="597">
        <v>-5.6122667306749974E-2</v>
      </c>
      <c r="I26" s="598">
        <v>0.92206512882499858</v>
      </c>
      <c r="J26" s="599" t="s">
        <v>1</v>
      </c>
    </row>
    <row r="27" spans="1:10" ht="14.4" customHeight="1" x14ac:dyDescent="0.3">
      <c r="A27" s="595" t="s">
        <v>555</v>
      </c>
      <c r="B27" s="596" t="s">
        <v>334</v>
      </c>
      <c r="C27" s="597">
        <v>11.819139999999999</v>
      </c>
      <c r="D27" s="597">
        <v>21.324999999999999</v>
      </c>
      <c r="E27" s="597"/>
      <c r="F27" s="597">
        <v>20.06269</v>
      </c>
      <c r="G27" s="597">
        <v>21.597845585418753</v>
      </c>
      <c r="H27" s="597">
        <v>-1.5351555854187531</v>
      </c>
      <c r="I27" s="598">
        <v>0.92892089262573596</v>
      </c>
      <c r="J27" s="599" t="s">
        <v>1</v>
      </c>
    </row>
    <row r="28" spans="1:10" ht="14.4" customHeight="1" x14ac:dyDescent="0.3">
      <c r="A28" s="595" t="s">
        <v>555</v>
      </c>
      <c r="B28" s="596" t="s">
        <v>557</v>
      </c>
      <c r="C28" s="597">
        <v>204.06992000000002</v>
      </c>
      <c r="D28" s="597">
        <v>229.10342999999901</v>
      </c>
      <c r="E28" s="597"/>
      <c r="F28" s="597">
        <v>192.69986999999995</v>
      </c>
      <c r="G28" s="597">
        <v>234.58195567812672</v>
      </c>
      <c r="H28" s="597">
        <v>-41.882085678126771</v>
      </c>
      <c r="I28" s="598">
        <v>0.82146075320646661</v>
      </c>
      <c r="J28" s="599" t="s">
        <v>558</v>
      </c>
    </row>
    <row r="29" spans="1:10" ht="14.4" customHeight="1" x14ac:dyDescent="0.3">
      <c r="A29" s="595" t="s">
        <v>552</v>
      </c>
      <c r="B29" s="596" t="s">
        <v>552</v>
      </c>
      <c r="C29" s="597" t="s">
        <v>552</v>
      </c>
      <c r="D29" s="597" t="s">
        <v>552</v>
      </c>
      <c r="E29" s="597"/>
      <c r="F29" s="597" t="s">
        <v>552</v>
      </c>
      <c r="G29" s="597" t="s">
        <v>552</v>
      </c>
      <c r="H29" s="597" t="s">
        <v>552</v>
      </c>
      <c r="I29" s="598" t="s">
        <v>552</v>
      </c>
      <c r="J29" s="599" t="s">
        <v>559</v>
      </c>
    </row>
    <row r="30" spans="1:10" ht="14.4" customHeight="1" x14ac:dyDescent="0.3">
      <c r="A30" s="595" t="s">
        <v>560</v>
      </c>
      <c r="B30" s="596" t="s">
        <v>561</v>
      </c>
      <c r="C30" s="597" t="s">
        <v>552</v>
      </c>
      <c r="D30" s="597" t="s">
        <v>552</v>
      </c>
      <c r="E30" s="597"/>
      <c r="F30" s="597" t="s">
        <v>552</v>
      </c>
      <c r="G30" s="597" t="s">
        <v>552</v>
      </c>
      <c r="H30" s="597" t="s">
        <v>552</v>
      </c>
      <c r="I30" s="598" t="s">
        <v>552</v>
      </c>
      <c r="J30" s="599" t="s">
        <v>0</v>
      </c>
    </row>
    <row r="31" spans="1:10" ht="14.4" customHeight="1" x14ac:dyDescent="0.3">
      <c r="A31" s="595" t="s">
        <v>560</v>
      </c>
      <c r="B31" s="596" t="s">
        <v>327</v>
      </c>
      <c r="C31" s="597">
        <v>1.5629499999999998</v>
      </c>
      <c r="D31" s="597">
        <v>1.5972</v>
      </c>
      <c r="E31" s="597"/>
      <c r="F31" s="597">
        <v>0.15246000000000001</v>
      </c>
      <c r="G31" s="597">
        <v>1.2378286889497501</v>
      </c>
      <c r="H31" s="597">
        <v>-1.08536868894975</v>
      </c>
      <c r="I31" s="598">
        <v>0.12316728587811003</v>
      </c>
      <c r="J31" s="599" t="s">
        <v>1</v>
      </c>
    </row>
    <row r="32" spans="1:10" ht="14.4" customHeight="1" x14ac:dyDescent="0.3">
      <c r="A32" s="595" t="s">
        <v>560</v>
      </c>
      <c r="B32" s="596" t="s">
        <v>328</v>
      </c>
      <c r="C32" s="597">
        <v>2.3776000000000002</v>
      </c>
      <c r="D32" s="597">
        <v>0.10174</v>
      </c>
      <c r="E32" s="597"/>
      <c r="F32" s="597">
        <v>0</v>
      </c>
      <c r="G32" s="597">
        <v>7.6309823865749998E-2</v>
      </c>
      <c r="H32" s="597">
        <v>-7.6309823865749998E-2</v>
      </c>
      <c r="I32" s="598">
        <v>0</v>
      </c>
      <c r="J32" s="599" t="s">
        <v>1</v>
      </c>
    </row>
    <row r="33" spans="1:10" ht="14.4" customHeight="1" x14ac:dyDescent="0.3">
      <c r="A33" s="595" t="s">
        <v>560</v>
      </c>
      <c r="B33" s="596" t="s">
        <v>329</v>
      </c>
      <c r="C33" s="597">
        <v>22.817480000000003</v>
      </c>
      <c r="D33" s="597">
        <v>12.826829999999999</v>
      </c>
      <c r="E33" s="597"/>
      <c r="F33" s="597">
        <v>19.71208</v>
      </c>
      <c r="G33" s="597">
        <v>13.89599851829175</v>
      </c>
      <c r="H33" s="597">
        <v>5.8160814817082507</v>
      </c>
      <c r="I33" s="598">
        <v>1.4185436170025749</v>
      </c>
      <c r="J33" s="599" t="s">
        <v>1</v>
      </c>
    </row>
    <row r="34" spans="1:10" ht="14.4" customHeight="1" x14ac:dyDescent="0.3">
      <c r="A34" s="595" t="s">
        <v>560</v>
      </c>
      <c r="B34" s="596" t="s">
        <v>330</v>
      </c>
      <c r="C34" s="597">
        <v>139.81018</v>
      </c>
      <c r="D34" s="597">
        <v>255.6728</v>
      </c>
      <c r="E34" s="597"/>
      <c r="F34" s="597">
        <v>554.95943</v>
      </c>
      <c r="G34" s="597">
        <v>798.74944557984747</v>
      </c>
      <c r="H34" s="597">
        <v>-243.79001557984748</v>
      </c>
      <c r="I34" s="598">
        <v>0.69478537114618022</v>
      </c>
      <c r="J34" s="599" t="s">
        <v>1</v>
      </c>
    </row>
    <row r="35" spans="1:10" ht="14.4" customHeight="1" x14ac:dyDescent="0.3">
      <c r="A35" s="595" t="s">
        <v>560</v>
      </c>
      <c r="B35" s="596" t="s">
        <v>331</v>
      </c>
      <c r="C35" s="597" t="s">
        <v>552</v>
      </c>
      <c r="D35" s="597" t="s">
        <v>552</v>
      </c>
      <c r="E35" s="597"/>
      <c r="F35" s="597">
        <v>2.1755</v>
      </c>
      <c r="G35" s="597">
        <v>0</v>
      </c>
      <c r="H35" s="597">
        <v>2.1755</v>
      </c>
      <c r="I35" s="598" t="s">
        <v>552</v>
      </c>
      <c r="J35" s="599" t="s">
        <v>1</v>
      </c>
    </row>
    <row r="36" spans="1:10" ht="14.4" customHeight="1" x14ac:dyDescent="0.3">
      <c r="A36" s="595" t="s">
        <v>560</v>
      </c>
      <c r="B36" s="596" t="s">
        <v>332</v>
      </c>
      <c r="C36" s="597" t="s">
        <v>552</v>
      </c>
      <c r="D36" s="597">
        <v>0.66683999999900001</v>
      </c>
      <c r="E36" s="597"/>
      <c r="F36" s="597">
        <v>0</v>
      </c>
      <c r="G36" s="597">
        <v>0.49033734213225</v>
      </c>
      <c r="H36" s="597">
        <v>-0.49033734213225</v>
      </c>
      <c r="I36" s="598">
        <v>0</v>
      </c>
      <c r="J36" s="599" t="s">
        <v>1</v>
      </c>
    </row>
    <row r="37" spans="1:10" ht="14.4" customHeight="1" x14ac:dyDescent="0.3">
      <c r="A37" s="595" t="s">
        <v>560</v>
      </c>
      <c r="B37" s="596" t="s">
        <v>333</v>
      </c>
      <c r="C37" s="597">
        <v>0.48704999999999998</v>
      </c>
      <c r="D37" s="597">
        <v>0.48374999999900004</v>
      </c>
      <c r="E37" s="597"/>
      <c r="F37" s="597">
        <v>2.5000200000000001</v>
      </c>
      <c r="G37" s="597">
        <v>0.51121785122325003</v>
      </c>
      <c r="H37" s="597">
        <v>1.9888021487767502</v>
      </c>
      <c r="I37" s="598">
        <v>4.8903221865549362</v>
      </c>
      <c r="J37" s="599" t="s">
        <v>1</v>
      </c>
    </row>
    <row r="38" spans="1:10" ht="14.4" customHeight="1" x14ac:dyDescent="0.3">
      <c r="A38" s="595" t="s">
        <v>560</v>
      </c>
      <c r="B38" s="596" t="s">
        <v>334</v>
      </c>
      <c r="C38" s="597">
        <v>8.81</v>
      </c>
      <c r="D38" s="597">
        <v>27.161799999999005</v>
      </c>
      <c r="E38" s="597"/>
      <c r="F38" s="597">
        <v>27.031800000000004</v>
      </c>
      <c r="G38" s="597">
        <v>26.516333439093749</v>
      </c>
      <c r="H38" s="597">
        <v>0.51546656090625476</v>
      </c>
      <c r="I38" s="598">
        <v>1.0194395866264938</v>
      </c>
      <c r="J38" s="599" t="s">
        <v>1</v>
      </c>
    </row>
    <row r="39" spans="1:10" ht="14.4" customHeight="1" x14ac:dyDescent="0.3">
      <c r="A39" s="595" t="s">
        <v>560</v>
      </c>
      <c r="B39" s="596" t="s">
        <v>562</v>
      </c>
      <c r="C39" s="597">
        <v>175.86526000000003</v>
      </c>
      <c r="D39" s="597">
        <v>298.51095999999706</v>
      </c>
      <c r="E39" s="597"/>
      <c r="F39" s="597">
        <v>606.53129000000001</v>
      </c>
      <c r="G39" s="597">
        <v>841.47747124340401</v>
      </c>
      <c r="H39" s="597">
        <v>-234.946181243404</v>
      </c>
      <c r="I39" s="598">
        <v>0.72079326033977209</v>
      </c>
      <c r="J39" s="599" t="s">
        <v>558</v>
      </c>
    </row>
    <row r="40" spans="1:10" ht="14.4" customHeight="1" x14ac:dyDescent="0.3">
      <c r="A40" s="595" t="s">
        <v>552</v>
      </c>
      <c r="B40" s="596" t="s">
        <v>552</v>
      </c>
      <c r="C40" s="597" t="s">
        <v>552</v>
      </c>
      <c r="D40" s="597" t="s">
        <v>552</v>
      </c>
      <c r="E40" s="597"/>
      <c r="F40" s="597" t="s">
        <v>552</v>
      </c>
      <c r="G40" s="597" t="s">
        <v>552</v>
      </c>
      <c r="H40" s="597" t="s">
        <v>552</v>
      </c>
      <c r="I40" s="598" t="s">
        <v>552</v>
      </c>
      <c r="J40" s="599" t="s">
        <v>559</v>
      </c>
    </row>
    <row r="41" spans="1:10" ht="14.4" customHeight="1" x14ac:dyDescent="0.3">
      <c r="A41" s="595" t="s">
        <v>563</v>
      </c>
      <c r="B41" s="596" t="s">
        <v>564</v>
      </c>
      <c r="C41" s="597" t="s">
        <v>552</v>
      </c>
      <c r="D41" s="597" t="s">
        <v>552</v>
      </c>
      <c r="E41" s="597"/>
      <c r="F41" s="597" t="s">
        <v>552</v>
      </c>
      <c r="G41" s="597" t="s">
        <v>552</v>
      </c>
      <c r="H41" s="597" t="s">
        <v>552</v>
      </c>
      <c r="I41" s="598" t="s">
        <v>552</v>
      </c>
      <c r="J41" s="599" t="s">
        <v>0</v>
      </c>
    </row>
    <row r="42" spans="1:10" ht="14.4" customHeight="1" x14ac:dyDescent="0.3">
      <c r="A42" s="595" t="s">
        <v>563</v>
      </c>
      <c r="B42" s="596" t="s">
        <v>326</v>
      </c>
      <c r="C42" s="597" t="s">
        <v>552</v>
      </c>
      <c r="D42" s="597" t="s">
        <v>552</v>
      </c>
      <c r="E42" s="597"/>
      <c r="F42" s="597">
        <v>0.495</v>
      </c>
      <c r="G42" s="597">
        <v>0</v>
      </c>
      <c r="H42" s="597">
        <v>0.495</v>
      </c>
      <c r="I42" s="598" t="s">
        <v>552</v>
      </c>
      <c r="J42" s="599" t="s">
        <v>1</v>
      </c>
    </row>
    <row r="43" spans="1:10" ht="14.4" customHeight="1" x14ac:dyDescent="0.3">
      <c r="A43" s="595" t="s">
        <v>563</v>
      </c>
      <c r="B43" s="596" t="s">
        <v>327</v>
      </c>
      <c r="C43" s="597">
        <v>212.28798</v>
      </c>
      <c r="D43" s="597">
        <v>206.05375999999998</v>
      </c>
      <c r="E43" s="597"/>
      <c r="F43" s="597">
        <v>281.50558000000001</v>
      </c>
      <c r="G43" s="597">
        <v>346.78126463909626</v>
      </c>
      <c r="H43" s="597">
        <v>-65.275684639096255</v>
      </c>
      <c r="I43" s="598">
        <v>0.81176698024032456</v>
      </c>
      <c r="J43" s="599" t="s">
        <v>1</v>
      </c>
    </row>
    <row r="44" spans="1:10" ht="14.4" customHeight="1" x14ac:dyDescent="0.3">
      <c r="A44" s="595" t="s">
        <v>563</v>
      </c>
      <c r="B44" s="596" t="s">
        <v>328</v>
      </c>
      <c r="C44" s="597">
        <v>3.8881000000000001</v>
      </c>
      <c r="D44" s="597">
        <v>2.6135999999999999</v>
      </c>
      <c r="E44" s="597"/>
      <c r="F44" s="597">
        <v>2.6819699999999997</v>
      </c>
      <c r="G44" s="597">
        <v>2.9404858805384997</v>
      </c>
      <c r="H44" s="597">
        <v>-0.25851588053849994</v>
      </c>
      <c r="I44" s="598">
        <v>0.91208395787598295</v>
      </c>
      <c r="J44" s="599" t="s">
        <v>1</v>
      </c>
    </row>
    <row r="45" spans="1:10" ht="14.4" customHeight="1" x14ac:dyDescent="0.3">
      <c r="A45" s="595" t="s">
        <v>563</v>
      </c>
      <c r="B45" s="596" t="s">
        <v>329</v>
      </c>
      <c r="C45" s="597">
        <v>122.89006999999999</v>
      </c>
      <c r="D45" s="597">
        <v>81.843039999999007</v>
      </c>
      <c r="E45" s="597"/>
      <c r="F45" s="597">
        <v>94.818550000000016</v>
      </c>
      <c r="G45" s="597">
        <v>82.279635830365493</v>
      </c>
      <c r="H45" s="597">
        <v>12.538914169634523</v>
      </c>
      <c r="I45" s="598">
        <v>1.1523938948330519</v>
      </c>
      <c r="J45" s="599" t="s">
        <v>1</v>
      </c>
    </row>
    <row r="46" spans="1:10" ht="14.4" customHeight="1" x14ac:dyDescent="0.3">
      <c r="A46" s="595" t="s">
        <v>563</v>
      </c>
      <c r="B46" s="596" t="s">
        <v>330</v>
      </c>
      <c r="C46" s="597">
        <v>1134.4327800000001</v>
      </c>
      <c r="D46" s="597">
        <v>1651.5245799999998</v>
      </c>
      <c r="E46" s="597"/>
      <c r="F46" s="597">
        <v>1382.014450000001</v>
      </c>
      <c r="G46" s="597">
        <v>1503.6625206670801</v>
      </c>
      <c r="H46" s="597">
        <v>-121.64807066707908</v>
      </c>
      <c r="I46" s="598">
        <v>0.91909882104854779</v>
      </c>
      <c r="J46" s="599" t="s">
        <v>1</v>
      </c>
    </row>
    <row r="47" spans="1:10" ht="14.4" customHeight="1" x14ac:dyDescent="0.3">
      <c r="A47" s="595" t="s">
        <v>563</v>
      </c>
      <c r="B47" s="596" t="s">
        <v>331</v>
      </c>
      <c r="C47" s="597">
        <v>44.416370000000001</v>
      </c>
      <c r="D47" s="597">
        <v>53.567459999999002</v>
      </c>
      <c r="E47" s="597"/>
      <c r="F47" s="597">
        <v>22.036069999999999</v>
      </c>
      <c r="G47" s="597">
        <v>50.397390624170242</v>
      </c>
      <c r="H47" s="597">
        <v>-28.361320624170244</v>
      </c>
      <c r="I47" s="598">
        <v>0.43724624880542229</v>
      </c>
      <c r="J47" s="599" t="s">
        <v>1</v>
      </c>
    </row>
    <row r="48" spans="1:10" ht="14.4" customHeight="1" x14ac:dyDescent="0.3">
      <c r="A48" s="595" t="s">
        <v>563</v>
      </c>
      <c r="B48" s="596" t="s">
        <v>332</v>
      </c>
      <c r="C48" s="597">
        <v>4.0386899999999999</v>
      </c>
      <c r="D48" s="597">
        <v>6.0020499999990005</v>
      </c>
      <c r="E48" s="597"/>
      <c r="F48" s="597">
        <v>3.3344399999999998</v>
      </c>
      <c r="G48" s="597">
        <v>5.3941445992065002</v>
      </c>
      <c r="H48" s="597">
        <v>-2.0597045992065004</v>
      </c>
      <c r="I48" s="598">
        <v>0.61815917958345223</v>
      </c>
      <c r="J48" s="599" t="s">
        <v>1</v>
      </c>
    </row>
    <row r="49" spans="1:10" ht="14.4" customHeight="1" x14ac:dyDescent="0.3">
      <c r="A49" s="595" t="s">
        <v>563</v>
      </c>
      <c r="B49" s="596" t="s">
        <v>333</v>
      </c>
      <c r="C49" s="597">
        <v>3.9499999999999997</v>
      </c>
      <c r="D49" s="597">
        <v>4.6787899999990001</v>
      </c>
      <c r="E49" s="597"/>
      <c r="F49" s="597">
        <v>4.072000000000001</v>
      </c>
      <c r="G49" s="597">
        <v>4.2651803865262501</v>
      </c>
      <c r="H49" s="597">
        <v>-0.19318038652624914</v>
      </c>
      <c r="I49" s="598">
        <v>0.95470756942976953</v>
      </c>
      <c r="J49" s="599" t="s">
        <v>1</v>
      </c>
    </row>
    <row r="50" spans="1:10" ht="14.4" customHeight="1" x14ac:dyDescent="0.3">
      <c r="A50" s="595" t="s">
        <v>563</v>
      </c>
      <c r="B50" s="596" t="s">
        <v>334</v>
      </c>
      <c r="C50" s="597">
        <v>42.217999999999996</v>
      </c>
      <c r="D50" s="597">
        <v>62.440799999999001</v>
      </c>
      <c r="E50" s="597"/>
      <c r="F50" s="597">
        <v>50.761200000000002</v>
      </c>
      <c r="G50" s="597">
        <v>67.803312271917008</v>
      </c>
      <c r="H50" s="597">
        <v>-17.042112271917006</v>
      </c>
      <c r="I50" s="598">
        <v>0.74865369108264701</v>
      </c>
      <c r="J50" s="599" t="s">
        <v>1</v>
      </c>
    </row>
    <row r="51" spans="1:10" ht="14.4" customHeight="1" x14ac:dyDescent="0.3">
      <c r="A51" s="595" t="s">
        <v>563</v>
      </c>
      <c r="B51" s="596" t="s">
        <v>335</v>
      </c>
      <c r="C51" s="597">
        <v>65.997450000000001</v>
      </c>
      <c r="D51" s="597">
        <v>80.071750000000009</v>
      </c>
      <c r="E51" s="597"/>
      <c r="F51" s="597">
        <v>64.257059999999996</v>
      </c>
      <c r="G51" s="597">
        <v>80.69071720361174</v>
      </c>
      <c r="H51" s="597">
        <v>-16.433657203611745</v>
      </c>
      <c r="I51" s="598">
        <v>0.79633769815003985</v>
      </c>
      <c r="J51" s="599" t="s">
        <v>1</v>
      </c>
    </row>
    <row r="52" spans="1:10" ht="14.4" customHeight="1" x14ac:dyDescent="0.3">
      <c r="A52" s="595" t="s">
        <v>563</v>
      </c>
      <c r="B52" s="596" t="s">
        <v>336</v>
      </c>
      <c r="C52" s="597" t="s">
        <v>552</v>
      </c>
      <c r="D52" s="597">
        <v>0.21611</v>
      </c>
      <c r="E52" s="597"/>
      <c r="F52" s="597">
        <v>0</v>
      </c>
      <c r="G52" s="597">
        <v>0.165505902693</v>
      </c>
      <c r="H52" s="597">
        <v>-0.165505902693</v>
      </c>
      <c r="I52" s="598">
        <v>0</v>
      </c>
      <c r="J52" s="599" t="s">
        <v>1</v>
      </c>
    </row>
    <row r="53" spans="1:10" ht="14.4" customHeight="1" x14ac:dyDescent="0.3">
      <c r="A53" s="595" t="s">
        <v>563</v>
      </c>
      <c r="B53" s="596" t="s">
        <v>565</v>
      </c>
      <c r="C53" s="597">
        <v>1634.1194400000004</v>
      </c>
      <c r="D53" s="597">
        <v>2149.0119399999949</v>
      </c>
      <c r="E53" s="597"/>
      <c r="F53" s="597">
        <v>1905.9763200000009</v>
      </c>
      <c r="G53" s="597">
        <v>2144.380158005205</v>
      </c>
      <c r="H53" s="597">
        <v>-238.40383800520408</v>
      </c>
      <c r="I53" s="598">
        <v>0.88882389294863762</v>
      </c>
      <c r="J53" s="599" t="s">
        <v>558</v>
      </c>
    </row>
    <row r="54" spans="1:10" ht="14.4" customHeight="1" x14ac:dyDescent="0.3">
      <c r="A54" s="595" t="s">
        <v>552</v>
      </c>
      <c r="B54" s="596" t="s">
        <v>552</v>
      </c>
      <c r="C54" s="597" t="s">
        <v>552</v>
      </c>
      <c r="D54" s="597" t="s">
        <v>552</v>
      </c>
      <c r="E54" s="597"/>
      <c r="F54" s="597" t="s">
        <v>552</v>
      </c>
      <c r="G54" s="597" t="s">
        <v>552</v>
      </c>
      <c r="H54" s="597" t="s">
        <v>552</v>
      </c>
      <c r="I54" s="598" t="s">
        <v>552</v>
      </c>
      <c r="J54" s="599" t="s">
        <v>559</v>
      </c>
    </row>
    <row r="55" spans="1:10" ht="14.4" customHeight="1" x14ac:dyDescent="0.3">
      <c r="A55" s="595" t="s">
        <v>550</v>
      </c>
      <c r="B55" s="596" t="s">
        <v>553</v>
      </c>
      <c r="C55" s="597">
        <v>2014.0546200000003</v>
      </c>
      <c r="D55" s="597">
        <v>2676.6263299999905</v>
      </c>
      <c r="E55" s="597"/>
      <c r="F55" s="597">
        <v>2705.2074800000014</v>
      </c>
      <c r="G55" s="597">
        <v>3220.4395849267357</v>
      </c>
      <c r="H55" s="597">
        <v>-515.23210492673434</v>
      </c>
      <c r="I55" s="598">
        <v>0.84001187063459359</v>
      </c>
      <c r="J55" s="599" t="s">
        <v>554</v>
      </c>
    </row>
  </sheetData>
  <mergeCells count="3">
    <mergeCell ref="A1:I1"/>
    <mergeCell ref="F3:I3"/>
    <mergeCell ref="C4:D4"/>
  </mergeCells>
  <conditionalFormatting sqref="F18 F56:F65537">
    <cfRule type="cellIs" dxfId="37" priority="18" stopIfTrue="1" operator="greaterThan">
      <formula>1</formula>
    </cfRule>
  </conditionalFormatting>
  <conditionalFormatting sqref="H5:H17">
    <cfRule type="expression" dxfId="36" priority="14">
      <formula>$H5&gt;0</formula>
    </cfRule>
  </conditionalFormatting>
  <conditionalFormatting sqref="I5:I17">
    <cfRule type="expression" dxfId="35" priority="15">
      <formula>$I5&gt;1</formula>
    </cfRule>
  </conditionalFormatting>
  <conditionalFormatting sqref="B5:B17">
    <cfRule type="expression" dxfId="34" priority="11">
      <formula>OR($J5="NS",$J5="SumaNS",$J5="Účet")</formula>
    </cfRule>
  </conditionalFormatting>
  <conditionalFormatting sqref="F5:I17 B5:D17">
    <cfRule type="expression" dxfId="33" priority="17">
      <formula>AND($J5&lt;&gt;"",$J5&lt;&gt;"mezeraKL")</formula>
    </cfRule>
  </conditionalFormatting>
  <conditionalFormatting sqref="B5:D17 F5:I1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1" priority="13">
      <formula>OR($J5="SumaNS",$J5="NS")</formula>
    </cfRule>
  </conditionalFormatting>
  <conditionalFormatting sqref="A5:A17">
    <cfRule type="expression" dxfId="30" priority="9">
      <formula>AND($J5&lt;&gt;"mezeraKL",$J5&lt;&gt;"")</formula>
    </cfRule>
  </conditionalFormatting>
  <conditionalFormatting sqref="A5:A17">
    <cfRule type="expression" dxfId="29" priority="10">
      <formula>AND($J5&lt;&gt;"",$J5&lt;&gt;"mezeraKL")</formula>
    </cfRule>
  </conditionalFormatting>
  <conditionalFormatting sqref="H19:H55">
    <cfRule type="expression" dxfId="28" priority="5">
      <formula>$H19&gt;0</formula>
    </cfRule>
  </conditionalFormatting>
  <conditionalFormatting sqref="A19:A55">
    <cfRule type="expression" dxfId="27" priority="2">
      <formula>AND($J19&lt;&gt;"mezeraKL",$J19&lt;&gt;"")</formula>
    </cfRule>
  </conditionalFormatting>
  <conditionalFormatting sqref="I19:I55">
    <cfRule type="expression" dxfId="26" priority="6">
      <formula>$I19&gt;1</formula>
    </cfRule>
  </conditionalFormatting>
  <conditionalFormatting sqref="B19:B55">
    <cfRule type="expression" dxfId="25" priority="1">
      <formula>OR($J19="NS",$J19="SumaNS",$J19="Účet")</formula>
    </cfRule>
  </conditionalFormatting>
  <conditionalFormatting sqref="A19:D55 F19:I55">
    <cfRule type="expression" dxfId="24" priority="8">
      <formula>AND($J19&lt;&gt;"",$J19&lt;&gt;"mezeraKL")</formula>
    </cfRule>
  </conditionalFormatting>
  <conditionalFormatting sqref="B19:D55 F19:I55">
    <cfRule type="expression" dxfId="23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55 F19:I55">
    <cfRule type="expression" dxfId="22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4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8"/>
  </cols>
  <sheetData>
    <row r="1" spans="1:11" ht="18.600000000000001" customHeight="1" thickBot="1" x14ac:dyDescent="0.4">
      <c r="A1" s="488" t="s">
        <v>1724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484"/>
      <c r="D3" s="485"/>
      <c r="E3" s="485"/>
      <c r="F3" s="485"/>
      <c r="G3" s="485"/>
      <c r="H3" s="251" t="s">
        <v>142</v>
      </c>
      <c r="I3" s="192">
        <f>IF(J3&lt;&gt;0,K3/J3,0)</f>
        <v>5.7068516627709736</v>
      </c>
      <c r="J3" s="192">
        <f>SUBTOTAL(9,J5:J1048576)</f>
        <v>474028</v>
      </c>
      <c r="K3" s="193">
        <f>SUBTOTAL(9,K5:K1048576)</f>
        <v>2705207.4799999991</v>
      </c>
    </row>
    <row r="4" spans="1:11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77</v>
      </c>
      <c r="H4" s="602" t="s">
        <v>11</v>
      </c>
      <c r="I4" s="603" t="s">
        <v>165</v>
      </c>
      <c r="J4" s="603" t="s">
        <v>13</v>
      </c>
      <c r="K4" s="604" t="s">
        <v>176</v>
      </c>
    </row>
    <row r="5" spans="1:11" ht="14.4" customHeight="1" x14ac:dyDescent="0.3">
      <c r="A5" s="605" t="s">
        <v>550</v>
      </c>
      <c r="B5" s="606" t="s">
        <v>551</v>
      </c>
      <c r="C5" s="607" t="s">
        <v>555</v>
      </c>
      <c r="D5" s="608" t="s">
        <v>1182</v>
      </c>
      <c r="E5" s="607" t="s">
        <v>1704</v>
      </c>
      <c r="F5" s="608" t="s">
        <v>1705</v>
      </c>
      <c r="G5" s="607" t="s">
        <v>1247</v>
      </c>
      <c r="H5" s="607" t="s">
        <v>1248</v>
      </c>
      <c r="I5" s="609">
        <v>4.3</v>
      </c>
      <c r="J5" s="609">
        <v>24</v>
      </c>
      <c r="K5" s="610">
        <v>103.2</v>
      </c>
    </row>
    <row r="6" spans="1:11" ht="14.4" customHeight="1" x14ac:dyDescent="0.3">
      <c r="A6" s="611" t="s">
        <v>550</v>
      </c>
      <c r="B6" s="612" t="s">
        <v>551</v>
      </c>
      <c r="C6" s="613" t="s">
        <v>555</v>
      </c>
      <c r="D6" s="614" t="s">
        <v>1182</v>
      </c>
      <c r="E6" s="613" t="s">
        <v>1704</v>
      </c>
      <c r="F6" s="614" t="s">
        <v>1705</v>
      </c>
      <c r="G6" s="613" t="s">
        <v>1249</v>
      </c>
      <c r="H6" s="613" t="s">
        <v>1250</v>
      </c>
      <c r="I6" s="615">
        <v>8.52</v>
      </c>
      <c r="J6" s="615">
        <v>2</v>
      </c>
      <c r="K6" s="616">
        <v>17.04</v>
      </c>
    </row>
    <row r="7" spans="1:11" ht="14.4" customHeight="1" x14ac:dyDescent="0.3">
      <c r="A7" s="611" t="s">
        <v>550</v>
      </c>
      <c r="B7" s="612" t="s">
        <v>551</v>
      </c>
      <c r="C7" s="613" t="s">
        <v>555</v>
      </c>
      <c r="D7" s="614" t="s">
        <v>1182</v>
      </c>
      <c r="E7" s="613" t="s">
        <v>1704</v>
      </c>
      <c r="F7" s="614" t="s">
        <v>1705</v>
      </c>
      <c r="G7" s="613" t="s">
        <v>1251</v>
      </c>
      <c r="H7" s="613" t="s">
        <v>1252</v>
      </c>
      <c r="I7" s="615">
        <v>27.521111111111111</v>
      </c>
      <c r="J7" s="615">
        <v>24</v>
      </c>
      <c r="K7" s="616">
        <v>660.86</v>
      </c>
    </row>
    <row r="8" spans="1:11" ht="14.4" customHeight="1" x14ac:dyDescent="0.3">
      <c r="A8" s="611" t="s">
        <v>550</v>
      </c>
      <c r="B8" s="612" t="s">
        <v>551</v>
      </c>
      <c r="C8" s="613" t="s">
        <v>555</v>
      </c>
      <c r="D8" s="614" t="s">
        <v>1182</v>
      </c>
      <c r="E8" s="613" t="s">
        <v>1704</v>
      </c>
      <c r="F8" s="614" t="s">
        <v>1705</v>
      </c>
      <c r="G8" s="613" t="s">
        <v>1253</v>
      </c>
      <c r="H8" s="613" t="s">
        <v>1254</v>
      </c>
      <c r="I8" s="615">
        <v>1.43</v>
      </c>
      <c r="J8" s="615">
        <v>800</v>
      </c>
      <c r="K8" s="616">
        <v>1142.5999999999999</v>
      </c>
    </row>
    <row r="9" spans="1:11" ht="14.4" customHeight="1" x14ac:dyDescent="0.3">
      <c r="A9" s="611" t="s">
        <v>550</v>
      </c>
      <c r="B9" s="612" t="s">
        <v>551</v>
      </c>
      <c r="C9" s="613" t="s">
        <v>555</v>
      </c>
      <c r="D9" s="614" t="s">
        <v>1182</v>
      </c>
      <c r="E9" s="613" t="s">
        <v>1704</v>
      </c>
      <c r="F9" s="614" t="s">
        <v>1705</v>
      </c>
      <c r="G9" s="613" t="s">
        <v>1255</v>
      </c>
      <c r="H9" s="613" t="s">
        <v>1256</v>
      </c>
      <c r="I9" s="615">
        <v>0.14222222222222225</v>
      </c>
      <c r="J9" s="615">
        <v>4100</v>
      </c>
      <c r="K9" s="616">
        <v>584</v>
      </c>
    </row>
    <row r="10" spans="1:11" ht="14.4" customHeight="1" x14ac:dyDescent="0.3">
      <c r="A10" s="611" t="s">
        <v>550</v>
      </c>
      <c r="B10" s="612" t="s">
        <v>551</v>
      </c>
      <c r="C10" s="613" t="s">
        <v>555</v>
      </c>
      <c r="D10" s="614" t="s">
        <v>1182</v>
      </c>
      <c r="E10" s="613" t="s">
        <v>1704</v>
      </c>
      <c r="F10" s="614" t="s">
        <v>1705</v>
      </c>
      <c r="G10" s="613" t="s">
        <v>1257</v>
      </c>
      <c r="H10" s="613" t="s">
        <v>1258</v>
      </c>
      <c r="I10" s="615">
        <v>2.82</v>
      </c>
      <c r="J10" s="615">
        <v>100</v>
      </c>
      <c r="K10" s="616">
        <v>282</v>
      </c>
    </row>
    <row r="11" spans="1:11" ht="14.4" customHeight="1" x14ac:dyDescent="0.3">
      <c r="A11" s="611" t="s">
        <v>550</v>
      </c>
      <c r="B11" s="612" t="s">
        <v>551</v>
      </c>
      <c r="C11" s="613" t="s">
        <v>555</v>
      </c>
      <c r="D11" s="614" t="s">
        <v>1182</v>
      </c>
      <c r="E11" s="613" t="s">
        <v>1704</v>
      </c>
      <c r="F11" s="614" t="s">
        <v>1705</v>
      </c>
      <c r="G11" s="613" t="s">
        <v>1259</v>
      </c>
      <c r="H11" s="613" t="s">
        <v>1260</v>
      </c>
      <c r="I11" s="615">
        <v>1.21</v>
      </c>
      <c r="J11" s="615">
        <v>10</v>
      </c>
      <c r="K11" s="616">
        <v>12.1</v>
      </c>
    </row>
    <row r="12" spans="1:11" ht="14.4" customHeight="1" x14ac:dyDescent="0.3">
      <c r="A12" s="611" t="s">
        <v>550</v>
      </c>
      <c r="B12" s="612" t="s">
        <v>551</v>
      </c>
      <c r="C12" s="613" t="s">
        <v>555</v>
      </c>
      <c r="D12" s="614" t="s">
        <v>1182</v>
      </c>
      <c r="E12" s="613" t="s">
        <v>1704</v>
      </c>
      <c r="F12" s="614" t="s">
        <v>1705</v>
      </c>
      <c r="G12" s="613" t="s">
        <v>1261</v>
      </c>
      <c r="H12" s="613" t="s">
        <v>1262</v>
      </c>
      <c r="I12" s="615">
        <v>1.17</v>
      </c>
      <c r="J12" s="615">
        <v>4</v>
      </c>
      <c r="K12" s="616">
        <v>4.68</v>
      </c>
    </row>
    <row r="13" spans="1:11" ht="14.4" customHeight="1" x14ac:dyDescent="0.3">
      <c r="A13" s="611" t="s">
        <v>550</v>
      </c>
      <c r="B13" s="612" t="s">
        <v>551</v>
      </c>
      <c r="C13" s="613" t="s">
        <v>555</v>
      </c>
      <c r="D13" s="614" t="s">
        <v>1182</v>
      </c>
      <c r="E13" s="613" t="s">
        <v>1704</v>
      </c>
      <c r="F13" s="614" t="s">
        <v>1705</v>
      </c>
      <c r="G13" s="613" t="s">
        <v>1263</v>
      </c>
      <c r="H13" s="613" t="s">
        <v>1264</v>
      </c>
      <c r="I13" s="615">
        <v>0.3</v>
      </c>
      <c r="J13" s="615">
        <v>4500</v>
      </c>
      <c r="K13" s="616">
        <v>1362.99</v>
      </c>
    </row>
    <row r="14" spans="1:11" ht="14.4" customHeight="1" x14ac:dyDescent="0.3">
      <c r="A14" s="611" t="s">
        <v>550</v>
      </c>
      <c r="B14" s="612" t="s">
        <v>551</v>
      </c>
      <c r="C14" s="613" t="s">
        <v>555</v>
      </c>
      <c r="D14" s="614" t="s">
        <v>1182</v>
      </c>
      <c r="E14" s="613" t="s">
        <v>1704</v>
      </c>
      <c r="F14" s="614" t="s">
        <v>1705</v>
      </c>
      <c r="G14" s="613" t="s">
        <v>1265</v>
      </c>
      <c r="H14" s="613" t="s">
        <v>1266</v>
      </c>
      <c r="I14" s="615">
        <v>0.3</v>
      </c>
      <c r="J14" s="615">
        <v>24000</v>
      </c>
      <c r="K14" s="616">
        <v>7097.84</v>
      </c>
    </row>
    <row r="15" spans="1:11" ht="14.4" customHeight="1" x14ac:dyDescent="0.3">
      <c r="A15" s="611" t="s">
        <v>550</v>
      </c>
      <c r="B15" s="612" t="s">
        <v>551</v>
      </c>
      <c r="C15" s="613" t="s">
        <v>555</v>
      </c>
      <c r="D15" s="614" t="s">
        <v>1182</v>
      </c>
      <c r="E15" s="613" t="s">
        <v>1704</v>
      </c>
      <c r="F15" s="614" t="s">
        <v>1705</v>
      </c>
      <c r="G15" s="613" t="s">
        <v>1267</v>
      </c>
      <c r="H15" s="613" t="s">
        <v>1268</v>
      </c>
      <c r="I15" s="615">
        <v>17.64</v>
      </c>
      <c r="J15" s="615">
        <v>6</v>
      </c>
      <c r="K15" s="616">
        <v>105.86</v>
      </c>
    </row>
    <row r="16" spans="1:11" ht="14.4" customHeight="1" x14ac:dyDescent="0.3">
      <c r="A16" s="611" t="s">
        <v>550</v>
      </c>
      <c r="B16" s="612" t="s">
        <v>551</v>
      </c>
      <c r="C16" s="613" t="s">
        <v>555</v>
      </c>
      <c r="D16" s="614" t="s">
        <v>1182</v>
      </c>
      <c r="E16" s="613" t="s">
        <v>1704</v>
      </c>
      <c r="F16" s="614" t="s">
        <v>1705</v>
      </c>
      <c r="G16" s="613" t="s">
        <v>1269</v>
      </c>
      <c r="H16" s="613" t="s">
        <v>1270</v>
      </c>
      <c r="I16" s="615">
        <v>0.32</v>
      </c>
      <c r="J16" s="615">
        <v>25</v>
      </c>
      <c r="K16" s="616">
        <v>8</v>
      </c>
    </row>
    <row r="17" spans="1:11" ht="14.4" customHeight="1" x14ac:dyDescent="0.3">
      <c r="A17" s="611" t="s">
        <v>550</v>
      </c>
      <c r="B17" s="612" t="s">
        <v>551</v>
      </c>
      <c r="C17" s="613" t="s">
        <v>555</v>
      </c>
      <c r="D17" s="614" t="s">
        <v>1182</v>
      </c>
      <c r="E17" s="613" t="s">
        <v>1706</v>
      </c>
      <c r="F17" s="614" t="s">
        <v>1707</v>
      </c>
      <c r="G17" s="613" t="s">
        <v>1271</v>
      </c>
      <c r="H17" s="613" t="s">
        <v>1272</v>
      </c>
      <c r="I17" s="615">
        <v>1.42</v>
      </c>
      <c r="J17" s="615">
        <v>1600</v>
      </c>
      <c r="K17" s="616">
        <v>2274.6</v>
      </c>
    </row>
    <row r="18" spans="1:11" ht="14.4" customHeight="1" x14ac:dyDescent="0.3">
      <c r="A18" s="611" t="s">
        <v>550</v>
      </c>
      <c r="B18" s="612" t="s">
        <v>551</v>
      </c>
      <c r="C18" s="613" t="s">
        <v>555</v>
      </c>
      <c r="D18" s="614" t="s">
        <v>1182</v>
      </c>
      <c r="E18" s="613" t="s">
        <v>1706</v>
      </c>
      <c r="F18" s="614" t="s">
        <v>1707</v>
      </c>
      <c r="G18" s="613" t="s">
        <v>1273</v>
      </c>
      <c r="H18" s="613" t="s">
        <v>1274</v>
      </c>
      <c r="I18" s="615">
        <v>15.92</v>
      </c>
      <c r="J18" s="615">
        <v>50</v>
      </c>
      <c r="K18" s="616">
        <v>796</v>
      </c>
    </row>
    <row r="19" spans="1:11" ht="14.4" customHeight="1" x14ac:dyDescent="0.3">
      <c r="A19" s="611" t="s">
        <v>550</v>
      </c>
      <c r="B19" s="612" t="s">
        <v>551</v>
      </c>
      <c r="C19" s="613" t="s">
        <v>555</v>
      </c>
      <c r="D19" s="614" t="s">
        <v>1182</v>
      </c>
      <c r="E19" s="613" t="s">
        <v>1706</v>
      </c>
      <c r="F19" s="614" t="s">
        <v>1707</v>
      </c>
      <c r="G19" s="613" t="s">
        <v>1275</v>
      </c>
      <c r="H19" s="613" t="s">
        <v>1276</v>
      </c>
      <c r="I19" s="615">
        <v>2.4071428571428575</v>
      </c>
      <c r="J19" s="615">
        <v>550</v>
      </c>
      <c r="K19" s="616">
        <v>1324</v>
      </c>
    </row>
    <row r="20" spans="1:11" ht="14.4" customHeight="1" x14ac:dyDescent="0.3">
      <c r="A20" s="611" t="s">
        <v>550</v>
      </c>
      <c r="B20" s="612" t="s">
        <v>551</v>
      </c>
      <c r="C20" s="613" t="s">
        <v>555</v>
      </c>
      <c r="D20" s="614" t="s">
        <v>1182</v>
      </c>
      <c r="E20" s="613" t="s">
        <v>1706</v>
      </c>
      <c r="F20" s="614" t="s">
        <v>1707</v>
      </c>
      <c r="G20" s="613" t="s">
        <v>1277</v>
      </c>
      <c r="H20" s="613" t="s">
        <v>1278</v>
      </c>
      <c r="I20" s="615">
        <v>30.23</v>
      </c>
      <c r="J20" s="615">
        <v>100</v>
      </c>
      <c r="K20" s="616">
        <v>3023</v>
      </c>
    </row>
    <row r="21" spans="1:11" ht="14.4" customHeight="1" x14ac:dyDescent="0.3">
      <c r="A21" s="611" t="s">
        <v>550</v>
      </c>
      <c r="B21" s="612" t="s">
        <v>551</v>
      </c>
      <c r="C21" s="613" t="s">
        <v>555</v>
      </c>
      <c r="D21" s="614" t="s">
        <v>1182</v>
      </c>
      <c r="E21" s="613" t="s">
        <v>1706</v>
      </c>
      <c r="F21" s="614" t="s">
        <v>1707</v>
      </c>
      <c r="G21" s="613" t="s">
        <v>1279</v>
      </c>
      <c r="H21" s="613" t="s">
        <v>1280</v>
      </c>
      <c r="I21" s="615">
        <v>2.75</v>
      </c>
      <c r="J21" s="615">
        <v>800</v>
      </c>
      <c r="K21" s="616">
        <v>2200</v>
      </c>
    </row>
    <row r="22" spans="1:11" ht="14.4" customHeight="1" x14ac:dyDescent="0.3">
      <c r="A22" s="611" t="s">
        <v>550</v>
      </c>
      <c r="B22" s="612" t="s">
        <v>551</v>
      </c>
      <c r="C22" s="613" t="s">
        <v>555</v>
      </c>
      <c r="D22" s="614" t="s">
        <v>1182</v>
      </c>
      <c r="E22" s="613" t="s">
        <v>1706</v>
      </c>
      <c r="F22" s="614" t="s">
        <v>1707</v>
      </c>
      <c r="G22" s="613" t="s">
        <v>1281</v>
      </c>
      <c r="H22" s="613" t="s">
        <v>1282</v>
      </c>
      <c r="I22" s="615">
        <v>4.1500000000000004</v>
      </c>
      <c r="J22" s="615">
        <v>50</v>
      </c>
      <c r="K22" s="616">
        <v>207.33</v>
      </c>
    </row>
    <row r="23" spans="1:11" ht="14.4" customHeight="1" x14ac:dyDescent="0.3">
      <c r="A23" s="611" t="s">
        <v>550</v>
      </c>
      <c r="B23" s="612" t="s">
        <v>551</v>
      </c>
      <c r="C23" s="613" t="s">
        <v>555</v>
      </c>
      <c r="D23" s="614" t="s">
        <v>1182</v>
      </c>
      <c r="E23" s="613" t="s">
        <v>1706</v>
      </c>
      <c r="F23" s="614" t="s">
        <v>1707</v>
      </c>
      <c r="G23" s="613" t="s">
        <v>1283</v>
      </c>
      <c r="H23" s="613" t="s">
        <v>1284</v>
      </c>
      <c r="I23" s="615">
        <v>1.01</v>
      </c>
      <c r="J23" s="615">
        <v>2500</v>
      </c>
      <c r="K23" s="616">
        <v>2532</v>
      </c>
    </row>
    <row r="24" spans="1:11" ht="14.4" customHeight="1" x14ac:dyDescent="0.3">
      <c r="A24" s="611" t="s">
        <v>550</v>
      </c>
      <c r="B24" s="612" t="s">
        <v>551</v>
      </c>
      <c r="C24" s="613" t="s">
        <v>555</v>
      </c>
      <c r="D24" s="614" t="s">
        <v>1182</v>
      </c>
      <c r="E24" s="613" t="s">
        <v>1706</v>
      </c>
      <c r="F24" s="614" t="s">
        <v>1707</v>
      </c>
      <c r="G24" s="613" t="s">
        <v>1285</v>
      </c>
      <c r="H24" s="613" t="s">
        <v>1286</v>
      </c>
      <c r="I24" s="615">
        <v>1.5309999999999999</v>
      </c>
      <c r="J24" s="615">
        <v>7200</v>
      </c>
      <c r="K24" s="616">
        <v>11100</v>
      </c>
    </row>
    <row r="25" spans="1:11" ht="14.4" customHeight="1" x14ac:dyDescent="0.3">
      <c r="A25" s="611" t="s">
        <v>550</v>
      </c>
      <c r="B25" s="612" t="s">
        <v>551</v>
      </c>
      <c r="C25" s="613" t="s">
        <v>555</v>
      </c>
      <c r="D25" s="614" t="s">
        <v>1182</v>
      </c>
      <c r="E25" s="613" t="s">
        <v>1706</v>
      </c>
      <c r="F25" s="614" t="s">
        <v>1707</v>
      </c>
      <c r="G25" s="613" t="s">
        <v>1287</v>
      </c>
      <c r="H25" s="613" t="s">
        <v>1288</v>
      </c>
      <c r="I25" s="615">
        <v>0.44222222222222213</v>
      </c>
      <c r="J25" s="615">
        <v>2500</v>
      </c>
      <c r="K25" s="616">
        <v>1099</v>
      </c>
    </row>
    <row r="26" spans="1:11" ht="14.4" customHeight="1" x14ac:dyDescent="0.3">
      <c r="A26" s="611" t="s">
        <v>550</v>
      </c>
      <c r="B26" s="612" t="s">
        <v>551</v>
      </c>
      <c r="C26" s="613" t="s">
        <v>555</v>
      </c>
      <c r="D26" s="614" t="s">
        <v>1182</v>
      </c>
      <c r="E26" s="613" t="s">
        <v>1706</v>
      </c>
      <c r="F26" s="614" t="s">
        <v>1707</v>
      </c>
      <c r="G26" s="613" t="s">
        <v>1289</v>
      </c>
      <c r="H26" s="613" t="s">
        <v>1290</v>
      </c>
      <c r="I26" s="615">
        <v>0.62333333333333329</v>
      </c>
      <c r="J26" s="615">
        <v>2600</v>
      </c>
      <c r="K26" s="616">
        <v>1616</v>
      </c>
    </row>
    <row r="27" spans="1:11" ht="14.4" customHeight="1" x14ac:dyDescent="0.3">
      <c r="A27" s="611" t="s">
        <v>550</v>
      </c>
      <c r="B27" s="612" t="s">
        <v>551</v>
      </c>
      <c r="C27" s="613" t="s">
        <v>555</v>
      </c>
      <c r="D27" s="614" t="s">
        <v>1182</v>
      </c>
      <c r="E27" s="613" t="s">
        <v>1706</v>
      </c>
      <c r="F27" s="614" t="s">
        <v>1707</v>
      </c>
      <c r="G27" s="613" t="s">
        <v>1291</v>
      </c>
      <c r="H27" s="613" t="s">
        <v>1292</v>
      </c>
      <c r="I27" s="615">
        <v>3.2188888888888885</v>
      </c>
      <c r="J27" s="615">
        <v>900</v>
      </c>
      <c r="K27" s="616">
        <v>2896.5</v>
      </c>
    </row>
    <row r="28" spans="1:11" ht="14.4" customHeight="1" x14ac:dyDescent="0.3">
      <c r="A28" s="611" t="s">
        <v>550</v>
      </c>
      <c r="B28" s="612" t="s">
        <v>551</v>
      </c>
      <c r="C28" s="613" t="s">
        <v>555</v>
      </c>
      <c r="D28" s="614" t="s">
        <v>1182</v>
      </c>
      <c r="E28" s="613" t="s">
        <v>1706</v>
      </c>
      <c r="F28" s="614" t="s">
        <v>1707</v>
      </c>
      <c r="G28" s="613" t="s">
        <v>1293</v>
      </c>
      <c r="H28" s="613" t="s">
        <v>1294</v>
      </c>
      <c r="I28" s="615">
        <v>2.4200000000000004</v>
      </c>
      <c r="J28" s="615">
        <v>650</v>
      </c>
      <c r="K28" s="616">
        <v>1565.5</v>
      </c>
    </row>
    <row r="29" spans="1:11" ht="14.4" customHeight="1" x14ac:dyDescent="0.3">
      <c r="A29" s="611" t="s">
        <v>550</v>
      </c>
      <c r="B29" s="612" t="s">
        <v>551</v>
      </c>
      <c r="C29" s="613" t="s">
        <v>555</v>
      </c>
      <c r="D29" s="614" t="s">
        <v>1182</v>
      </c>
      <c r="E29" s="613" t="s">
        <v>1706</v>
      </c>
      <c r="F29" s="614" t="s">
        <v>1707</v>
      </c>
      <c r="G29" s="613" t="s">
        <v>1293</v>
      </c>
      <c r="H29" s="613" t="s">
        <v>1295</v>
      </c>
      <c r="I29" s="615">
        <v>2.46</v>
      </c>
      <c r="J29" s="615">
        <v>300</v>
      </c>
      <c r="K29" s="616">
        <v>738</v>
      </c>
    </row>
    <row r="30" spans="1:11" ht="14.4" customHeight="1" x14ac:dyDescent="0.3">
      <c r="A30" s="611" t="s">
        <v>550</v>
      </c>
      <c r="B30" s="612" t="s">
        <v>551</v>
      </c>
      <c r="C30" s="613" t="s">
        <v>555</v>
      </c>
      <c r="D30" s="614" t="s">
        <v>1182</v>
      </c>
      <c r="E30" s="613" t="s">
        <v>1706</v>
      </c>
      <c r="F30" s="614" t="s">
        <v>1707</v>
      </c>
      <c r="G30" s="613" t="s">
        <v>1296</v>
      </c>
      <c r="H30" s="613" t="s">
        <v>1297</v>
      </c>
      <c r="I30" s="615">
        <v>32.67</v>
      </c>
      <c r="J30" s="615">
        <v>50</v>
      </c>
      <c r="K30" s="616">
        <v>1633.5</v>
      </c>
    </row>
    <row r="31" spans="1:11" ht="14.4" customHeight="1" x14ac:dyDescent="0.3">
      <c r="A31" s="611" t="s">
        <v>550</v>
      </c>
      <c r="B31" s="612" t="s">
        <v>551</v>
      </c>
      <c r="C31" s="613" t="s">
        <v>555</v>
      </c>
      <c r="D31" s="614" t="s">
        <v>1182</v>
      </c>
      <c r="E31" s="613" t="s">
        <v>1706</v>
      </c>
      <c r="F31" s="614" t="s">
        <v>1707</v>
      </c>
      <c r="G31" s="613" t="s">
        <v>1298</v>
      </c>
      <c r="H31" s="613" t="s">
        <v>1299</v>
      </c>
      <c r="I31" s="615">
        <v>25.96</v>
      </c>
      <c r="J31" s="615">
        <v>40</v>
      </c>
      <c r="K31" s="616">
        <v>1038.4000000000001</v>
      </c>
    </row>
    <row r="32" spans="1:11" ht="14.4" customHeight="1" x14ac:dyDescent="0.3">
      <c r="A32" s="611" t="s">
        <v>550</v>
      </c>
      <c r="B32" s="612" t="s">
        <v>551</v>
      </c>
      <c r="C32" s="613" t="s">
        <v>555</v>
      </c>
      <c r="D32" s="614" t="s">
        <v>1182</v>
      </c>
      <c r="E32" s="613" t="s">
        <v>1706</v>
      </c>
      <c r="F32" s="614" t="s">
        <v>1707</v>
      </c>
      <c r="G32" s="613" t="s">
        <v>1300</v>
      </c>
      <c r="H32" s="613" t="s">
        <v>1301</v>
      </c>
      <c r="I32" s="615">
        <v>9.15</v>
      </c>
      <c r="J32" s="615">
        <v>100</v>
      </c>
      <c r="K32" s="616">
        <v>914.65</v>
      </c>
    </row>
    <row r="33" spans="1:11" ht="14.4" customHeight="1" x14ac:dyDescent="0.3">
      <c r="A33" s="611" t="s">
        <v>550</v>
      </c>
      <c r="B33" s="612" t="s">
        <v>551</v>
      </c>
      <c r="C33" s="613" t="s">
        <v>555</v>
      </c>
      <c r="D33" s="614" t="s">
        <v>1182</v>
      </c>
      <c r="E33" s="613" t="s">
        <v>1706</v>
      </c>
      <c r="F33" s="614" t="s">
        <v>1707</v>
      </c>
      <c r="G33" s="613" t="s">
        <v>1302</v>
      </c>
      <c r="H33" s="613" t="s">
        <v>1303</v>
      </c>
      <c r="I33" s="615">
        <v>5.41</v>
      </c>
      <c r="J33" s="615">
        <v>100</v>
      </c>
      <c r="K33" s="616">
        <v>541</v>
      </c>
    </row>
    <row r="34" spans="1:11" ht="14.4" customHeight="1" x14ac:dyDescent="0.3">
      <c r="A34" s="611" t="s">
        <v>550</v>
      </c>
      <c r="B34" s="612" t="s">
        <v>551</v>
      </c>
      <c r="C34" s="613" t="s">
        <v>555</v>
      </c>
      <c r="D34" s="614" t="s">
        <v>1182</v>
      </c>
      <c r="E34" s="613" t="s">
        <v>1706</v>
      </c>
      <c r="F34" s="614" t="s">
        <v>1707</v>
      </c>
      <c r="G34" s="613" t="s">
        <v>1304</v>
      </c>
      <c r="H34" s="613" t="s">
        <v>1305</v>
      </c>
      <c r="I34" s="615">
        <v>1326.17</v>
      </c>
      <c r="J34" s="615">
        <v>8</v>
      </c>
      <c r="K34" s="616">
        <v>10609.3</v>
      </c>
    </row>
    <row r="35" spans="1:11" ht="14.4" customHeight="1" x14ac:dyDescent="0.3">
      <c r="A35" s="611" t="s">
        <v>550</v>
      </c>
      <c r="B35" s="612" t="s">
        <v>551</v>
      </c>
      <c r="C35" s="613" t="s">
        <v>555</v>
      </c>
      <c r="D35" s="614" t="s">
        <v>1182</v>
      </c>
      <c r="E35" s="613" t="s">
        <v>1706</v>
      </c>
      <c r="F35" s="614" t="s">
        <v>1707</v>
      </c>
      <c r="G35" s="613" t="s">
        <v>1306</v>
      </c>
      <c r="H35" s="613" t="s">
        <v>1307</v>
      </c>
      <c r="I35" s="615">
        <v>2.3366666666666664</v>
      </c>
      <c r="J35" s="615">
        <v>300</v>
      </c>
      <c r="K35" s="616">
        <v>701</v>
      </c>
    </row>
    <row r="36" spans="1:11" ht="14.4" customHeight="1" x14ac:dyDescent="0.3">
      <c r="A36" s="611" t="s">
        <v>550</v>
      </c>
      <c r="B36" s="612" t="s">
        <v>551</v>
      </c>
      <c r="C36" s="613" t="s">
        <v>555</v>
      </c>
      <c r="D36" s="614" t="s">
        <v>1182</v>
      </c>
      <c r="E36" s="613" t="s">
        <v>1706</v>
      </c>
      <c r="F36" s="614" t="s">
        <v>1707</v>
      </c>
      <c r="G36" s="613" t="s">
        <v>1306</v>
      </c>
      <c r="H36" s="613" t="s">
        <v>1308</v>
      </c>
      <c r="I36" s="615">
        <v>2.34</v>
      </c>
      <c r="J36" s="615">
        <v>500</v>
      </c>
      <c r="K36" s="616">
        <v>1170</v>
      </c>
    </row>
    <row r="37" spans="1:11" ht="14.4" customHeight="1" x14ac:dyDescent="0.3">
      <c r="A37" s="611" t="s">
        <v>550</v>
      </c>
      <c r="B37" s="612" t="s">
        <v>551</v>
      </c>
      <c r="C37" s="613" t="s">
        <v>555</v>
      </c>
      <c r="D37" s="614" t="s">
        <v>1182</v>
      </c>
      <c r="E37" s="613" t="s">
        <v>1706</v>
      </c>
      <c r="F37" s="614" t="s">
        <v>1707</v>
      </c>
      <c r="G37" s="613" t="s">
        <v>1306</v>
      </c>
      <c r="H37" s="613" t="s">
        <v>1309</v>
      </c>
      <c r="I37" s="615">
        <v>2.34</v>
      </c>
      <c r="J37" s="615">
        <v>200</v>
      </c>
      <c r="K37" s="616">
        <v>468</v>
      </c>
    </row>
    <row r="38" spans="1:11" ht="14.4" customHeight="1" x14ac:dyDescent="0.3">
      <c r="A38" s="611" t="s">
        <v>550</v>
      </c>
      <c r="B38" s="612" t="s">
        <v>551</v>
      </c>
      <c r="C38" s="613" t="s">
        <v>555</v>
      </c>
      <c r="D38" s="614" t="s">
        <v>1182</v>
      </c>
      <c r="E38" s="613" t="s">
        <v>1706</v>
      </c>
      <c r="F38" s="614" t="s">
        <v>1707</v>
      </c>
      <c r="G38" s="613" t="s">
        <v>1310</v>
      </c>
      <c r="H38" s="613" t="s">
        <v>1311</v>
      </c>
      <c r="I38" s="615">
        <v>2.86</v>
      </c>
      <c r="J38" s="615">
        <v>100</v>
      </c>
      <c r="K38" s="616">
        <v>286</v>
      </c>
    </row>
    <row r="39" spans="1:11" ht="14.4" customHeight="1" x14ac:dyDescent="0.3">
      <c r="A39" s="611" t="s">
        <v>550</v>
      </c>
      <c r="B39" s="612" t="s">
        <v>551</v>
      </c>
      <c r="C39" s="613" t="s">
        <v>555</v>
      </c>
      <c r="D39" s="614" t="s">
        <v>1182</v>
      </c>
      <c r="E39" s="613" t="s">
        <v>1706</v>
      </c>
      <c r="F39" s="614" t="s">
        <v>1707</v>
      </c>
      <c r="G39" s="613" t="s">
        <v>1312</v>
      </c>
      <c r="H39" s="613" t="s">
        <v>1313</v>
      </c>
      <c r="I39" s="615">
        <v>2.0533333333333332</v>
      </c>
      <c r="J39" s="615">
        <v>60</v>
      </c>
      <c r="K39" s="616">
        <v>123.19999999999999</v>
      </c>
    </row>
    <row r="40" spans="1:11" ht="14.4" customHeight="1" x14ac:dyDescent="0.3">
      <c r="A40" s="611" t="s">
        <v>550</v>
      </c>
      <c r="B40" s="612" t="s">
        <v>551</v>
      </c>
      <c r="C40" s="613" t="s">
        <v>555</v>
      </c>
      <c r="D40" s="614" t="s">
        <v>1182</v>
      </c>
      <c r="E40" s="613" t="s">
        <v>1706</v>
      </c>
      <c r="F40" s="614" t="s">
        <v>1707</v>
      </c>
      <c r="G40" s="613" t="s">
        <v>1314</v>
      </c>
      <c r="H40" s="613" t="s">
        <v>1315</v>
      </c>
      <c r="I40" s="615">
        <v>2.415</v>
      </c>
      <c r="J40" s="615">
        <v>1200</v>
      </c>
      <c r="K40" s="616">
        <v>2896.76</v>
      </c>
    </row>
    <row r="41" spans="1:11" ht="14.4" customHeight="1" x14ac:dyDescent="0.3">
      <c r="A41" s="611" t="s">
        <v>550</v>
      </c>
      <c r="B41" s="612" t="s">
        <v>551</v>
      </c>
      <c r="C41" s="613" t="s">
        <v>555</v>
      </c>
      <c r="D41" s="614" t="s">
        <v>1182</v>
      </c>
      <c r="E41" s="613" t="s">
        <v>1706</v>
      </c>
      <c r="F41" s="614" t="s">
        <v>1707</v>
      </c>
      <c r="G41" s="613" t="s">
        <v>1314</v>
      </c>
      <c r="H41" s="613" t="s">
        <v>1316</v>
      </c>
      <c r="I41" s="615">
        <v>2.4600000000000004</v>
      </c>
      <c r="J41" s="615">
        <v>2600</v>
      </c>
      <c r="K41" s="616">
        <v>6399.4</v>
      </c>
    </row>
    <row r="42" spans="1:11" ht="14.4" customHeight="1" x14ac:dyDescent="0.3">
      <c r="A42" s="611" t="s">
        <v>550</v>
      </c>
      <c r="B42" s="612" t="s">
        <v>551</v>
      </c>
      <c r="C42" s="613" t="s">
        <v>555</v>
      </c>
      <c r="D42" s="614" t="s">
        <v>1182</v>
      </c>
      <c r="E42" s="613" t="s">
        <v>1706</v>
      </c>
      <c r="F42" s="614" t="s">
        <v>1707</v>
      </c>
      <c r="G42" s="613" t="s">
        <v>1317</v>
      </c>
      <c r="H42" s="613" t="s">
        <v>1318</v>
      </c>
      <c r="I42" s="615">
        <v>4.9049999999999994</v>
      </c>
      <c r="J42" s="615">
        <v>120</v>
      </c>
      <c r="K42" s="616">
        <v>588.9</v>
      </c>
    </row>
    <row r="43" spans="1:11" ht="14.4" customHeight="1" x14ac:dyDescent="0.3">
      <c r="A43" s="611" t="s">
        <v>550</v>
      </c>
      <c r="B43" s="612" t="s">
        <v>551</v>
      </c>
      <c r="C43" s="613" t="s">
        <v>555</v>
      </c>
      <c r="D43" s="614" t="s">
        <v>1182</v>
      </c>
      <c r="E43" s="613" t="s">
        <v>1706</v>
      </c>
      <c r="F43" s="614" t="s">
        <v>1707</v>
      </c>
      <c r="G43" s="613" t="s">
        <v>1317</v>
      </c>
      <c r="H43" s="613" t="s">
        <v>1319</v>
      </c>
      <c r="I43" s="615">
        <v>4.9400000000000004</v>
      </c>
      <c r="J43" s="615">
        <v>240</v>
      </c>
      <c r="K43" s="616">
        <v>1186.8</v>
      </c>
    </row>
    <row r="44" spans="1:11" ht="14.4" customHeight="1" x14ac:dyDescent="0.3">
      <c r="A44" s="611" t="s">
        <v>550</v>
      </c>
      <c r="B44" s="612" t="s">
        <v>551</v>
      </c>
      <c r="C44" s="613" t="s">
        <v>555</v>
      </c>
      <c r="D44" s="614" t="s">
        <v>1182</v>
      </c>
      <c r="E44" s="613" t="s">
        <v>1706</v>
      </c>
      <c r="F44" s="614" t="s">
        <v>1707</v>
      </c>
      <c r="G44" s="613" t="s">
        <v>1320</v>
      </c>
      <c r="H44" s="613" t="s">
        <v>1321</v>
      </c>
      <c r="I44" s="615">
        <v>12.103333333333332</v>
      </c>
      <c r="J44" s="615">
        <v>540</v>
      </c>
      <c r="K44" s="616">
        <v>6535.8</v>
      </c>
    </row>
    <row r="45" spans="1:11" ht="14.4" customHeight="1" x14ac:dyDescent="0.3">
      <c r="A45" s="611" t="s">
        <v>550</v>
      </c>
      <c r="B45" s="612" t="s">
        <v>551</v>
      </c>
      <c r="C45" s="613" t="s">
        <v>555</v>
      </c>
      <c r="D45" s="614" t="s">
        <v>1182</v>
      </c>
      <c r="E45" s="613" t="s">
        <v>1706</v>
      </c>
      <c r="F45" s="614" t="s">
        <v>1707</v>
      </c>
      <c r="G45" s="613" t="s">
        <v>1322</v>
      </c>
      <c r="H45" s="613" t="s">
        <v>1323</v>
      </c>
      <c r="I45" s="615">
        <v>2.94</v>
      </c>
      <c r="J45" s="615">
        <v>50</v>
      </c>
      <c r="K45" s="616">
        <v>147</v>
      </c>
    </row>
    <row r="46" spans="1:11" ht="14.4" customHeight="1" x14ac:dyDescent="0.3">
      <c r="A46" s="611" t="s">
        <v>550</v>
      </c>
      <c r="B46" s="612" t="s">
        <v>551</v>
      </c>
      <c r="C46" s="613" t="s">
        <v>555</v>
      </c>
      <c r="D46" s="614" t="s">
        <v>1182</v>
      </c>
      <c r="E46" s="613" t="s">
        <v>1706</v>
      </c>
      <c r="F46" s="614" t="s">
        <v>1707</v>
      </c>
      <c r="G46" s="613" t="s">
        <v>1324</v>
      </c>
      <c r="H46" s="613" t="s">
        <v>1325</v>
      </c>
      <c r="I46" s="615">
        <v>36.299999999999997</v>
      </c>
      <c r="J46" s="615">
        <v>20</v>
      </c>
      <c r="K46" s="616">
        <v>726</v>
      </c>
    </row>
    <row r="47" spans="1:11" ht="14.4" customHeight="1" x14ac:dyDescent="0.3">
      <c r="A47" s="611" t="s">
        <v>550</v>
      </c>
      <c r="B47" s="612" t="s">
        <v>551</v>
      </c>
      <c r="C47" s="613" t="s">
        <v>555</v>
      </c>
      <c r="D47" s="614" t="s">
        <v>1182</v>
      </c>
      <c r="E47" s="613" t="s">
        <v>1706</v>
      </c>
      <c r="F47" s="614" t="s">
        <v>1707</v>
      </c>
      <c r="G47" s="613" t="s">
        <v>1326</v>
      </c>
      <c r="H47" s="613" t="s">
        <v>1327</v>
      </c>
      <c r="I47" s="615">
        <v>21.19</v>
      </c>
      <c r="J47" s="615">
        <v>200</v>
      </c>
      <c r="K47" s="616">
        <v>4238</v>
      </c>
    </row>
    <row r="48" spans="1:11" ht="14.4" customHeight="1" x14ac:dyDescent="0.3">
      <c r="A48" s="611" t="s">
        <v>550</v>
      </c>
      <c r="B48" s="612" t="s">
        <v>551</v>
      </c>
      <c r="C48" s="613" t="s">
        <v>555</v>
      </c>
      <c r="D48" s="614" t="s">
        <v>1182</v>
      </c>
      <c r="E48" s="613" t="s">
        <v>1706</v>
      </c>
      <c r="F48" s="614" t="s">
        <v>1707</v>
      </c>
      <c r="G48" s="613" t="s">
        <v>1328</v>
      </c>
      <c r="H48" s="613" t="s">
        <v>1329</v>
      </c>
      <c r="I48" s="615">
        <v>2.88</v>
      </c>
      <c r="J48" s="615">
        <v>100</v>
      </c>
      <c r="K48" s="616">
        <v>288</v>
      </c>
    </row>
    <row r="49" spans="1:11" ht="14.4" customHeight="1" x14ac:dyDescent="0.3">
      <c r="A49" s="611" t="s">
        <v>550</v>
      </c>
      <c r="B49" s="612" t="s">
        <v>551</v>
      </c>
      <c r="C49" s="613" t="s">
        <v>555</v>
      </c>
      <c r="D49" s="614" t="s">
        <v>1182</v>
      </c>
      <c r="E49" s="613" t="s">
        <v>1706</v>
      </c>
      <c r="F49" s="614" t="s">
        <v>1707</v>
      </c>
      <c r="G49" s="613" t="s">
        <v>1330</v>
      </c>
      <c r="H49" s="613" t="s">
        <v>1331</v>
      </c>
      <c r="I49" s="615">
        <v>0.48</v>
      </c>
      <c r="J49" s="615">
        <v>200</v>
      </c>
      <c r="K49" s="616">
        <v>96</v>
      </c>
    </row>
    <row r="50" spans="1:11" ht="14.4" customHeight="1" x14ac:dyDescent="0.3">
      <c r="A50" s="611" t="s">
        <v>550</v>
      </c>
      <c r="B50" s="612" t="s">
        <v>551</v>
      </c>
      <c r="C50" s="613" t="s">
        <v>555</v>
      </c>
      <c r="D50" s="614" t="s">
        <v>1182</v>
      </c>
      <c r="E50" s="613" t="s">
        <v>1706</v>
      </c>
      <c r="F50" s="614" t="s">
        <v>1707</v>
      </c>
      <c r="G50" s="613" t="s">
        <v>1332</v>
      </c>
      <c r="H50" s="613" t="s">
        <v>1333</v>
      </c>
      <c r="I50" s="615">
        <v>60.5</v>
      </c>
      <c r="J50" s="615">
        <v>25</v>
      </c>
      <c r="K50" s="616">
        <v>1512.5</v>
      </c>
    </row>
    <row r="51" spans="1:11" ht="14.4" customHeight="1" x14ac:dyDescent="0.3">
      <c r="A51" s="611" t="s">
        <v>550</v>
      </c>
      <c r="B51" s="612" t="s">
        <v>551</v>
      </c>
      <c r="C51" s="613" t="s">
        <v>555</v>
      </c>
      <c r="D51" s="614" t="s">
        <v>1182</v>
      </c>
      <c r="E51" s="613" t="s">
        <v>1706</v>
      </c>
      <c r="F51" s="614" t="s">
        <v>1707</v>
      </c>
      <c r="G51" s="613" t="s">
        <v>1334</v>
      </c>
      <c r="H51" s="613" t="s">
        <v>1335</v>
      </c>
      <c r="I51" s="615">
        <v>9.2000000000000011</v>
      </c>
      <c r="J51" s="615">
        <v>1800</v>
      </c>
      <c r="K51" s="616">
        <v>16560</v>
      </c>
    </row>
    <row r="52" spans="1:11" ht="14.4" customHeight="1" x14ac:dyDescent="0.3">
      <c r="A52" s="611" t="s">
        <v>550</v>
      </c>
      <c r="B52" s="612" t="s">
        <v>551</v>
      </c>
      <c r="C52" s="613" t="s">
        <v>555</v>
      </c>
      <c r="D52" s="614" t="s">
        <v>1182</v>
      </c>
      <c r="E52" s="613" t="s">
        <v>1706</v>
      </c>
      <c r="F52" s="614" t="s">
        <v>1707</v>
      </c>
      <c r="G52" s="613" t="s">
        <v>1336</v>
      </c>
      <c r="H52" s="613" t="s">
        <v>1337</v>
      </c>
      <c r="I52" s="615">
        <v>172.5</v>
      </c>
      <c r="J52" s="615">
        <v>2</v>
      </c>
      <c r="K52" s="616">
        <v>345</v>
      </c>
    </row>
    <row r="53" spans="1:11" ht="14.4" customHeight="1" x14ac:dyDescent="0.3">
      <c r="A53" s="611" t="s">
        <v>550</v>
      </c>
      <c r="B53" s="612" t="s">
        <v>551</v>
      </c>
      <c r="C53" s="613" t="s">
        <v>555</v>
      </c>
      <c r="D53" s="614" t="s">
        <v>1182</v>
      </c>
      <c r="E53" s="613" t="s">
        <v>1706</v>
      </c>
      <c r="F53" s="614" t="s">
        <v>1707</v>
      </c>
      <c r="G53" s="613" t="s">
        <v>1338</v>
      </c>
      <c r="H53" s="613" t="s">
        <v>1339</v>
      </c>
      <c r="I53" s="615">
        <v>403.77749999999997</v>
      </c>
      <c r="J53" s="615">
        <v>80</v>
      </c>
      <c r="K53" s="616">
        <v>32302.22</v>
      </c>
    </row>
    <row r="54" spans="1:11" ht="14.4" customHeight="1" x14ac:dyDescent="0.3">
      <c r="A54" s="611" t="s">
        <v>550</v>
      </c>
      <c r="B54" s="612" t="s">
        <v>551</v>
      </c>
      <c r="C54" s="613" t="s">
        <v>555</v>
      </c>
      <c r="D54" s="614" t="s">
        <v>1182</v>
      </c>
      <c r="E54" s="613" t="s">
        <v>1706</v>
      </c>
      <c r="F54" s="614" t="s">
        <v>1707</v>
      </c>
      <c r="G54" s="613" t="s">
        <v>1340</v>
      </c>
      <c r="H54" s="613" t="s">
        <v>1341</v>
      </c>
      <c r="I54" s="615">
        <v>17.059999999999999</v>
      </c>
      <c r="J54" s="615">
        <v>10</v>
      </c>
      <c r="K54" s="616">
        <v>170.61</v>
      </c>
    </row>
    <row r="55" spans="1:11" ht="14.4" customHeight="1" x14ac:dyDescent="0.3">
      <c r="A55" s="611" t="s">
        <v>550</v>
      </c>
      <c r="B55" s="612" t="s">
        <v>551</v>
      </c>
      <c r="C55" s="613" t="s">
        <v>555</v>
      </c>
      <c r="D55" s="614" t="s">
        <v>1182</v>
      </c>
      <c r="E55" s="613" t="s">
        <v>1706</v>
      </c>
      <c r="F55" s="614" t="s">
        <v>1707</v>
      </c>
      <c r="G55" s="613" t="s">
        <v>1342</v>
      </c>
      <c r="H55" s="613" t="s">
        <v>1343</v>
      </c>
      <c r="I55" s="615">
        <v>282.99</v>
      </c>
      <c r="J55" s="615">
        <v>10</v>
      </c>
      <c r="K55" s="616">
        <v>2829.94</v>
      </c>
    </row>
    <row r="56" spans="1:11" ht="14.4" customHeight="1" x14ac:dyDescent="0.3">
      <c r="A56" s="611" t="s">
        <v>550</v>
      </c>
      <c r="B56" s="612" t="s">
        <v>551</v>
      </c>
      <c r="C56" s="613" t="s">
        <v>555</v>
      </c>
      <c r="D56" s="614" t="s">
        <v>1182</v>
      </c>
      <c r="E56" s="613" t="s">
        <v>1706</v>
      </c>
      <c r="F56" s="614" t="s">
        <v>1707</v>
      </c>
      <c r="G56" s="613" t="s">
        <v>1344</v>
      </c>
      <c r="H56" s="613" t="s">
        <v>1345</v>
      </c>
      <c r="I56" s="615">
        <v>296.47666666666669</v>
      </c>
      <c r="J56" s="615">
        <v>15</v>
      </c>
      <c r="K56" s="616">
        <v>4447.13</v>
      </c>
    </row>
    <row r="57" spans="1:11" ht="14.4" customHeight="1" x14ac:dyDescent="0.3">
      <c r="A57" s="611" t="s">
        <v>550</v>
      </c>
      <c r="B57" s="612" t="s">
        <v>551</v>
      </c>
      <c r="C57" s="613" t="s">
        <v>555</v>
      </c>
      <c r="D57" s="614" t="s">
        <v>1182</v>
      </c>
      <c r="E57" s="613" t="s">
        <v>1706</v>
      </c>
      <c r="F57" s="614" t="s">
        <v>1707</v>
      </c>
      <c r="G57" s="613" t="s">
        <v>1346</v>
      </c>
      <c r="H57" s="613" t="s">
        <v>1347</v>
      </c>
      <c r="I57" s="615">
        <v>113</v>
      </c>
      <c r="J57" s="615">
        <v>20</v>
      </c>
      <c r="K57" s="616">
        <v>2260</v>
      </c>
    </row>
    <row r="58" spans="1:11" ht="14.4" customHeight="1" x14ac:dyDescent="0.3">
      <c r="A58" s="611" t="s">
        <v>550</v>
      </c>
      <c r="B58" s="612" t="s">
        <v>551</v>
      </c>
      <c r="C58" s="613" t="s">
        <v>555</v>
      </c>
      <c r="D58" s="614" t="s">
        <v>1182</v>
      </c>
      <c r="E58" s="613" t="s">
        <v>1706</v>
      </c>
      <c r="F58" s="614" t="s">
        <v>1707</v>
      </c>
      <c r="G58" s="613" t="s">
        <v>1348</v>
      </c>
      <c r="H58" s="613" t="s">
        <v>1349</v>
      </c>
      <c r="I58" s="615">
        <v>124.41</v>
      </c>
      <c r="J58" s="615">
        <v>10</v>
      </c>
      <c r="K58" s="616">
        <v>1244.07</v>
      </c>
    </row>
    <row r="59" spans="1:11" ht="14.4" customHeight="1" x14ac:dyDescent="0.3">
      <c r="A59" s="611" t="s">
        <v>550</v>
      </c>
      <c r="B59" s="612" t="s">
        <v>551</v>
      </c>
      <c r="C59" s="613" t="s">
        <v>555</v>
      </c>
      <c r="D59" s="614" t="s">
        <v>1182</v>
      </c>
      <c r="E59" s="613" t="s">
        <v>1706</v>
      </c>
      <c r="F59" s="614" t="s">
        <v>1707</v>
      </c>
      <c r="G59" s="613" t="s">
        <v>1350</v>
      </c>
      <c r="H59" s="613" t="s">
        <v>1351</v>
      </c>
      <c r="I59" s="615">
        <v>350.9</v>
      </c>
      <c r="J59" s="615">
        <v>1</v>
      </c>
      <c r="K59" s="616">
        <v>350.9</v>
      </c>
    </row>
    <row r="60" spans="1:11" ht="14.4" customHeight="1" x14ac:dyDescent="0.3">
      <c r="A60" s="611" t="s">
        <v>550</v>
      </c>
      <c r="B60" s="612" t="s">
        <v>551</v>
      </c>
      <c r="C60" s="613" t="s">
        <v>555</v>
      </c>
      <c r="D60" s="614" t="s">
        <v>1182</v>
      </c>
      <c r="E60" s="613" t="s">
        <v>1708</v>
      </c>
      <c r="F60" s="614" t="s">
        <v>1709</v>
      </c>
      <c r="G60" s="613" t="s">
        <v>1352</v>
      </c>
      <c r="H60" s="613" t="s">
        <v>1353</v>
      </c>
      <c r="I60" s="615">
        <v>0.3</v>
      </c>
      <c r="J60" s="615">
        <v>200</v>
      </c>
      <c r="K60" s="616">
        <v>60</v>
      </c>
    </row>
    <row r="61" spans="1:11" ht="14.4" customHeight="1" x14ac:dyDescent="0.3">
      <c r="A61" s="611" t="s">
        <v>550</v>
      </c>
      <c r="B61" s="612" t="s">
        <v>551</v>
      </c>
      <c r="C61" s="613" t="s">
        <v>555</v>
      </c>
      <c r="D61" s="614" t="s">
        <v>1182</v>
      </c>
      <c r="E61" s="613" t="s">
        <v>1708</v>
      </c>
      <c r="F61" s="614" t="s">
        <v>1709</v>
      </c>
      <c r="G61" s="613" t="s">
        <v>1354</v>
      </c>
      <c r="H61" s="613" t="s">
        <v>1355</v>
      </c>
      <c r="I61" s="615">
        <v>0.30166666666666669</v>
      </c>
      <c r="J61" s="615">
        <v>1100</v>
      </c>
      <c r="K61" s="616">
        <v>331</v>
      </c>
    </row>
    <row r="62" spans="1:11" ht="14.4" customHeight="1" x14ac:dyDescent="0.3">
      <c r="A62" s="611" t="s">
        <v>550</v>
      </c>
      <c r="B62" s="612" t="s">
        <v>551</v>
      </c>
      <c r="C62" s="613" t="s">
        <v>555</v>
      </c>
      <c r="D62" s="614" t="s">
        <v>1182</v>
      </c>
      <c r="E62" s="613" t="s">
        <v>1708</v>
      </c>
      <c r="F62" s="614" t="s">
        <v>1709</v>
      </c>
      <c r="G62" s="613" t="s">
        <v>1354</v>
      </c>
      <c r="H62" s="613" t="s">
        <v>1356</v>
      </c>
      <c r="I62" s="615">
        <v>0.30333333333333329</v>
      </c>
      <c r="J62" s="615">
        <v>700</v>
      </c>
      <c r="K62" s="616">
        <v>212</v>
      </c>
    </row>
    <row r="63" spans="1:11" ht="14.4" customHeight="1" x14ac:dyDescent="0.3">
      <c r="A63" s="611" t="s">
        <v>550</v>
      </c>
      <c r="B63" s="612" t="s">
        <v>551</v>
      </c>
      <c r="C63" s="613" t="s">
        <v>555</v>
      </c>
      <c r="D63" s="614" t="s">
        <v>1182</v>
      </c>
      <c r="E63" s="613" t="s">
        <v>1708</v>
      </c>
      <c r="F63" s="614" t="s">
        <v>1709</v>
      </c>
      <c r="G63" s="613" t="s">
        <v>1357</v>
      </c>
      <c r="H63" s="613" t="s">
        <v>1358</v>
      </c>
      <c r="I63" s="615">
        <v>0.30499999999999999</v>
      </c>
      <c r="J63" s="615">
        <v>200</v>
      </c>
      <c r="K63" s="616">
        <v>61</v>
      </c>
    </row>
    <row r="64" spans="1:11" ht="14.4" customHeight="1" x14ac:dyDescent="0.3">
      <c r="A64" s="611" t="s">
        <v>550</v>
      </c>
      <c r="B64" s="612" t="s">
        <v>551</v>
      </c>
      <c r="C64" s="613" t="s">
        <v>555</v>
      </c>
      <c r="D64" s="614" t="s">
        <v>1182</v>
      </c>
      <c r="E64" s="613" t="s">
        <v>1710</v>
      </c>
      <c r="F64" s="614" t="s">
        <v>1711</v>
      </c>
      <c r="G64" s="613" t="s">
        <v>1359</v>
      </c>
      <c r="H64" s="613" t="s">
        <v>1360</v>
      </c>
      <c r="I64" s="615">
        <v>7.51</v>
      </c>
      <c r="J64" s="615">
        <v>50</v>
      </c>
      <c r="K64" s="616">
        <v>375.5</v>
      </c>
    </row>
    <row r="65" spans="1:11" ht="14.4" customHeight="1" x14ac:dyDescent="0.3">
      <c r="A65" s="611" t="s">
        <v>550</v>
      </c>
      <c r="B65" s="612" t="s">
        <v>551</v>
      </c>
      <c r="C65" s="613" t="s">
        <v>555</v>
      </c>
      <c r="D65" s="614" t="s">
        <v>1182</v>
      </c>
      <c r="E65" s="613" t="s">
        <v>1710</v>
      </c>
      <c r="F65" s="614" t="s">
        <v>1711</v>
      </c>
      <c r="G65" s="613" t="s">
        <v>1359</v>
      </c>
      <c r="H65" s="613" t="s">
        <v>1361</v>
      </c>
      <c r="I65" s="615">
        <v>7.5</v>
      </c>
      <c r="J65" s="615">
        <v>100</v>
      </c>
      <c r="K65" s="616">
        <v>750</v>
      </c>
    </row>
    <row r="66" spans="1:11" ht="14.4" customHeight="1" x14ac:dyDescent="0.3">
      <c r="A66" s="611" t="s">
        <v>550</v>
      </c>
      <c r="B66" s="612" t="s">
        <v>551</v>
      </c>
      <c r="C66" s="613" t="s">
        <v>555</v>
      </c>
      <c r="D66" s="614" t="s">
        <v>1182</v>
      </c>
      <c r="E66" s="613" t="s">
        <v>1710</v>
      </c>
      <c r="F66" s="614" t="s">
        <v>1711</v>
      </c>
      <c r="G66" s="613" t="s">
        <v>1359</v>
      </c>
      <c r="H66" s="613" t="s">
        <v>1362</v>
      </c>
      <c r="I66" s="615">
        <v>7.5</v>
      </c>
      <c r="J66" s="615">
        <v>200</v>
      </c>
      <c r="K66" s="616">
        <v>1500</v>
      </c>
    </row>
    <row r="67" spans="1:11" ht="14.4" customHeight="1" x14ac:dyDescent="0.3">
      <c r="A67" s="611" t="s">
        <v>550</v>
      </c>
      <c r="B67" s="612" t="s">
        <v>551</v>
      </c>
      <c r="C67" s="613" t="s">
        <v>555</v>
      </c>
      <c r="D67" s="614" t="s">
        <v>1182</v>
      </c>
      <c r="E67" s="613" t="s">
        <v>1710</v>
      </c>
      <c r="F67" s="614" t="s">
        <v>1711</v>
      </c>
      <c r="G67" s="613" t="s">
        <v>1363</v>
      </c>
      <c r="H67" s="613" t="s">
        <v>1364</v>
      </c>
      <c r="I67" s="615">
        <v>7.503333333333333</v>
      </c>
      <c r="J67" s="615">
        <v>150</v>
      </c>
      <c r="K67" s="616">
        <v>1125.69</v>
      </c>
    </row>
    <row r="68" spans="1:11" ht="14.4" customHeight="1" x14ac:dyDescent="0.3">
      <c r="A68" s="611" t="s">
        <v>550</v>
      </c>
      <c r="B68" s="612" t="s">
        <v>551</v>
      </c>
      <c r="C68" s="613" t="s">
        <v>555</v>
      </c>
      <c r="D68" s="614" t="s">
        <v>1182</v>
      </c>
      <c r="E68" s="613" t="s">
        <v>1710</v>
      </c>
      <c r="F68" s="614" t="s">
        <v>1711</v>
      </c>
      <c r="G68" s="613" t="s">
        <v>1363</v>
      </c>
      <c r="H68" s="613" t="s">
        <v>1365</v>
      </c>
      <c r="I68" s="615">
        <v>7.5</v>
      </c>
      <c r="J68" s="615">
        <v>200</v>
      </c>
      <c r="K68" s="616">
        <v>1500</v>
      </c>
    </row>
    <row r="69" spans="1:11" ht="14.4" customHeight="1" x14ac:dyDescent="0.3">
      <c r="A69" s="611" t="s">
        <v>550</v>
      </c>
      <c r="B69" s="612" t="s">
        <v>551</v>
      </c>
      <c r="C69" s="613" t="s">
        <v>555</v>
      </c>
      <c r="D69" s="614" t="s">
        <v>1182</v>
      </c>
      <c r="E69" s="613" t="s">
        <v>1710</v>
      </c>
      <c r="F69" s="614" t="s">
        <v>1711</v>
      </c>
      <c r="G69" s="613" t="s">
        <v>1363</v>
      </c>
      <c r="H69" s="613" t="s">
        <v>1366</v>
      </c>
      <c r="I69" s="615">
        <v>7.51</v>
      </c>
      <c r="J69" s="615">
        <v>50</v>
      </c>
      <c r="K69" s="616">
        <v>375.5</v>
      </c>
    </row>
    <row r="70" spans="1:11" ht="14.4" customHeight="1" x14ac:dyDescent="0.3">
      <c r="A70" s="611" t="s">
        <v>550</v>
      </c>
      <c r="B70" s="612" t="s">
        <v>551</v>
      </c>
      <c r="C70" s="613" t="s">
        <v>555</v>
      </c>
      <c r="D70" s="614" t="s">
        <v>1182</v>
      </c>
      <c r="E70" s="613" t="s">
        <v>1710</v>
      </c>
      <c r="F70" s="614" t="s">
        <v>1711</v>
      </c>
      <c r="G70" s="613" t="s">
        <v>1367</v>
      </c>
      <c r="H70" s="613" t="s">
        <v>1368</v>
      </c>
      <c r="I70" s="615">
        <v>0.77500000000000013</v>
      </c>
      <c r="J70" s="615">
        <v>8000</v>
      </c>
      <c r="K70" s="616">
        <v>6200</v>
      </c>
    </row>
    <row r="71" spans="1:11" ht="14.4" customHeight="1" x14ac:dyDescent="0.3">
      <c r="A71" s="611" t="s">
        <v>550</v>
      </c>
      <c r="B71" s="612" t="s">
        <v>551</v>
      </c>
      <c r="C71" s="613" t="s">
        <v>555</v>
      </c>
      <c r="D71" s="614" t="s">
        <v>1182</v>
      </c>
      <c r="E71" s="613" t="s">
        <v>1710</v>
      </c>
      <c r="F71" s="614" t="s">
        <v>1711</v>
      </c>
      <c r="G71" s="613" t="s">
        <v>1369</v>
      </c>
      <c r="H71" s="613" t="s">
        <v>1370</v>
      </c>
      <c r="I71" s="615">
        <v>0.71</v>
      </c>
      <c r="J71" s="615">
        <v>4600</v>
      </c>
      <c r="K71" s="616">
        <v>3266</v>
      </c>
    </row>
    <row r="72" spans="1:11" ht="14.4" customHeight="1" x14ac:dyDescent="0.3">
      <c r="A72" s="611" t="s">
        <v>550</v>
      </c>
      <c r="B72" s="612" t="s">
        <v>551</v>
      </c>
      <c r="C72" s="613" t="s">
        <v>555</v>
      </c>
      <c r="D72" s="614" t="s">
        <v>1182</v>
      </c>
      <c r="E72" s="613" t="s">
        <v>1710</v>
      </c>
      <c r="F72" s="614" t="s">
        <v>1711</v>
      </c>
      <c r="G72" s="613" t="s">
        <v>1369</v>
      </c>
      <c r="H72" s="613" t="s">
        <v>1371</v>
      </c>
      <c r="I72" s="615">
        <v>0.71</v>
      </c>
      <c r="J72" s="615">
        <v>7000</v>
      </c>
      <c r="K72" s="616">
        <v>4970</v>
      </c>
    </row>
    <row r="73" spans="1:11" ht="14.4" customHeight="1" x14ac:dyDescent="0.3">
      <c r="A73" s="611" t="s">
        <v>550</v>
      </c>
      <c r="B73" s="612" t="s">
        <v>551</v>
      </c>
      <c r="C73" s="613" t="s">
        <v>555</v>
      </c>
      <c r="D73" s="614" t="s">
        <v>1182</v>
      </c>
      <c r="E73" s="613" t="s">
        <v>1712</v>
      </c>
      <c r="F73" s="614" t="s">
        <v>1713</v>
      </c>
      <c r="G73" s="613" t="s">
        <v>1372</v>
      </c>
      <c r="H73" s="613" t="s">
        <v>1373</v>
      </c>
      <c r="I73" s="615">
        <v>4416.6499999999996</v>
      </c>
      <c r="J73" s="615">
        <v>6</v>
      </c>
      <c r="K73" s="616">
        <v>26499.89</v>
      </c>
    </row>
    <row r="74" spans="1:11" ht="14.4" customHeight="1" x14ac:dyDescent="0.3">
      <c r="A74" s="611" t="s">
        <v>550</v>
      </c>
      <c r="B74" s="612" t="s">
        <v>551</v>
      </c>
      <c r="C74" s="613" t="s">
        <v>555</v>
      </c>
      <c r="D74" s="614" t="s">
        <v>1182</v>
      </c>
      <c r="E74" s="613" t="s">
        <v>1712</v>
      </c>
      <c r="F74" s="614" t="s">
        <v>1713</v>
      </c>
      <c r="G74" s="613" t="s">
        <v>1374</v>
      </c>
      <c r="H74" s="613" t="s">
        <v>1375</v>
      </c>
      <c r="I74" s="615">
        <v>110.11</v>
      </c>
      <c r="J74" s="615">
        <v>1</v>
      </c>
      <c r="K74" s="616">
        <v>110.11</v>
      </c>
    </row>
    <row r="75" spans="1:11" ht="14.4" customHeight="1" x14ac:dyDescent="0.3">
      <c r="A75" s="611" t="s">
        <v>550</v>
      </c>
      <c r="B75" s="612" t="s">
        <v>551</v>
      </c>
      <c r="C75" s="613" t="s">
        <v>560</v>
      </c>
      <c r="D75" s="614" t="s">
        <v>1183</v>
      </c>
      <c r="E75" s="613" t="s">
        <v>1704</v>
      </c>
      <c r="F75" s="614" t="s">
        <v>1705</v>
      </c>
      <c r="G75" s="613" t="s">
        <v>1247</v>
      </c>
      <c r="H75" s="613" t="s">
        <v>1248</v>
      </c>
      <c r="I75" s="615">
        <v>4.3014285714285716</v>
      </c>
      <c r="J75" s="615">
        <v>192</v>
      </c>
      <c r="K75" s="616">
        <v>825.84</v>
      </c>
    </row>
    <row r="76" spans="1:11" ht="14.4" customHeight="1" x14ac:dyDescent="0.3">
      <c r="A76" s="611" t="s">
        <v>550</v>
      </c>
      <c r="B76" s="612" t="s">
        <v>551</v>
      </c>
      <c r="C76" s="613" t="s">
        <v>560</v>
      </c>
      <c r="D76" s="614" t="s">
        <v>1183</v>
      </c>
      <c r="E76" s="613" t="s">
        <v>1704</v>
      </c>
      <c r="F76" s="614" t="s">
        <v>1705</v>
      </c>
      <c r="G76" s="613" t="s">
        <v>1376</v>
      </c>
      <c r="H76" s="613" t="s">
        <v>1377</v>
      </c>
      <c r="I76" s="615">
        <v>0.40400000000000003</v>
      </c>
      <c r="J76" s="615">
        <v>900</v>
      </c>
      <c r="K76" s="616">
        <v>364</v>
      </c>
    </row>
    <row r="77" spans="1:11" ht="14.4" customHeight="1" x14ac:dyDescent="0.3">
      <c r="A77" s="611" t="s">
        <v>550</v>
      </c>
      <c r="B77" s="612" t="s">
        <v>551</v>
      </c>
      <c r="C77" s="613" t="s">
        <v>560</v>
      </c>
      <c r="D77" s="614" t="s">
        <v>1183</v>
      </c>
      <c r="E77" s="613" t="s">
        <v>1704</v>
      </c>
      <c r="F77" s="614" t="s">
        <v>1705</v>
      </c>
      <c r="G77" s="613" t="s">
        <v>1378</v>
      </c>
      <c r="H77" s="613" t="s">
        <v>1379</v>
      </c>
      <c r="I77" s="615">
        <v>0.30499999999999999</v>
      </c>
      <c r="J77" s="615">
        <v>4500</v>
      </c>
      <c r="K77" s="616">
        <v>1384.21</v>
      </c>
    </row>
    <row r="78" spans="1:11" ht="14.4" customHeight="1" x14ac:dyDescent="0.3">
      <c r="A78" s="611" t="s">
        <v>550</v>
      </c>
      <c r="B78" s="612" t="s">
        <v>551</v>
      </c>
      <c r="C78" s="613" t="s">
        <v>560</v>
      </c>
      <c r="D78" s="614" t="s">
        <v>1183</v>
      </c>
      <c r="E78" s="613" t="s">
        <v>1704</v>
      </c>
      <c r="F78" s="614" t="s">
        <v>1705</v>
      </c>
      <c r="G78" s="613" t="s">
        <v>1257</v>
      </c>
      <c r="H78" s="613" t="s">
        <v>1258</v>
      </c>
      <c r="I78" s="615">
        <v>2.81</v>
      </c>
      <c r="J78" s="615">
        <v>200</v>
      </c>
      <c r="K78" s="616">
        <v>562</v>
      </c>
    </row>
    <row r="79" spans="1:11" ht="14.4" customHeight="1" x14ac:dyDescent="0.3">
      <c r="A79" s="611" t="s">
        <v>550</v>
      </c>
      <c r="B79" s="612" t="s">
        <v>551</v>
      </c>
      <c r="C79" s="613" t="s">
        <v>560</v>
      </c>
      <c r="D79" s="614" t="s">
        <v>1183</v>
      </c>
      <c r="E79" s="613" t="s">
        <v>1704</v>
      </c>
      <c r="F79" s="614" t="s">
        <v>1705</v>
      </c>
      <c r="G79" s="613" t="s">
        <v>1380</v>
      </c>
      <c r="H79" s="613" t="s">
        <v>1381</v>
      </c>
      <c r="I79" s="615">
        <v>0.59499999999999997</v>
      </c>
      <c r="J79" s="615">
        <v>1000</v>
      </c>
      <c r="K79" s="616">
        <v>595</v>
      </c>
    </row>
    <row r="80" spans="1:11" ht="14.4" customHeight="1" x14ac:dyDescent="0.3">
      <c r="A80" s="611" t="s">
        <v>550</v>
      </c>
      <c r="B80" s="612" t="s">
        <v>551</v>
      </c>
      <c r="C80" s="613" t="s">
        <v>560</v>
      </c>
      <c r="D80" s="614" t="s">
        <v>1183</v>
      </c>
      <c r="E80" s="613" t="s">
        <v>1704</v>
      </c>
      <c r="F80" s="614" t="s">
        <v>1705</v>
      </c>
      <c r="G80" s="613" t="s">
        <v>1382</v>
      </c>
      <c r="H80" s="613" t="s">
        <v>1383</v>
      </c>
      <c r="I80" s="615">
        <v>1.278</v>
      </c>
      <c r="J80" s="615">
        <v>1800</v>
      </c>
      <c r="K80" s="616">
        <v>2310</v>
      </c>
    </row>
    <row r="81" spans="1:11" ht="14.4" customHeight="1" x14ac:dyDescent="0.3">
      <c r="A81" s="611" t="s">
        <v>550</v>
      </c>
      <c r="B81" s="612" t="s">
        <v>551</v>
      </c>
      <c r="C81" s="613" t="s">
        <v>560</v>
      </c>
      <c r="D81" s="614" t="s">
        <v>1183</v>
      </c>
      <c r="E81" s="613" t="s">
        <v>1704</v>
      </c>
      <c r="F81" s="614" t="s">
        <v>1705</v>
      </c>
      <c r="G81" s="613" t="s">
        <v>1384</v>
      </c>
      <c r="H81" s="613" t="s">
        <v>1385</v>
      </c>
      <c r="I81" s="615">
        <v>13.155000000000001</v>
      </c>
      <c r="J81" s="615">
        <v>168</v>
      </c>
      <c r="K81" s="616">
        <v>2209.87</v>
      </c>
    </row>
    <row r="82" spans="1:11" ht="14.4" customHeight="1" x14ac:dyDescent="0.3">
      <c r="A82" s="611" t="s">
        <v>550</v>
      </c>
      <c r="B82" s="612" t="s">
        <v>551</v>
      </c>
      <c r="C82" s="613" t="s">
        <v>560</v>
      </c>
      <c r="D82" s="614" t="s">
        <v>1183</v>
      </c>
      <c r="E82" s="613" t="s">
        <v>1704</v>
      </c>
      <c r="F82" s="614" t="s">
        <v>1705</v>
      </c>
      <c r="G82" s="613" t="s">
        <v>1386</v>
      </c>
      <c r="H82" s="613" t="s">
        <v>1387</v>
      </c>
      <c r="I82" s="615">
        <v>0.86</v>
      </c>
      <c r="J82" s="615">
        <v>100</v>
      </c>
      <c r="K82" s="616">
        <v>86</v>
      </c>
    </row>
    <row r="83" spans="1:11" ht="14.4" customHeight="1" x14ac:dyDescent="0.3">
      <c r="A83" s="611" t="s">
        <v>550</v>
      </c>
      <c r="B83" s="612" t="s">
        <v>551</v>
      </c>
      <c r="C83" s="613" t="s">
        <v>560</v>
      </c>
      <c r="D83" s="614" t="s">
        <v>1183</v>
      </c>
      <c r="E83" s="613" t="s">
        <v>1704</v>
      </c>
      <c r="F83" s="614" t="s">
        <v>1705</v>
      </c>
      <c r="G83" s="613" t="s">
        <v>1265</v>
      </c>
      <c r="H83" s="613" t="s">
        <v>1266</v>
      </c>
      <c r="I83" s="615">
        <v>0.3</v>
      </c>
      <c r="J83" s="615">
        <v>38400</v>
      </c>
      <c r="K83" s="616">
        <v>11375.16</v>
      </c>
    </row>
    <row r="84" spans="1:11" ht="14.4" customHeight="1" x14ac:dyDescent="0.3">
      <c r="A84" s="611" t="s">
        <v>550</v>
      </c>
      <c r="B84" s="612" t="s">
        <v>551</v>
      </c>
      <c r="C84" s="613" t="s">
        <v>560</v>
      </c>
      <c r="D84" s="614" t="s">
        <v>1183</v>
      </c>
      <c r="E84" s="613" t="s">
        <v>1706</v>
      </c>
      <c r="F84" s="614" t="s">
        <v>1707</v>
      </c>
      <c r="G84" s="613" t="s">
        <v>1388</v>
      </c>
      <c r="H84" s="613" t="s">
        <v>1389</v>
      </c>
      <c r="I84" s="615">
        <v>11.63</v>
      </c>
      <c r="J84" s="615">
        <v>400</v>
      </c>
      <c r="K84" s="616">
        <v>4652</v>
      </c>
    </row>
    <row r="85" spans="1:11" ht="14.4" customHeight="1" x14ac:dyDescent="0.3">
      <c r="A85" s="611" t="s">
        <v>550</v>
      </c>
      <c r="B85" s="612" t="s">
        <v>551</v>
      </c>
      <c r="C85" s="613" t="s">
        <v>560</v>
      </c>
      <c r="D85" s="614" t="s">
        <v>1183</v>
      </c>
      <c r="E85" s="613" t="s">
        <v>1706</v>
      </c>
      <c r="F85" s="614" t="s">
        <v>1707</v>
      </c>
      <c r="G85" s="613" t="s">
        <v>1390</v>
      </c>
      <c r="H85" s="613" t="s">
        <v>1391</v>
      </c>
      <c r="I85" s="615">
        <v>16.39833333333333</v>
      </c>
      <c r="J85" s="615">
        <v>3000</v>
      </c>
      <c r="K85" s="616">
        <v>49194</v>
      </c>
    </row>
    <row r="86" spans="1:11" ht="14.4" customHeight="1" x14ac:dyDescent="0.3">
      <c r="A86" s="611" t="s">
        <v>550</v>
      </c>
      <c r="B86" s="612" t="s">
        <v>551</v>
      </c>
      <c r="C86" s="613" t="s">
        <v>560</v>
      </c>
      <c r="D86" s="614" t="s">
        <v>1183</v>
      </c>
      <c r="E86" s="613" t="s">
        <v>1706</v>
      </c>
      <c r="F86" s="614" t="s">
        <v>1707</v>
      </c>
      <c r="G86" s="613" t="s">
        <v>1271</v>
      </c>
      <c r="H86" s="613" t="s">
        <v>1392</v>
      </c>
      <c r="I86" s="615">
        <v>1.42</v>
      </c>
      <c r="J86" s="615">
        <v>600</v>
      </c>
      <c r="K86" s="616">
        <v>854</v>
      </c>
    </row>
    <row r="87" spans="1:11" ht="14.4" customHeight="1" x14ac:dyDescent="0.3">
      <c r="A87" s="611" t="s">
        <v>550</v>
      </c>
      <c r="B87" s="612" t="s">
        <v>551</v>
      </c>
      <c r="C87" s="613" t="s">
        <v>560</v>
      </c>
      <c r="D87" s="614" t="s">
        <v>1183</v>
      </c>
      <c r="E87" s="613" t="s">
        <v>1706</v>
      </c>
      <c r="F87" s="614" t="s">
        <v>1707</v>
      </c>
      <c r="G87" s="613" t="s">
        <v>1271</v>
      </c>
      <c r="H87" s="613" t="s">
        <v>1272</v>
      </c>
      <c r="I87" s="615">
        <v>1.4266666666666665</v>
      </c>
      <c r="J87" s="615">
        <v>800</v>
      </c>
      <c r="K87" s="616">
        <v>1141.25</v>
      </c>
    </row>
    <row r="88" spans="1:11" ht="14.4" customHeight="1" x14ac:dyDescent="0.3">
      <c r="A88" s="611" t="s">
        <v>550</v>
      </c>
      <c r="B88" s="612" t="s">
        <v>551</v>
      </c>
      <c r="C88" s="613" t="s">
        <v>560</v>
      </c>
      <c r="D88" s="614" t="s">
        <v>1183</v>
      </c>
      <c r="E88" s="613" t="s">
        <v>1706</v>
      </c>
      <c r="F88" s="614" t="s">
        <v>1707</v>
      </c>
      <c r="G88" s="613" t="s">
        <v>1273</v>
      </c>
      <c r="H88" s="613" t="s">
        <v>1274</v>
      </c>
      <c r="I88" s="615">
        <v>15.923750000000002</v>
      </c>
      <c r="J88" s="615">
        <v>400</v>
      </c>
      <c r="K88" s="616">
        <v>6369.5</v>
      </c>
    </row>
    <row r="89" spans="1:11" ht="14.4" customHeight="1" x14ac:dyDescent="0.3">
      <c r="A89" s="611" t="s">
        <v>550</v>
      </c>
      <c r="B89" s="612" t="s">
        <v>551</v>
      </c>
      <c r="C89" s="613" t="s">
        <v>560</v>
      </c>
      <c r="D89" s="614" t="s">
        <v>1183</v>
      </c>
      <c r="E89" s="613" t="s">
        <v>1706</v>
      </c>
      <c r="F89" s="614" t="s">
        <v>1707</v>
      </c>
      <c r="G89" s="613" t="s">
        <v>1275</v>
      </c>
      <c r="H89" s="613" t="s">
        <v>1276</v>
      </c>
      <c r="I89" s="615">
        <v>2.4050000000000002</v>
      </c>
      <c r="J89" s="615">
        <v>400</v>
      </c>
      <c r="K89" s="616">
        <v>962</v>
      </c>
    </row>
    <row r="90" spans="1:11" ht="14.4" customHeight="1" x14ac:dyDescent="0.3">
      <c r="A90" s="611" t="s">
        <v>550</v>
      </c>
      <c r="B90" s="612" t="s">
        <v>551</v>
      </c>
      <c r="C90" s="613" t="s">
        <v>560</v>
      </c>
      <c r="D90" s="614" t="s">
        <v>1183</v>
      </c>
      <c r="E90" s="613" t="s">
        <v>1706</v>
      </c>
      <c r="F90" s="614" t="s">
        <v>1707</v>
      </c>
      <c r="G90" s="613" t="s">
        <v>1277</v>
      </c>
      <c r="H90" s="613" t="s">
        <v>1278</v>
      </c>
      <c r="I90" s="615">
        <v>29.566666666666666</v>
      </c>
      <c r="J90" s="615">
        <v>200</v>
      </c>
      <c r="K90" s="616">
        <v>5941</v>
      </c>
    </row>
    <row r="91" spans="1:11" ht="14.4" customHeight="1" x14ac:dyDescent="0.3">
      <c r="A91" s="611" t="s">
        <v>550</v>
      </c>
      <c r="B91" s="612" t="s">
        <v>551</v>
      </c>
      <c r="C91" s="613" t="s">
        <v>560</v>
      </c>
      <c r="D91" s="614" t="s">
        <v>1183</v>
      </c>
      <c r="E91" s="613" t="s">
        <v>1706</v>
      </c>
      <c r="F91" s="614" t="s">
        <v>1707</v>
      </c>
      <c r="G91" s="613" t="s">
        <v>1279</v>
      </c>
      <c r="H91" s="613" t="s">
        <v>1280</v>
      </c>
      <c r="I91" s="615">
        <v>2.75</v>
      </c>
      <c r="J91" s="615">
        <v>500</v>
      </c>
      <c r="K91" s="616">
        <v>1375</v>
      </c>
    </row>
    <row r="92" spans="1:11" ht="14.4" customHeight="1" x14ac:dyDescent="0.3">
      <c r="A92" s="611" t="s">
        <v>550</v>
      </c>
      <c r="B92" s="612" t="s">
        <v>551</v>
      </c>
      <c r="C92" s="613" t="s">
        <v>560</v>
      </c>
      <c r="D92" s="614" t="s">
        <v>1183</v>
      </c>
      <c r="E92" s="613" t="s">
        <v>1706</v>
      </c>
      <c r="F92" s="614" t="s">
        <v>1707</v>
      </c>
      <c r="G92" s="613" t="s">
        <v>1281</v>
      </c>
      <c r="H92" s="613" t="s">
        <v>1282</v>
      </c>
      <c r="I92" s="615">
        <v>4.1466666666666665</v>
      </c>
      <c r="J92" s="615">
        <v>200</v>
      </c>
      <c r="K92" s="616">
        <v>829.5</v>
      </c>
    </row>
    <row r="93" spans="1:11" ht="14.4" customHeight="1" x14ac:dyDescent="0.3">
      <c r="A93" s="611" t="s">
        <v>550</v>
      </c>
      <c r="B93" s="612" t="s">
        <v>551</v>
      </c>
      <c r="C93" s="613" t="s">
        <v>560</v>
      </c>
      <c r="D93" s="614" t="s">
        <v>1183</v>
      </c>
      <c r="E93" s="613" t="s">
        <v>1706</v>
      </c>
      <c r="F93" s="614" t="s">
        <v>1707</v>
      </c>
      <c r="G93" s="613" t="s">
        <v>1283</v>
      </c>
      <c r="H93" s="613" t="s">
        <v>1284</v>
      </c>
      <c r="I93" s="615">
        <v>1.0075000000000001</v>
      </c>
      <c r="J93" s="615">
        <v>500</v>
      </c>
      <c r="K93" s="616">
        <v>496</v>
      </c>
    </row>
    <row r="94" spans="1:11" ht="14.4" customHeight="1" x14ac:dyDescent="0.3">
      <c r="A94" s="611" t="s">
        <v>550</v>
      </c>
      <c r="B94" s="612" t="s">
        <v>551</v>
      </c>
      <c r="C94" s="613" t="s">
        <v>560</v>
      </c>
      <c r="D94" s="614" t="s">
        <v>1183</v>
      </c>
      <c r="E94" s="613" t="s">
        <v>1706</v>
      </c>
      <c r="F94" s="614" t="s">
        <v>1707</v>
      </c>
      <c r="G94" s="613" t="s">
        <v>1285</v>
      </c>
      <c r="H94" s="613" t="s">
        <v>1286</v>
      </c>
      <c r="I94" s="615">
        <v>1.5299999999999998</v>
      </c>
      <c r="J94" s="615">
        <v>10400</v>
      </c>
      <c r="K94" s="616">
        <v>15777</v>
      </c>
    </row>
    <row r="95" spans="1:11" ht="14.4" customHeight="1" x14ac:dyDescent="0.3">
      <c r="A95" s="611" t="s">
        <v>550</v>
      </c>
      <c r="B95" s="612" t="s">
        <v>551</v>
      </c>
      <c r="C95" s="613" t="s">
        <v>560</v>
      </c>
      <c r="D95" s="614" t="s">
        <v>1183</v>
      </c>
      <c r="E95" s="613" t="s">
        <v>1706</v>
      </c>
      <c r="F95" s="614" t="s">
        <v>1707</v>
      </c>
      <c r="G95" s="613" t="s">
        <v>1287</v>
      </c>
      <c r="H95" s="613" t="s">
        <v>1288</v>
      </c>
      <c r="I95" s="615">
        <v>0.43714285714285711</v>
      </c>
      <c r="J95" s="615">
        <v>3400</v>
      </c>
      <c r="K95" s="616">
        <v>1478</v>
      </c>
    </row>
    <row r="96" spans="1:11" ht="14.4" customHeight="1" x14ac:dyDescent="0.3">
      <c r="A96" s="611" t="s">
        <v>550</v>
      </c>
      <c r="B96" s="612" t="s">
        <v>551</v>
      </c>
      <c r="C96" s="613" t="s">
        <v>560</v>
      </c>
      <c r="D96" s="614" t="s">
        <v>1183</v>
      </c>
      <c r="E96" s="613" t="s">
        <v>1706</v>
      </c>
      <c r="F96" s="614" t="s">
        <v>1707</v>
      </c>
      <c r="G96" s="613" t="s">
        <v>1289</v>
      </c>
      <c r="H96" s="613" t="s">
        <v>1290</v>
      </c>
      <c r="I96" s="615">
        <v>0.62571428571428567</v>
      </c>
      <c r="J96" s="615">
        <v>800</v>
      </c>
      <c r="K96" s="616">
        <v>496</v>
      </c>
    </row>
    <row r="97" spans="1:11" ht="14.4" customHeight="1" x14ac:dyDescent="0.3">
      <c r="A97" s="611" t="s">
        <v>550</v>
      </c>
      <c r="B97" s="612" t="s">
        <v>551</v>
      </c>
      <c r="C97" s="613" t="s">
        <v>560</v>
      </c>
      <c r="D97" s="614" t="s">
        <v>1183</v>
      </c>
      <c r="E97" s="613" t="s">
        <v>1706</v>
      </c>
      <c r="F97" s="614" t="s">
        <v>1707</v>
      </c>
      <c r="G97" s="613" t="s">
        <v>1291</v>
      </c>
      <c r="H97" s="613" t="s">
        <v>1292</v>
      </c>
      <c r="I97" s="615">
        <v>3.2166666666666668</v>
      </c>
      <c r="J97" s="615">
        <v>400</v>
      </c>
      <c r="K97" s="616">
        <v>1287</v>
      </c>
    </row>
    <row r="98" spans="1:11" ht="14.4" customHeight="1" x14ac:dyDescent="0.3">
      <c r="A98" s="611" t="s">
        <v>550</v>
      </c>
      <c r="B98" s="612" t="s">
        <v>551</v>
      </c>
      <c r="C98" s="613" t="s">
        <v>560</v>
      </c>
      <c r="D98" s="614" t="s">
        <v>1183</v>
      </c>
      <c r="E98" s="613" t="s">
        <v>1706</v>
      </c>
      <c r="F98" s="614" t="s">
        <v>1707</v>
      </c>
      <c r="G98" s="613" t="s">
        <v>1296</v>
      </c>
      <c r="H98" s="613" t="s">
        <v>1297</v>
      </c>
      <c r="I98" s="615">
        <v>32.67</v>
      </c>
      <c r="J98" s="615">
        <v>50</v>
      </c>
      <c r="K98" s="616">
        <v>1633.5</v>
      </c>
    </row>
    <row r="99" spans="1:11" ht="14.4" customHeight="1" x14ac:dyDescent="0.3">
      <c r="A99" s="611" t="s">
        <v>550</v>
      </c>
      <c r="B99" s="612" t="s">
        <v>551</v>
      </c>
      <c r="C99" s="613" t="s">
        <v>560</v>
      </c>
      <c r="D99" s="614" t="s">
        <v>1183</v>
      </c>
      <c r="E99" s="613" t="s">
        <v>1706</v>
      </c>
      <c r="F99" s="614" t="s">
        <v>1707</v>
      </c>
      <c r="G99" s="613" t="s">
        <v>1296</v>
      </c>
      <c r="H99" s="613" t="s">
        <v>1393</v>
      </c>
      <c r="I99" s="615">
        <v>32.67</v>
      </c>
      <c r="J99" s="615">
        <v>50</v>
      </c>
      <c r="K99" s="616">
        <v>1633.5</v>
      </c>
    </row>
    <row r="100" spans="1:11" ht="14.4" customHeight="1" x14ac:dyDescent="0.3">
      <c r="A100" s="611" t="s">
        <v>550</v>
      </c>
      <c r="B100" s="612" t="s">
        <v>551</v>
      </c>
      <c r="C100" s="613" t="s">
        <v>560</v>
      </c>
      <c r="D100" s="614" t="s">
        <v>1183</v>
      </c>
      <c r="E100" s="613" t="s">
        <v>1706</v>
      </c>
      <c r="F100" s="614" t="s">
        <v>1707</v>
      </c>
      <c r="G100" s="613" t="s">
        <v>1298</v>
      </c>
      <c r="H100" s="613" t="s">
        <v>1299</v>
      </c>
      <c r="I100" s="615">
        <v>25.978000000000002</v>
      </c>
      <c r="J100" s="615">
        <v>240</v>
      </c>
      <c r="K100" s="616">
        <v>6236.4</v>
      </c>
    </row>
    <row r="101" spans="1:11" ht="14.4" customHeight="1" x14ac:dyDescent="0.3">
      <c r="A101" s="611" t="s">
        <v>550</v>
      </c>
      <c r="B101" s="612" t="s">
        <v>551</v>
      </c>
      <c r="C101" s="613" t="s">
        <v>560</v>
      </c>
      <c r="D101" s="614" t="s">
        <v>1183</v>
      </c>
      <c r="E101" s="613" t="s">
        <v>1706</v>
      </c>
      <c r="F101" s="614" t="s">
        <v>1707</v>
      </c>
      <c r="G101" s="613" t="s">
        <v>1394</v>
      </c>
      <c r="H101" s="613" t="s">
        <v>1395</v>
      </c>
      <c r="I101" s="615">
        <v>14.3</v>
      </c>
      <c r="J101" s="615">
        <v>20</v>
      </c>
      <c r="K101" s="616">
        <v>286.04000000000002</v>
      </c>
    </row>
    <row r="102" spans="1:11" ht="14.4" customHeight="1" x14ac:dyDescent="0.3">
      <c r="A102" s="611" t="s">
        <v>550</v>
      </c>
      <c r="B102" s="612" t="s">
        <v>551</v>
      </c>
      <c r="C102" s="613" t="s">
        <v>560</v>
      </c>
      <c r="D102" s="614" t="s">
        <v>1183</v>
      </c>
      <c r="E102" s="613" t="s">
        <v>1706</v>
      </c>
      <c r="F102" s="614" t="s">
        <v>1707</v>
      </c>
      <c r="G102" s="613" t="s">
        <v>1300</v>
      </c>
      <c r="H102" s="613" t="s">
        <v>1301</v>
      </c>
      <c r="I102" s="615">
        <v>9.15</v>
      </c>
      <c r="J102" s="615">
        <v>200</v>
      </c>
      <c r="K102" s="616">
        <v>1829.3</v>
      </c>
    </row>
    <row r="103" spans="1:11" ht="14.4" customHeight="1" x14ac:dyDescent="0.3">
      <c r="A103" s="611" t="s">
        <v>550</v>
      </c>
      <c r="B103" s="612" t="s">
        <v>551</v>
      </c>
      <c r="C103" s="613" t="s">
        <v>560</v>
      </c>
      <c r="D103" s="614" t="s">
        <v>1183</v>
      </c>
      <c r="E103" s="613" t="s">
        <v>1706</v>
      </c>
      <c r="F103" s="614" t="s">
        <v>1707</v>
      </c>
      <c r="G103" s="613" t="s">
        <v>1302</v>
      </c>
      <c r="H103" s="613" t="s">
        <v>1303</v>
      </c>
      <c r="I103" s="615">
        <v>5.41</v>
      </c>
      <c r="J103" s="615">
        <v>700</v>
      </c>
      <c r="K103" s="616">
        <v>3785.65</v>
      </c>
    </row>
    <row r="104" spans="1:11" ht="14.4" customHeight="1" x14ac:dyDescent="0.3">
      <c r="A104" s="611" t="s">
        <v>550</v>
      </c>
      <c r="B104" s="612" t="s">
        <v>551</v>
      </c>
      <c r="C104" s="613" t="s">
        <v>560</v>
      </c>
      <c r="D104" s="614" t="s">
        <v>1183</v>
      </c>
      <c r="E104" s="613" t="s">
        <v>1706</v>
      </c>
      <c r="F104" s="614" t="s">
        <v>1707</v>
      </c>
      <c r="G104" s="613" t="s">
        <v>1396</v>
      </c>
      <c r="H104" s="613" t="s">
        <v>1397</v>
      </c>
      <c r="I104" s="615">
        <v>26.01</v>
      </c>
      <c r="J104" s="615">
        <v>40</v>
      </c>
      <c r="K104" s="616">
        <v>1040.5999999999999</v>
      </c>
    </row>
    <row r="105" spans="1:11" ht="14.4" customHeight="1" x14ac:dyDescent="0.3">
      <c r="A105" s="611" t="s">
        <v>550</v>
      </c>
      <c r="B105" s="612" t="s">
        <v>551</v>
      </c>
      <c r="C105" s="613" t="s">
        <v>560</v>
      </c>
      <c r="D105" s="614" t="s">
        <v>1183</v>
      </c>
      <c r="E105" s="613" t="s">
        <v>1706</v>
      </c>
      <c r="F105" s="614" t="s">
        <v>1707</v>
      </c>
      <c r="G105" s="613" t="s">
        <v>1398</v>
      </c>
      <c r="H105" s="613" t="s">
        <v>1399</v>
      </c>
      <c r="I105" s="615">
        <v>2.38</v>
      </c>
      <c r="J105" s="615">
        <v>50</v>
      </c>
      <c r="K105" s="616">
        <v>119</v>
      </c>
    </row>
    <row r="106" spans="1:11" ht="14.4" customHeight="1" x14ac:dyDescent="0.3">
      <c r="A106" s="611" t="s">
        <v>550</v>
      </c>
      <c r="B106" s="612" t="s">
        <v>551</v>
      </c>
      <c r="C106" s="613" t="s">
        <v>560</v>
      </c>
      <c r="D106" s="614" t="s">
        <v>1183</v>
      </c>
      <c r="E106" s="613" t="s">
        <v>1706</v>
      </c>
      <c r="F106" s="614" t="s">
        <v>1707</v>
      </c>
      <c r="G106" s="613" t="s">
        <v>1310</v>
      </c>
      <c r="H106" s="613" t="s">
        <v>1311</v>
      </c>
      <c r="I106" s="615">
        <v>2.86</v>
      </c>
      <c r="J106" s="615">
        <v>1200</v>
      </c>
      <c r="K106" s="616">
        <v>3432</v>
      </c>
    </row>
    <row r="107" spans="1:11" ht="14.4" customHeight="1" x14ac:dyDescent="0.3">
      <c r="A107" s="611" t="s">
        <v>550</v>
      </c>
      <c r="B107" s="612" t="s">
        <v>551</v>
      </c>
      <c r="C107" s="613" t="s">
        <v>560</v>
      </c>
      <c r="D107" s="614" t="s">
        <v>1183</v>
      </c>
      <c r="E107" s="613" t="s">
        <v>1706</v>
      </c>
      <c r="F107" s="614" t="s">
        <v>1707</v>
      </c>
      <c r="G107" s="613" t="s">
        <v>1400</v>
      </c>
      <c r="H107" s="613" t="s">
        <v>1401</v>
      </c>
      <c r="I107" s="615">
        <v>58.786666666666669</v>
      </c>
      <c r="J107" s="615">
        <v>36</v>
      </c>
      <c r="K107" s="616">
        <v>2116.29</v>
      </c>
    </row>
    <row r="108" spans="1:11" ht="14.4" customHeight="1" x14ac:dyDescent="0.3">
      <c r="A108" s="611" t="s">
        <v>550</v>
      </c>
      <c r="B108" s="612" t="s">
        <v>551</v>
      </c>
      <c r="C108" s="613" t="s">
        <v>560</v>
      </c>
      <c r="D108" s="614" t="s">
        <v>1183</v>
      </c>
      <c r="E108" s="613" t="s">
        <v>1706</v>
      </c>
      <c r="F108" s="614" t="s">
        <v>1707</v>
      </c>
      <c r="G108" s="613" t="s">
        <v>1312</v>
      </c>
      <c r="H108" s="613" t="s">
        <v>1313</v>
      </c>
      <c r="I108" s="615">
        <v>2.0525000000000002</v>
      </c>
      <c r="J108" s="615">
        <v>41</v>
      </c>
      <c r="K108" s="616">
        <v>84.240000000000009</v>
      </c>
    </row>
    <row r="109" spans="1:11" ht="14.4" customHeight="1" x14ac:dyDescent="0.3">
      <c r="A109" s="611" t="s">
        <v>550</v>
      </c>
      <c r="B109" s="612" t="s">
        <v>551</v>
      </c>
      <c r="C109" s="613" t="s">
        <v>560</v>
      </c>
      <c r="D109" s="614" t="s">
        <v>1183</v>
      </c>
      <c r="E109" s="613" t="s">
        <v>1706</v>
      </c>
      <c r="F109" s="614" t="s">
        <v>1707</v>
      </c>
      <c r="G109" s="613" t="s">
        <v>1314</v>
      </c>
      <c r="H109" s="613" t="s">
        <v>1315</v>
      </c>
      <c r="I109" s="615">
        <v>2.37</v>
      </c>
      <c r="J109" s="615">
        <v>150</v>
      </c>
      <c r="K109" s="616">
        <v>355.06</v>
      </c>
    </row>
    <row r="110" spans="1:11" ht="14.4" customHeight="1" x14ac:dyDescent="0.3">
      <c r="A110" s="611" t="s">
        <v>550</v>
      </c>
      <c r="B110" s="612" t="s">
        <v>551</v>
      </c>
      <c r="C110" s="613" t="s">
        <v>560</v>
      </c>
      <c r="D110" s="614" t="s">
        <v>1183</v>
      </c>
      <c r="E110" s="613" t="s">
        <v>1706</v>
      </c>
      <c r="F110" s="614" t="s">
        <v>1707</v>
      </c>
      <c r="G110" s="613" t="s">
        <v>1314</v>
      </c>
      <c r="H110" s="613" t="s">
        <v>1316</v>
      </c>
      <c r="I110" s="615">
        <v>2.46</v>
      </c>
      <c r="J110" s="615">
        <v>300</v>
      </c>
      <c r="K110" s="616">
        <v>738.6</v>
      </c>
    </row>
    <row r="111" spans="1:11" ht="14.4" customHeight="1" x14ac:dyDescent="0.3">
      <c r="A111" s="611" t="s">
        <v>550</v>
      </c>
      <c r="B111" s="612" t="s">
        <v>551</v>
      </c>
      <c r="C111" s="613" t="s">
        <v>560</v>
      </c>
      <c r="D111" s="614" t="s">
        <v>1183</v>
      </c>
      <c r="E111" s="613" t="s">
        <v>1706</v>
      </c>
      <c r="F111" s="614" t="s">
        <v>1707</v>
      </c>
      <c r="G111" s="613" t="s">
        <v>1320</v>
      </c>
      <c r="H111" s="613" t="s">
        <v>1321</v>
      </c>
      <c r="I111" s="615">
        <v>12.104444444444445</v>
      </c>
      <c r="J111" s="615">
        <v>255</v>
      </c>
      <c r="K111" s="616">
        <v>3086.65</v>
      </c>
    </row>
    <row r="112" spans="1:11" ht="14.4" customHeight="1" x14ac:dyDescent="0.3">
      <c r="A112" s="611" t="s">
        <v>550</v>
      </c>
      <c r="B112" s="612" t="s">
        <v>551</v>
      </c>
      <c r="C112" s="613" t="s">
        <v>560</v>
      </c>
      <c r="D112" s="614" t="s">
        <v>1183</v>
      </c>
      <c r="E112" s="613" t="s">
        <v>1706</v>
      </c>
      <c r="F112" s="614" t="s">
        <v>1707</v>
      </c>
      <c r="G112" s="613" t="s">
        <v>1402</v>
      </c>
      <c r="H112" s="613" t="s">
        <v>1403</v>
      </c>
      <c r="I112" s="615">
        <v>1.94</v>
      </c>
      <c r="J112" s="615">
        <v>50</v>
      </c>
      <c r="K112" s="616">
        <v>97</v>
      </c>
    </row>
    <row r="113" spans="1:11" ht="14.4" customHeight="1" x14ac:dyDescent="0.3">
      <c r="A113" s="611" t="s">
        <v>550</v>
      </c>
      <c r="B113" s="612" t="s">
        <v>551</v>
      </c>
      <c r="C113" s="613" t="s">
        <v>560</v>
      </c>
      <c r="D113" s="614" t="s">
        <v>1183</v>
      </c>
      <c r="E113" s="613" t="s">
        <v>1706</v>
      </c>
      <c r="F113" s="614" t="s">
        <v>1707</v>
      </c>
      <c r="G113" s="613" t="s">
        <v>1402</v>
      </c>
      <c r="H113" s="613" t="s">
        <v>1404</v>
      </c>
      <c r="I113" s="615">
        <v>1.94</v>
      </c>
      <c r="J113" s="615">
        <v>149</v>
      </c>
      <c r="K113" s="616">
        <v>288.47000000000003</v>
      </c>
    </row>
    <row r="114" spans="1:11" ht="14.4" customHeight="1" x14ac:dyDescent="0.3">
      <c r="A114" s="611" t="s">
        <v>550</v>
      </c>
      <c r="B114" s="612" t="s">
        <v>551</v>
      </c>
      <c r="C114" s="613" t="s">
        <v>560</v>
      </c>
      <c r="D114" s="614" t="s">
        <v>1183</v>
      </c>
      <c r="E114" s="613" t="s">
        <v>1706</v>
      </c>
      <c r="F114" s="614" t="s">
        <v>1707</v>
      </c>
      <c r="G114" s="613" t="s">
        <v>1326</v>
      </c>
      <c r="H114" s="613" t="s">
        <v>1327</v>
      </c>
      <c r="I114" s="615">
        <v>18.912500000000001</v>
      </c>
      <c r="J114" s="615">
        <v>170</v>
      </c>
      <c r="K114" s="616">
        <v>3145.3</v>
      </c>
    </row>
    <row r="115" spans="1:11" ht="14.4" customHeight="1" x14ac:dyDescent="0.3">
      <c r="A115" s="611" t="s">
        <v>550</v>
      </c>
      <c r="B115" s="612" t="s">
        <v>551</v>
      </c>
      <c r="C115" s="613" t="s">
        <v>560</v>
      </c>
      <c r="D115" s="614" t="s">
        <v>1183</v>
      </c>
      <c r="E115" s="613" t="s">
        <v>1706</v>
      </c>
      <c r="F115" s="614" t="s">
        <v>1707</v>
      </c>
      <c r="G115" s="613" t="s">
        <v>1328</v>
      </c>
      <c r="H115" s="613" t="s">
        <v>1329</v>
      </c>
      <c r="I115" s="615">
        <v>2.88</v>
      </c>
      <c r="J115" s="615">
        <v>200</v>
      </c>
      <c r="K115" s="616">
        <v>575.98</v>
      </c>
    </row>
    <row r="116" spans="1:11" ht="14.4" customHeight="1" x14ac:dyDescent="0.3">
      <c r="A116" s="611" t="s">
        <v>550</v>
      </c>
      <c r="B116" s="612" t="s">
        <v>551</v>
      </c>
      <c r="C116" s="613" t="s">
        <v>560</v>
      </c>
      <c r="D116" s="614" t="s">
        <v>1183</v>
      </c>
      <c r="E116" s="613" t="s">
        <v>1706</v>
      </c>
      <c r="F116" s="614" t="s">
        <v>1707</v>
      </c>
      <c r="G116" s="613" t="s">
        <v>1405</v>
      </c>
      <c r="H116" s="613" t="s">
        <v>1406</v>
      </c>
      <c r="I116" s="615">
        <v>1.28</v>
      </c>
      <c r="J116" s="615">
        <v>500</v>
      </c>
      <c r="K116" s="616">
        <v>641.29999999999995</v>
      </c>
    </row>
    <row r="117" spans="1:11" ht="14.4" customHeight="1" x14ac:dyDescent="0.3">
      <c r="A117" s="611" t="s">
        <v>550</v>
      </c>
      <c r="B117" s="612" t="s">
        <v>551</v>
      </c>
      <c r="C117" s="613" t="s">
        <v>560</v>
      </c>
      <c r="D117" s="614" t="s">
        <v>1183</v>
      </c>
      <c r="E117" s="613" t="s">
        <v>1706</v>
      </c>
      <c r="F117" s="614" t="s">
        <v>1707</v>
      </c>
      <c r="G117" s="613" t="s">
        <v>1407</v>
      </c>
      <c r="H117" s="613" t="s">
        <v>1408</v>
      </c>
      <c r="I117" s="615">
        <v>0.27</v>
      </c>
      <c r="J117" s="615">
        <v>500</v>
      </c>
      <c r="K117" s="616">
        <v>133.1</v>
      </c>
    </row>
    <row r="118" spans="1:11" ht="14.4" customHeight="1" x14ac:dyDescent="0.3">
      <c r="A118" s="611" t="s">
        <v>550</v>
      </c>
      <c r="B118" s="612" t="s">
        <v>551</v>
      </c>
      <c r="C118" s="613" t="s">
        <v>560</v>
      </c>
      <c r="D118" s="614" t="s">
        <v>1183</v>
      </c>
      <c r="E118" s="613" t="s">
        <v>1706</v>
      </c>
      <c r="F118" s="614" t="s">
        <v>1707</v>
      </c>
      <c r="G118" s="613" t="s">
        <v>1330</v>
      </c>
      <c r="H118" s="613" t="s">
        <v>1331</v>
      </c>
      <c r="I118" s="615">
        <v>0.47555555555555551</v>
      </c>
      <c r="J118" s="615">
        <v>3300</v>
      </c>
      <c r="K118" s="616">
        <v>1570</v>
      </c>
    </row>
    <row r="119" spans="1:11" ht="14.4" customHeight="1" x14ac:dyDescent="0.3">
      <c r="A119" s="611" t="s">
        <v>550</v>
      </c>
      <c r="B119" s="612" t="s">
        <v>551</v>
      </c>
      <c r="C119" s="613" t="s">
        <v>560</v>
      </c>
      <c r="D119" s="614" t="s">
        <v>1183</v>
      </c>
      <c r="E119" s="613" t="s">
        <v>1706</v>
      </c>
      <c r="F119" s="614" t="s">
        <v>1707</v>
      </c>
      <c r="G119" s="613" t="s">
        <v>1409</v>
      </c>
      <c r="H119" s="613" t="s">
        <v>1410</v>
      </c>
      <c r="I119" s="615">
        <v>12.1</v>
      </c>
      <c r="J119" s="615">
        <v>50</v>
      </c>
      <c r="K119" s="616">
        <v>605</v>
      </c>
    </row>
    <row r="120" spans="1:11" ht="14.4" customHeight="1" x14ac:dyDescent="0.3">
      <c r="A120" s="611" t="s">
        <v>550</v>
      </c>
      <c r="B120" s="612" t="s">
        <v>551</v>
      </c>
      <c r="C120" s="613" t="s">
        <v>560</v>
      </c>
      <c r="D120" s="614" t="s">
        <v>1183</v>
      </c>
      <c r="E120" s="613" t="s">
        <v>1706</v>
      </c>
      <c r="F120" s="614" t="s">
        <v>1707</v>
      </c>
      <c r="G120" s="613" t="s">
        <v>1409</v>
      </c>
      <c r="H120" s="613" t="s">
        <v>1411</v>
      </c>
      <c r="I120" s="615">
        <v>12.1</v>
      </c>
      <c r="J120" s="615">
        <v>60</v>
      </c>
      <c r="K120" s="616">
        <v>726</v>
      </c>
    </row>
    <row r="121" spans="1:11" ht="14.4" customHeight="1" x14ac:dyDescent="0.3">
      <c r="A121" s="611" t="s">
        <v>550</v>
      </c>
      <c r="B121" s="612" t="s">
        <v>551</v>
      </c>
      <c r="C121" s="613" t="s">
        <v>560</v>
      </c>
      <c r="D121" s="614" t="s">
        <v>1183</v>
      </c>
      <c r="E121" s="613" t="s">
        <v>1706</v>
      </c>
      <c r="F121" s="614" t="s">
        <v>1707</v>
      </c>
      <c r="G121" s="613" t="s">
        <v>1412</v>
      </c>
      <c r="H121" s="613" t="s">
        <v>1413</v>
      </c>
      <c r="I121" s="615">
        <v>14.52</v>
      </c>
      <c r="J121" s="615">
        <v>30</v>
      </c>
      <c r="K121" s="616">
        <v>435.6</v>
      </c>
    </row>
    <row r="122" spans="1:11" ht="14.4" customHeight="1" x14ac:dyDescent="0.3">
      <c r="A122" s="611" t="s">
        <v>550</v>
      </c>
      <c r="B122" s="612" t="s">
        <v>551</v>
      </c>
      <c r="C122" s="613" t="s">
        <v>560</v>
      </c>
      <c r="D122" s="614" t="s">
        <v>1183</v>
      </c>
      <c r="E122" s="613" t="s">
        <v>1706</v>
      </c>
      <c r="F122" s="614" t="s">
        <v>1707</v>
      </c>
      <c r="G122" s="613" t="s">
        <v>1414</v>
      </c>
      <c r="H122" s="613" t="s">
        <v>1415</v>
      </c>
      <c r="I122" s="615">
        <v>16.43</v>
      </c>
      <c r="J122" s="615">
        <v>80</v>
      </c>
      <c r="K122" s="616">
        <v>1314.54</v>
      </c>
    </row>
    <row r="123" spans="1:11" ht="14.4" customHeight="1" x14ac:dyDescent="0.3">
      <c r="A123" s="611" t="s">
        <v>550</v>
      </c>
      <c r="B123" s="612" t="s">
        <v>551</v>
      </c>
      <c r="C123" s="613" t="s">
        <v>560</v>
      </c>
      <c r="D123" s="614" t="s">
        <v>1183</v>
      </c>
      <c r="E123" s="613" t="s">
        <v>1706</v>
      </c>
      <c r="F123" s="614" t="s">
        <v>1707</v>
      </c>
      <c r="G123" s="613" t="s">
        <v>1416</v>
      </c>
      <c r="H123" s="613" t="s">
        <v>1417</v>
      </c>
      <c r="I123" s="615">
        <v>10.576666666666666</v>
      </c>
      <c r="J123" s="615">
        <v>48</v>
      </c>
      <c r="K123" s="616">
        <v>506.21</v>
      </c>
    </row>
    <row r="124" spans="1:11" ht="14.4" customHeight="1" x14ac:dyDescent="0.3">
      <c r="A124" s="611" t="s">
        <v>550</v>
      </c>
      <c r="B124" s="612" t="s">
        <v>551</v>
      </c>
      <c r="C124" s="613" t="s">
        <v>560</v>
      </c>
      <c r="D124" s="614" t="s">
        <v>1183</v>
      </c>
      <c r="E124" s="613" t="s">
        <v>1706</v>
      </c>
      <c r="F124" s="614" t="s">
        <v>1707</v>
      </c>
      <c r="G124" s="613" t="s">
        <v>1338</v>
      </c>
      <c r="H124" s="613" t="s">
        <v>1339</v>
      </c>
      <c r="I124" s="615">
        <v>403.77599999999995</v>
      </c>
      <c r="J124" s="615">
        <v>100</v>
      </c>
      <c r="K124" s="616">
        <v>40377.64</v>
      </c>
    </row>
    <row r="125" spans="1:11" ht="14.4" customHeight="1" x14ac:dyDescent="0.3">
      <c r="A125" s="611" t="s">
        <v>550</v>
      </c>
      <c r="B125" s="612" t="s">
        <v>551</v>
      </c>
      <c r="C125" s="613" t="s">
        <v>560</v>
      </c>
      <c r="D125" s="614" t="s">
        <v>1183</v>
      </c>
      <c r="E125" s="613" t="s">
        <v>1706</v>
      </c>
      <c r="F125" s="614" t="s">
        <v>1707</v>
      </c>
      <c r="G125" s="613" t="s">
        <v>1342</v>
      </c>
      <c r="H125" s="613" t="s">
        <v>1343</v>
      </c>
      <c r="I125" s="615">
        <v>283</v>
      </c>
      <c r="J125" s="615">
        <v>2</v>
      </c>
      <c r="K125" s="616">
        <v>565.99</v>
      </c>
    </row>
    <row r="126" spans="1:11" ht="14.4" customHeight="1" x14ac:dyDescent="0.3">
      <c r="A126" s="611" t="s">
        <v>550</v>
      </c>
      <c r="B126" s="612" t="s">
        <v>551</v>
      </c>
      <c r="C126" s="613" t="s">
        <v>560</v>
      </c>
      <c r="D126" s="614" t="s">
        <v>1183</v>
      </c>
      <c r="E126" s="613" t="s">
        <v>1706</v>
      </c>
      <c r="F126" s="614" t="s">
        <v>1707</v>
      </c>
      <c r="G126" s="613" t="s">
        <v>1418</v>
      </c>
      <c r="H126" s="613" t="s">
        <v>1419</v>
      </c>
      <c r="I126" s="615">
        <v>5</v>
      </c>
      <c r="J126" s="615">
        <v>200</v>
      </c>
      <c r="K126" s="616">
        <v>1000.17</v>
      </c>
    </row>
    <row r="127" spans="1:11" ht="14.4" customHeight="1" x14ac:dyDescent="0.3">
      <c r="A127" s="611" t="s">
        <v>550</v>
      </c>
      <c r="B127" s="612" t="s">
        <v>551</v>
      </c>
      <c r="C127" s="613" t="s">
        <v>560</v>
      </c>
      <c r="D127" s="614" t="s">
        <v>1183</v>
      </c>
      <c r="E127" s="613" t="s">
        <v>1706</v>
      </c>
      <c r="F127" s="614" t="s">
        <v>1707</v>
      </c>
      <c r="G127" s="613" t="s">
        <v>1420</v>
      </c>
      <c r="H127" s="613" t="s">
        <v>1421</v>
      </c>
      <c r="I127" s="615">
        <v>5.9</v>
      </c>
      <c r="J127" s="615">
        <v>70</v>
      </c>
      <c r="K127" s="616">
        <v>413.34000000000003</v>
      </c>
    </row>
    <row r="128" spans="1:11" ht="14.4" customHeight="1" x14ac:dyDescent="0.3">
      <c r="A128" s="611" t="s">
        <v>550</v>
      </c>
      <c r="B128" s="612" t="s">
        <v>551</v>
      </c>
      <c r="C128" s="613" t="s">
        <v>560</v>
      </c>
      <c r="D128" s="614" t="s">
        <v>1183</v>
      </c>
      <c r="E128" s="613" t="s">
        <v>1706</v>
      </c>
      <c r="F128" s="614" t="s">
        <v>1707</v>
      </c>
      <c r="G128" s="613" t="s">
        <v>1346</v>
      </c>
      <c r="H128" s="613" t="s">
        <v>1347</v>
      </c>
      <c r="I128" s="615">
        <v>104.33000000000001</v>
      </c>
      <c r="J128" s="615">
        <v>16</v>
      </c>
      <c r="K128" s="616">
        <v>1659.6599999999999</v>
      </c>
    </row>
    <row r="129" spans="1:11" ht="14.4" customHeight="1" x14ac:dyDescent="0.3">
      <c r="A129" s="611" t="s">
        <v>550</v>
      </c>
      <c r="B129" s="612" t="s">
        <v>551</v>
      </c>
      <c r="C129" s="613" t="s">
        <v>560</v>
      </c>
      <c r="D129" s="614" t="s">
        <v>1183</v>
      </c>
      <c r="E129" s="613" t="s">
        <v>1706</v>
      </c>
      <c r="F129" s="614" t="s">
        <v>1707</v>
      </c>
      <c r="G129" s="613" t="s">
        <v>1422</v>
      </c>
      <c r="H129" s="613" t="s">
        <v>1423</v>
      </c>
      <c r="I129" s="615">
        <v>13.215</v>
      </c>
      <c r="J129" s="615">
        <v>2905</v>
      </c>
      <c r="K129" s="616">
        <v>36435.4</v>
      </c>
    </row>
    <row r="130" spans="1:11" ht="14.4" customHeight="1" x14ac:dyDescent="0.3">
      <c r="A130" s="611" t="s">
        <v>550</v>
      </c>
      <c r="B130" s="612" t="s">
        <v>551</v>
      </c>
      <c r="C130" s="613" t="s">
        <v>560</v>
      </c>
      <c r="D130" s="614" t="s">
        <v>1183</v>
      </c>
      <c r="E130" s="613" t="s">
        <v>1706</v>
      </c>
      <c r="F130" s="614" t="s">
        <v>1707</v>
      </c>
      <c r="G130" s="613" t="s">
        <v>1424</v>
      </c>
      <c r="H130" s="613" t="s">
        <v>1425</v>
      </c>
      <c r="I130" s="615">
        <v>22.65</v>
      </c>
      <c r="J130" s="615">
        <v>480</v>
      </c>
      <c r="K130" s="616">
        <v>10872.48</v>
      </c>
    </row>
    <row r="131" spans="1:11" ht="14.4" customHeight="1" x14ac:dyDescent="0.3">
      <c r="A131" s="611" t="s">
        <v>550</v>
      </c>
      <c r="B131" s="612" t="s">
        <v>551</v>
      </c>
      <c r="C131" s="613" t="s">
        <v>560</v>
      </c>
      <c r="D131" s="614" t="s">
        <v>1183</v>
      </c>
      <c r="E131" s="613" t="s">
        <v>1706</v>
      </c>
      <c r="F131" s="614" t="s">
        <v>1707</v>
      </c>
      <c r="G131" s="613" t="s">
        <v>1426</v>
      </c>
      <c r="H131" s="613" t="s">
        <v>1427</v>
      </c>
      <c r="I131" s="615">
        <v>20.29</v>
      </c>
      <c r="J131" s="615">
        <v>1376</v>
      </c>
      <c r="K131" s="616">
        <v>27921.14</v>
      </c>
    </row>
    <row r="132" spans="1:11" ht="14.4" customHeight="1" x14ac:dyDescent="0.3">
      <c r="A132" s="611" t="s">
        <v>550</v>
      </c>
      <c r="B132" s="612" t="s">
        <v>551</v>
      </c>
      <c r="C132" s="613" t="s">
        <v>560</v>
      </c>
      <c r="D132" s="614" t="s">
        <v>1183</v>
      </c>
      <c r="E132" s="613" t="s">
        <v>1706</v>
      </c>
      <c r="F132" s="614" t="s">
        <v>1707</v>
      </c>
      <c r="G132" s="613" t="s">
        <v>1428</v>
      </c>
      <c r="H132" s="613" t="s">
        <v>1429</v>
      </c>
      <c r="I132" s="615">
        <v>14.159999999999998</v>
      </c>
      <c r="J132" s="615">
        <v>2464</v>
      </c>
      <c r="K132" s="616">
        <v>34882.899999999994</v>
      </c>
    </row>
    <row r="133" spans="1:11" ht="14.4" customHeight="1" x14ac:dyDescent="0.3">
      <c r="A133" s="611" t="s">
        <v>550</v>
      </c>
      <c r="B133" s="612" t="s">
        <v>551</v>
      </c>
      <c r="C133" s="613" t="s">
        <v>560</v>
      </c>
      <c r="D133" s="614" t="s">
        <v>1183</v>
      </c>
      <c r="E133" s="613" t="s">
        <v>1706</v>
      </c>
      <c r="F133" s="614" t="s">
        <v>1707</v>
      </c>
      <c r="G133" s="613" t="s">
        <v>1430</v>
      </c>
      <c r="H133" s="613" t="s">
        <v>1431</v>
      </c>
      <c r="I133" s="615">
        <v>12.27</v>
      </c>
      <c r="J133" s="615">
        <v>2825</v>
      </c>
      <c r="K133" s="616">
        <v>34661.000000000007</v>
      </c>
    </row>
    <row r="134" spans="1:11" ht="14.4" customHeight="1" x14ac:dyDescent="0.3">
      <c r="A134" s="611" t="s">
        <v>550</v>
      </c>
      <c r="B134" s="612" t="s">
        <v>551</v>
      </c>
      <c r="C134" s="613" t="s">
        <v>560</v>
      </c>
      <c r="D134" s="614" t="s">
        <v>1183</v>
      </c>
      <c r="E134" s="613" t="s">
        <v>1706</v>
      </c>
      <c r="F134" s="614" t="s">
        <v>1707</v>
      </c>
      <c r="G134" s="613" t="s">
        <v>1432</v>
      </c>
      <c r="H134" s="613" t="s">
        <v>1433</v>
      </c>
      <c r="I134" s="615">
        <v>18.400000000000002</v>
      </c>
      <c r="J134" s="615">
        <v>5560</v>
      </c>
      <c r="K134" s="616">
        <v>102326.80000000002</v>
      </c>
    </row>
    <row r="135" spans="1:11" ht="14.4" customHeight="1" x14ac:dyDescent="0.3">
      <c r="A135" s="611" t="s">
        <v>550</v>
      </c>
      <c r="B135" s="612" t="s">
        <v>551</v>
      </c>
      <c r="C135" s="613" t="s">
        <v>560</v>
      </c>
      <c r="D135" s="614" t="s">
        <v>1183</v>
      </c>
      <c r="E135" s="613" t="s">
        <v>1706</v>
      </c>
      <c r="F135" s="614" t="s">
        <v>1707</v>
      </c>
      <c r="G135" s="613" t="s">
        <v>1434</v>
      </c>
      <c r="H135" s="613" t="s">
        <v>1435</v>
      </c>
      <c r="I135" s="615">
        <v>12.269999999999998</v>
      </c>
      <c r="J135" s="615">
        <v>10850</v>
      </c>
      <c r="K135" s="616">
        <v>133123</v>
      </c>
    </row>
    <row r="136" spans="1:11" ht="14.4" customHeight="1" x14ac:dyDescent="0.3">
      <c r="A136" s="611" t="s">
        <v>550</v>
      </c>
      <c r="B136" s="612" t="s">
        <v>551</v>
      </c>
      <c r="C136" s="613" t="s">
        <v>560</v>
      </c>
      <c r="D136" s="614" t="s">
        <v>1183</v>
      </c>
      <c r="E136" s="613" t="s">
        <v>1706</v>
      </c>
      <c r="F136" s="614" t="s">
        <v>1707</v>
      </c>
      <c r="G136" s="613" t="s">
        <v>1436</v>
      </c>
      <c r="H136" s="613" t="s">
        <v>1437</v>
      </c>
      <c r="I136" s="615">
        <v>256.7</v>
      </c>
      <c r="J136" s="615">
        <v>1</v>
      </c>
      <c r="K136" s="616">
        <v>256.7</v>
      </c>
    </row>
    <row r="137" spans="1:11" ht="14.4" customHeight="1" x14ac:dyDescent="0.3">
      <c r="A137" s="611" t="s">
        <v>550</v>
      </c>
      <c r="B137" s="612" t="s">
        <v>551</v>
      </c>
      <c r="C137" s="613" t="s">
        <v>560</v>
      </c>
      <c r="D137" s="614" t="s">
        <v>1183</v>
      </c>
      <c r="E137" s="613" t="s">
        <v>1706</v>
      </c>
      <c r="F137" s="614" t="s">
        <v>1707</v>
      </c>
      <c r="G137" s="613" t="s">
        <v>1438</v>
      </c>
      <c r="H137" s="613" t="s">
        <v>1439</v>
      </c>
      <c r="I137" s="615">
        <v>196</v>
      </c>
      <c r="J137" s="615">
        <v>1</v>
      </c>
      <c r="K137" s="616">
        <v>196</v>
      </c>
    </row>
    <row r="138" spans="1:11" ht="14.4" customHeight="1" x14ac:dyDescent="0.3">
      <c r="A138" s="611" t="s">
        <v>550</v>
      </c>
      <c r="B138" s="612" t="s">
        <v>551</v>
      </c>
      <c r="C138" s="613" t="s">
        <v>560</v>
      </c>
      <c r="D138" s="614" t="s">
        <v>1183</v>
      </c>
      <c r="E138" s="613" t="s">
        <v>1706</v>
      </c>
      <c r="F138" s="614" t="s">
        <v>1707</v>
      </c>
      <c r="G138" s="613" t="s">
        <v>1440</v>
      </c>
      <c r="H138" s="613" t="s">
        <v>1441</v>
      </c>
      <c r="I138" s="615">
        <v>294</v>
      </c>
      <c r="J138" s="615">
        <v>6</v>
      </c>
      <c r="K138" s="616">
        <v>1764.03</v>
      </c>
    </row>
    <row r="139" spans="1:11" ht="14.4" customHeight="1" x14ac:dyDescent="0.3">
      <c r="A139" s="611" t="s">
        <v>550</v>
      </c>
      <c r="B139" s="612" t="s">
        <v>551</v>
      </c>
      <c r="C139" s="613" t="s">
        <v>560</v>
      </c>
      <c r="D139" s="614" t="s">
        <v>1183</v>
      </c>
      <c r="E139" s="613" t="s">
        <v>1706</v>
      </c>
      <c r="F139" s="614" t="s">
        <v>1707</v>
      </c>
      <c r="G139" s="613" t="s">
        <v>1442</v>
      </c>
      <c r="H139" s="613" t="s">
        <v>1443</v>
      </c>
      <c r="I139" s="615">
        <v>256.7</v>
      </c>
      <c r="J139" s="615">
        <v>1</v>
      </c>
      <c r="K139" s="616">
        <v>256.7</v>
      </c>
    </row>
    <row r="140" spans="1:11" ht="14.4" customHeight="1" x14ac:dyDescent="0.3">
      <c r="A140" s="611" t="s">
        <v>550</v>
      </c>
      <c r="B140" s="612" t="s">
        <v>551</v>
      </c>
      <c r="C140" s="613" t="s">
        <v>560</v>
      </c>
      <c r="D140" s="614" t="s">
        <v>1183</v>
      </c>
      <c r="E140" s="613" t="s">
        <v>1706</v>
      </c>
      <c r="F140" s="614" t="s">
        <v>1707</v>
      </c>
      <c r="G140" s="613" t="s">
        <v>1444</v>
      </c>
      <c r="H140" s="613" t="s">
        <v>1445</v>
      </c>
      <c r="I140" s="615">
        <v>97.89</v>
      </c>
      <c r="J140" s="615">
        <v>10</v>
      </c>
      <c r="K140" s="616">
        <v>978.9</v>
      </c>
    </row>
    <row r="141" spans="1:11" ht="14.4" customHeight="1" x14ac:dyDescent="0.3">
      <c r="A141" s="611" t="s">
        <v>550</v>
      </c>
      <c r="B141" s="612" t="s">
        <v>551</v>
      </c>
      <c r="C141" s="613" t="s">
        <v>560</v>
      </c>
      <c r="D141" s="614" t="s">
        <v>1183</v>
      </c>
      <c r="E141" s="613" t="s">
        <v>1714</v>
      </c>
      <c r="F141" s="614" t="s">
        <v>1715</v>
      </c>
      <c r="G141" s="613" t="s">
        <v>1446</v>
      </c>
      <c r="H141" s="613" t="s">
        <v>1447</v>
      </c>
      <c r="I141" s="615">
        <v>7.01</v>
      </c>
      <c r="J141" s="615">
        <v>10</v>
      </c>
      <c r="K141" s="616">
        <v>70.099999999999994</v>
      </c>
    </row>
    <row r="142" spans="1:11" ht="14.4" customHeight="1" x14ac:dyDescent="0.3">
      <c r="A142" s="611" t="s">
        <v>550</v>
      </c>
      <c r="B142" s="612" t="s">
        <v>551</v>
      </c>
      <c r="C142" s="613" t="s">
        <v>560</v>
      </c>
      <c r="D142" s="614" t="s">
        <v>1183</v>
      </c>
      <c r="E142" s="613" t="s">
        <v>1714</v>
      </c>
      <c r="F142" s="614" t="s">
        <v>1715</v>
      </c>
      <c r="G142" s="613" t="s">
        <v>1448</v>
      </c>
      <c r="H142" s="613" t="s">
        <v>1449</v>
      </c>
      <c r="I142" s="615">
        <v>210.54</v>
      </c>
      <c r="J142" s="615">
        <v>10</v>
      </c>
      <c r="K142" s="616">
        <v>2105.4</v>
      </c>
    </row>
    <row r="143" spans="1:11" ht="14.4" customHeight="1" x14ac:dyDescent="0.3">
      <c r="A143" s="611" t="s">
        <v>550</v>
      </c>
      <c r="B143" s="612" t="s">
        <v>551</v>
      </c>
      <c r="C143" s="613" t="s">
        <v>560</v>
      </c>
      <c r="D143" s="614" t="s">
        <v>1183</v>
      </c>
      <c r="E143" s="613" t="s">
        <v>1708</v>
      </c>
      <c r="F143" s="614" t="s">
        <v>1709</v>
      </c>
      <c r="G143" s="613" t="s">
        <v>1357</v>
      </c>
      <c r="H143" s="613" t="s">
        <v>1358</v>
      </c>
      <c r="I143" s="615">
        <v>0.36333333333333329</v>
      </c>
      <c r="J143" s="615">
        <v>500</v>
      </c>
      <c r="K143" s="616">
        <v>170</v>
      </c>
    </row>
    <row r="144" spans="1:11" ht="14.4" customHeight="1" x14ac:dyDescent="0.3">
      <c r="A144" s="611" t="s">
        <v>550</v>
      </c>
      <c r="B144" s="612" t="s">
        <v>551</v>
      </c>
      <c r="C144" s="613" t="s">
        <v>560</v>
      </c>
      <c r="D144" s="614" t="s">
        <v>1183</v>
      </c>
      <c r="E144" s="613" t="s">
        <v>1708</v>
      </c>
      <c r="F144" s="614" t="s">
        <v>1709</v>
      </c>
      <c r="G144" s="613" t="s">
        <v>1450</v>
      </c>
      <c r="H144" s="613" t="s">
        <v>1451</v>
      </c>
      <c r="I144" s="615">
        <v>0.3</v>
      </c>
      <c r="J144" s="615">
        <v>700</v>
      </c>
      <c r="K144" s="616">
        <v>212.52000000000004</v>
      </c>
    </row>
    <row r="145" spans="1:11" ht="14.4" customHeight="1" x14ac:dyDescent="0.3">
      <c r="A145" s="611" t="s">
        <v>550</v>
      </c>
      <c r="B145" s="612" t="s">
        <v>551</v>
      </c>
      <c r="C145" s="613" t="s">
        <v>560</v>
      </c>
      <c r="D145" s="614" t="s">
        <v>1183</v>
      </c>
      <c r="E145" s="613" t="s">
        <v>1708</v>
      </c>
      <c r="F145" s="614" t="s">
        <v>1709</v>
      </c>
      <c r="G145" s="613" t="s">
        <v>1452</v>
      </c>
      <c r="H145" s="613" t="s">
        <v>1453</v>
      </c>
      <c r="I145" s="615">
        <v>42.35</v>
      </c>
      <c r="J145" s="615">
        <v>50</v>
      </c>
      <c r="K145" s="616">
        <v>2117.5</v>
      </c>
    </row>
    <row r="146" spans="1:11" ht="14.4" customHeight="1" x14ac:dyDescent="0.3">
      <c r="A146" s="611" t="s">
        <v>550</v>
      </c>
      <c r="B146" s="612" t="s">
        <v>551</v>
      </c>
      <c r="C146" s="613" t="s">
        <v>560</v>
      </c>
      <c r="D146" s="614" t="s">
        <v>1183</v>
      </c>
      <c r="E146" s="613" t="s">
        <v>1710</v>
      </c>
      <c r="F146" s="614" t="s">
        <v>1711</v>
      </c>
      <c r="G146" s="613" t="s">
        <v>1363</v>
      </c>
      <c r="H146" s="613" t="s">
        <v>1365</v>
      </c>
      <c r="I146" s="615">
        <v>7.5</v>
      </c>
      <c r="J146" s="615">
        <v>20</v>
      </c>
      <c r="K146" s="616">
        <v>150</v>
      </c>
    </row>
    <row r="147" spans="1:11" ht="14.4" customHeight="1" x14ac:dyDescent="0.3">
      <c r="A147" s="611" t="s">
        <v>550</v>
      </c>
      <c r="B147" s="612" t="s">
        <v>551</v>
      </c>
      <c r="C147" s="613" t="s">
        <v>560</v>
      </c>
      <c r="D147" s="614" t="s">
        <v>1183</v>
      </c>
      <c r="E147" s="613" t="s">
        <v>1710</v>
      </c>
      <c r="F147" s="614" t="s">
        <v>1711</v>
      </c>
      <c r="G147" s="613" t="s">
        <v>1454</v>
      </c>
      <c r="H147" s="613" t="s">
        <v>1455</v>
      </c>
      <c r="I147" s="615">
        <v>7.51</v>
      </c>
      <c r="J147" s="615">
        <v>100</v>
      </c>
      <c r="K147" s="616">
        <v>751</v>
      </c>
    </row>
    <row r="148" spans="1:11" ht="14.4" customHeight="1" x14ac:dyDescent="0.3">
      <c r="A148" s="611" t="s">
        <v>550</v>
      </c>
      <c r="B148" s="612" t="s">
        <v>551</v>
      </c>
      <c r="C148" s="613" t="s">
        <v>560</v>
      </c>
      <c r="D148" s="614" t="s">
        <v>1183</v>
      </c>
      <c r="E148" s="613" t="s">
        <v>1710</v>
      </c>
      <c r="F148" s="614" t="s">
        <v>1711</v>
      </c>
      <c r="G148" s="613" t="s">
        <v>1456</v>
      </c>
      <c r="H148" s="613" t="s">
        <v>1457</v>
      </c>
      <c r="I148" s="615">
        <v>11.01</v>
      </c>
      <c r="J148" s="615">
        <v>40</v>
      </c>
      <c r="K148" s="616">
        <v>440.4</v>
      </c>
    </row>
    <row r="149" spans="1:11" ht="14.4" customHeight="1" x14ac:dyDescent="0.3">
      <c r="A149" s="611" t="s">
        <v>550</v>
      </c>
      <c r="B149" s="612" t="s">
        <v>551</v>
      </c>
      <c r="C149" s="613" t="s">
        <v>560</v>
      </c>
      <c r="D149" s="614" t="s">
        <v>1183</v>
      </c>
      <c r="E149" s="613" t="s">
        <v>1710</v>
      </c>
      <c r="F149" s="614" t="s">
        <v>1711</v>
      </c>
      <c r="G149" s="613" t="s">
        <v>1458</v>
      </c>
      <c r="H149" s="613" t="s">
        <v>1459</v>
      </c>
      <c r="I149" s="615">
        <v>11.01</v>
      </c>
      <c r="J149" s="615">
        <v>40</v>
      </c>
      <c r="K149" s="616">
        <v>440.4</v>
      </c>
    </row>
    <row r="150" spans="1:11" ht="14.4" customHeight="1" x14ac:dyDescent="0.3">
      <c r="A150" s="611" t="s">
        <v>550</v>
      </c>
      <c r="B150" s="612" t="s">
        <v>551</v>
      </c>
      <c r="C150" s="613" t="s">
        <v>560</v>
      </c>
      <c r="D150" s="614" t="s">
        <v>1183</v>
      </c>
      <c r="E150" s="613" t="s">
        <v>1710</v>
      </c>
      <c r="F150" s="614" t="s">
        <v>1711</v>
      </c>
      <c r="G150" s="613" t="s">
        <v>1367</v>
      </c>
      <c r="H150" s="613" t="s">
        <v>1368</v>
      </c>
      <c r="I150" s="615">
        <v>0.77500000000000013</v>
      </c>
      <c r="J150" s="615">
        <v>11500</v>
      </c>
      <c r="K150" s="616">
        <v>8920</v>
      </c>
    </row>
    <row r="151" spans="1:11" ht="14.4" customHeight="1" x14ac:dyDescent="0.3">
      <c r="A151" s="611" t="s">
        <v>550</v>
      </c>
      <c r="B151" s="612" t="s">
        <v>551</v>
      </c>
      <c r="C151" s="613" t="s">
        <v>560</v>
      </c>
      <c r="D151" s="614" t="s">
        <v>1183</v>
      </c>
      <c r="E151" s="613" t="s">
        <v>1710</v>
      </c>
      <c r="F151" s="614" t="s">
        <v>1711</v>
      </c>
      <c r="G151" s="613" t="s">
        <v>1369</v>
      </c>
      <c r="H151" s="613" t="s">
        <v>1370</v>
      </c>
      <c r="I151" s="615">
        <v>0.71</v>
      </c>
      <c r="J151" s="615">
        <v>10000</v>
      </c>
      <c r="K151" s="616">
        <v>7100</v>
      </c>
    </row>
    <row r="152" spans="1:11" ht="14.4" customHeight="1" x14ac:dyDescent="0.3">
      <c r="A152" s="611" t="s">
        <v>550</v>
      </c>
      <c r="B152" s="612" t="s">
        <v>551</v>
      </c>
      <c r="C152" s="613" t="s">
        <v>560</v>
      </c>
      <c r="D152" s="614" t="s">
        <v>1183</v>
      </c>
      <c r="E152" s="613" t="s">
        <v>1710</v>
      </c>
      <c r="F152" s="614" t="s">
        <v>1711</v>
      </c>
      <c r="G152" s="613" t="s">
        <v>1369</v>
      </c>
      <c r="H152" s="613" t="s">
        <v>1371</v>
      </c>
      <c r="I152" s="615">
        <v>0.71</v>
      </c>
      <c r="J152" s="615">
        <v>12600</v>
      </c>
      <c r="K152" s="616">
        <v>8946</v>
      </c>
    </row>
    <row r="153" spans="1:11" ht="14.4" customHeight="1" x14ac:dyDescent="0.3">
      <c r="A153" s="611" t="s">
        <v>550</v>
      </c>
      <c r="B153" s="612" t="s">
        <v>551</v>
      </c>
      <c r="C153" s="613" t="s">
        <v>560</v>
      </c>
      <c r="D153" s="614" t="s">
        <v>1183</v>
      </c>
      <c r="E153" s="613" t="s">
        <v>1710</v>
      </c>
      <c r="F153" s="614" t="s">
        <v>1711</v>
      </c>
      <c r="G153" s="613" t="s">
        <v>1460</v>
      </c>
      <c r="H153" s="613" t="s">
        <v>1461</v>
      </c>
      <c r="I153" s="615">
        <v>0.71</v>
      </c>
      <c r="J153" s="615">
        <v>400</v>
      </c>
      <c r="K153" s="616">
        <v>284</v>
      </c>
    </row>
    <row r="154" spans="1:11" ht="14.4" customHeight="1" x14ac:dyDescent="0.3">
      <c r="A154" s="611" t="s">
        <v>550</v>
      </c>
      <c r="B154" s="612" t="s">
        <v>551</v>
      </c>
      <c r="C154" s="613" t="s">
        <v>560</v>
      </c>
      <c r="D154" s="614" t="s">
        <v>1183</v>
      </c>
      <c r="E154" s="613" t="s">
        <v>1712</v>
      </c>
      <c r="F154" s="614" t="s">
        <v>1713</v>
      </c>
      <c r="G154" s="613" t="s">
        <v>1462</v>
      </c>
      <c r="H154" s="613" t="s">
        <v>1463</v>
      </c>
      <c r="I154" s="615">
        <v>152.46</v>
      </c>
      <c r="J154" s="615">
        <v>1</v>
      </c>
      <c r="K154" s="616">
        <v>152.46</v>
      </c>
    </row>
    <row r="155" spans="1:11" ht="14.4" customHeight="1" x14ac:dyDescent="0.3">
      <c r="A155" s="611" t="s">
        <v>550</v>
      </c>
      <c r="B155" s="612" t="s">
        <v>551</v>
      </c>
      <c r="C155" s="613" t="s">
        <v>563</v>
      </c>
      <c r="D155" s="614" t="s">
        <v>1184</v>
      </c>
      <c r="E155" s="613" t="s">
        <v>1704</v>
      </c>
      <c r="F155" s="614" t="s">
        <v>1705</v>
      </c>
      <c r="G155" s="613" t="s">
        <v>1247</v>
      </c>
      <c r="H155" s="613" t="s">
        <v>1248</v>
      </c>
      <c r="I155" s="615">
        <v>4.3042857142857143</v>
      </c>
      <c r="J155" s="615">
        <v>198</v>
      </c>
      <c r="K155" s="616">
        <v>852.36</v>
      </c>
    </row>
    <row r="156" spans="1:11" ht="14.4" customHeight="1" x14ac:dyDescent="0.3">
      <c r="A156" s="611" t="s">
        <v>550</v>
      </c>
      <c r="B156" s="612" t="s">
        <v>551</v>
      </c>
      <c r="C156" s="613" t="s">
        <v>563</v>
      </c>
      <c r="D156" s="614" t="s">
        <v>1184</v>
      </c>
      <c r="E156" s="613" t="s">
        <v>1704</v>
      </c>
      <c r="F156" s="614" t="s">
        <v>1705</v>
      </c>
      <c r="G156" s="613" t="s">
        <v>1376</v>
      </c>
      <c r="H156" s="613" t="s">
        <v>1377</v>
      </c>
      <c r="I156" s="615">
        <v>0.4</v>
      </c>
      <c r="J156" s="615">
        <v>700</v>
      </c>
      <c r="K156" s="616">
        <v>280</v>
      </c>
    </row>
    <row r="157" spans="1:11" ht="14.4" customHeight="1" x14ac:dyDescent="0.3">
      <c r="A157" s="611" t="s">
        <v>550</v>
      </c>
      <c r="B157" s="612" t="s">
        <v>551</v>
      </c>
      <c r="C157" s="613" t="s">
        <v>563</v>
      </c>
      <c r="D157" s="614" t="s">
        <v>1184</v>
      </c>
      <c r="E157" s="613" t="s">
        <v>1704</v>
      </c>
      <c r="F157" s="614" t="s">
        <v>1705</v>
      </c>
      <c r="G157" s="613" t="s">
        <v>1251</v>
      </c>
      <c r="H157" s="613" t="s">
        <v>1252</v>
      </c>
      <c r="I157" s="615">
        <v>27.37</v>
      </c>
      <c r="J157" s="615">
        <v>1</v>
      </c>
      <c r="K157" s="616">
        <v>27.37</v>
      </c>
    </row>
    <row r="158" spans="1:11" ht="14.4" customHeight="1" x14ac:dyDescent="0.3">
      <c r="A158" s="611" t="s">
        <v>550</v>
      </c>
      <c r="B158" s="612" t="s">
        <v>551</v>
      </c>
      <c r="C158" s="613" t="s">
        <v>563</v>
      </c>
      <c r="D158" s="614" t="s">
        <v>1184</v>
      </c>
      <c r="E158" s="613" t="s">
        <v>1704</v>
      </c>
      <c r="F158" s="614" t="s">
        <v>1705</v>
      </c>
      <c r="G158" s="613" t="s">
        <v>1378</v>
      </c>
      <c r="H158" s="613" t="s">
        <v>1379</v>
      </c>
      <c r="I158" s="615">
        <v>0.3</v>
      </c>
      <c r="J158" s="615">
        <v>18000</v>
      </c>
      <c r="K158" s="616">
        <v>5472.6900000000005</v>
      </c>
    </row>
    <row r="159" spans="1:11" ht="14.4" customHeight="1" x14ac:dyDescent="0.3">
      <c r="A159" s="611" t="s">
        <v>550</v>
      </c>
      <c r="B159" s="612" t="s">
        <v>551</v>
      </c>
      <c r="C159" s="613" t="s">
        <v>563</v>
      </c>
      <c r="D159" s="614" t="s">
        <v>1184</v>
      </c>
      <c r="E159" s="613" t="s">
        <v>1704</v>
      </c>
      <c r="F159" s="614" t="s">
        <v>1705</v>
      </c>
      <c r="G159" s="613" t="s">
        <v>1464</v>
      </c>
      <c r="H159" s="613" t="s">
        <v>1465</v>
      </c>
      <c r="I159" s="615">
        <v>27.1</v>
      </c>
      <c r="J159" s="615">
        <v>24</v>
      </c>
      <c r="K159" s="616">
        <v>650.51</v>
      </c>
    </row>
    <row r="160" spans="1:11" ht="14.4" customHeight="1" x14ac:dyDescent="0.3">
      <c r="A160" s="611" t="s">
        <v>550</v>
      </c>
      <c r="B160" s="612" t="s">
        <v>551</v>
      </c>
      <c r="C160" s="613" t="s">
        <v>563</v>
      </c>
      <c r="D160" s="614" t="s">
        <v>1184</v>
      </c>
      <c r="E160" s="613" t="s">
        <v>1704</v>
      </c>
      <c r="F160" s="614" t="s">
        <v>1705</v>
      </c>
      <c r="G160" s="613" t="s">
        <v>1466</v>
      </c>
      <c r="H160" s="613" t="s">
        <v>1467</v>
      </c>
      <c r="I160" s="615">
        <v>20.840000000000003</v>
      </c>
      <c r="J160" s="615">
        <v>175</v>
      </c>
      <c r="K160" s="616">
        <v>3614.25</v>
      </c>
    </row>
    <row r="161" spans="1:11" ht="14.4" customHeight="1" x14ac:dyDescent="0.3">
      <c r="A161" s="611" t="s">
        <v>550</v>
      </c>
      <c r="B161" s="612" t="s">
        <v>551</v>
      </c>
      <c r="C161" s="613" t="s">
        <v>563</v>
      </c>
      <c r="D161" s="614" t="s">
        <v>1184</v>
      </c>
      <c r="E161" s="613" t="s">
        <v>1704</v>
      </c>
      <c r="F161" s="614" t="s">
        <v>1705</v>
      </c>
      <c r="G161" s="613" t="s">
        <v>1257</v>
      </c>
      <c r="H161" s="613" t="s">
        <v>1258</v>
      </c>
      <c r="I161" s="615">
        <v>2.7825000000000002</v>
      </c>
      <c r="J161" s="615">
        <v>3090</v>
      </c>
      <c r="K161" s="616">
        <v>8614.98</v>
      </c>
    </row>
    <row r="162" spans="1:11" ht="14.4" customHeight="1" x14ac:dyDescent="0.3">
      <c r="A162" s="611" t="s">
        <v>550</v>
      </c>
      <c r="B162" s="612" t="s">
        <v>551</v>
      </c>
      <c r="C162" s="613" t="s">
        <v>563</v>
      </c>
      <c r="D162" s="614" t="s">
        <v>1184</v>
      </c>
      <c r="E162" s="613" t="s">
        <v>1704</v>
      </c>
      <c r="F162" s="614" t="s">
        <v>1705</v>
      </c>
      <c r="G162" s="613" t="s">
        <v>1380</v>
      </c>
      <c r="H162" s="613" t="s">
        <v>1381</v>
      </c>
      <c r="I162" s="615">
        <v>0.59571428571428575</v>
      </c>
      <c r="J162" s="615">
        <v>1680</v>
      </c>
      <c r="K162" s="616">
        <v>998</v>
      </c>
    </row>
    <row r="163" spans="1:11" ht="14.4" customHeight="1" x14ac:dyDescent="0.3">
      <c r="A163" s="611" t="s">
        <v>550</v>
      </c>
      <c r="B163" s="612" t="s">
        <v>551</v>
      </c>
      <c r="C163" s="613" t="s">
        <v>563</v>
      </c>
      <c r="D163" s="614" t="s">
        <v>1184</v>
      </c>
      <c r="E163" s="613" t="s">
        <v>1704</v>
      </c>
      <c r="F163" s="614" t="s">
        <v>1705</v>
      </c>
      <c r="G163" s="613" t="s">
        <v>1468</v>
      </c>
      <c r="H163" s="613" t="s">
        <v>1469</v>
      </c>
      <c r="I163" s="615">
        <v>52.840000000000011</v>
      </c>
      <c r="J163" s="615">
        <v>80</v>
      </c>
      <c r="K163" s="616">
        <v>4227.2</v>
      </c>
    </row>
    <row r="164" spans="1:11" ht="14.4" customHeight="1" x14ac:dyDescent="0.3">
      <c r="A164" s="611" t="s">
        <v>550</v>
      </c>
      <c r="B164" s="612" t="s">
        <v>551</v>
      </c>
      <c r="C164" s="613" t="s">
        <v>563</v>
      </c>
      <c r="D164" s="614" t="s">
        <v>1184</v>
      </c>
      <c r="E164" s="613" t="s">
        <v>1704</v>
      </c>
      <c r="F164" s="614" t="s">
        <v>1705</v>
      </c>
      <c r="G164" s="613" t="s">
        <v>1382</v>
      </c>
      <c r="H164" s="613" t="s">
        <v>1383</v>
      </c>
      <c r="I164" s="615">
        <v>1.274</v>
      </c>
      <c r="J164" s="615">
        <v>6600</v>
      </c>
      <c r="K164" s="616">
        <v>8476</v>
      </c>
    </row>
    <row r="165" spans="1:11" ht="14.4" customHeight="1" x14ac:dyDescent="0.3">
      <c r="A165" s="611" t="s">
        <v>550</v>
      </c>
      <c r="B165" s="612" t="s">
        <v>551</v>
      </c>
      <c r="C165" s="613" t="s">
        <v>563</v>
      </c>
      <c r="D165" s="614" t="s">
        <v>1184</v>
      </c>
      <c r="E165" s="613" t="s">
        <v>1704</v>
      </c>
      <c r="F165" s="614" t="s">
        <v>1705</v>
      </c>
      <c r="G165" s="613" t="s">
        <v>1470</v>
      </c>
      <c r="H165" s="613" t="s">
        <v>1471</v>
      </c>
      <c r="I165" s="615">
        <v>120.69000000000003</v>
      </c>
      <c r="J165" s="615">
        <v>110</v>
      </c>
      <c r="K165" s="616">
        <v>13276.2</v>
      </c>
    </row>
    <row r="166" spans="1:11" ht="14.4" customHeight="1" x14ac:dyDescent="0.3">
      <c r="A166" s="611" t="s">
        <v>550</v>
      </c>
      <c r="B166" s="612" t="s">
        <v>551</v>
      </c>
      <c r="C166" s="613" t="s">
        <v>563</v>
      </c>
      <c r="D166" s="614" t="s">
        <v>1184</v>
      </c>
      <c r="E166" s="613" t="s">
        <v>1704</v>
      </c>
      <c r="F166" s="614" t="s">
        <v>1705</v>
      </c>
      <c r="G166" s="613" t="s">
        <v>1472</v>
      </c>
      <c r="H166" s="613" t="s">
        <v>1473</v>
      </c>
      <c r="I166" s="615">
        <v>85.421666666666667</v>
      </c>
      <c r="J166" s="615">
        <v>90</v>
      </c>
      <c r="K166" s="616">
        <v>7687.9800000000005</v>
      </c>
    </row>
    <row r="167" spans="1:11" ht="14.4" customHeight="1" x14ac:dyDescent="0.3">
      <c r="A167" s="611" t="s">
        <v>550</v>
      </c>
      <c r="B167" s="612" t="s">
        <v>551</v>
      </c>
      <c r="C167" s="613" t="s">
        <v>563</v>
      </c>
      <c r="D167" s="614" t="s">
        <v>1184</v>
      </c>
      <c r="E167" s="613" t="s">
        <v>1704</v>
      </c>
      <c r="F167" s="614" t="s">
        <v>1705</v>
      </c>
      <c r="G167" s="613" t="s">
        <v>1384</v>
      </c>
      <c r="H167" s="613" t="s">
        <v>1385</v>
      </c>
      <c r="I167" s="615">
        <v>13.16</v>
      </c>
      <c r="J167" s="615">
        <v>144</v>
      </c>
      <c r="K167" s="616">
        <v>1894.8899999999999</v>
      </c>
    </row>
    <row r="168" spans="1:11" ht="14.4" customHeight="1" x14ac:dyDescent="0.3">
      <c r="A168" s="611" t="s">
        <v>550</v>
      </c>
      <c r="B168" s="612" t="s">
        <v>551</v>
      </c>
      <c r="C168" s="613" t="s">
        <v>563</v>
      </c>
      <c r="D168" s="614" t="s">
        <v>1184</v>
      </c>
      <c r="E168" s="613" t="s">
        <v>1704</v>
      </c>
      <c r="F168" s="614" t="s">
        <v>1705</v>
      </c>
      <c r="G168" s="613" t="s">
        <v>1474</v>
      </c>
      <c r="H168" s="613" t="s">
        <v>1475</v>
      </c>
      <c r="I168" s="615">
        <v>124.41</v>
      </c>
      <c r="J168" s="615">
        <v>30</v>
      </c>
      <c r="K168" s="616">
        <v>3732.2299999999996</v>
      </c>
    </row>
    <row r="169" spans="1:11" ht="14.4" customHeight="1" x14ac:dyDescent="0.3">
      <c r="A169" s="611" t="s">
        <v>550</v>
      </c>
      <c r="B169" s="612" t="s">
        <v>551</v>
      </c>
      <c r="C169" s="613" t="s">
        <v>563</v>
      </c>
      <c r="D169" s="614" t="s">
        <v>1184</v>
      </c>
      <c r="E169" s="613" t="s">
        <v>1704</v>
      </c>
      <c r="F169" s="614" t="s">
        <v>1705</v>
      </c>
      <c r="G169" s="613" t="s">
        <v>1386</v>
      </c>
      <c r="H169" s="613" t="s">
        <v>1476</v>
      </c>
      <c r="I169" s="615">
        <v>0.85499999999999998</v>
      </c>
      <c r="J169" s="615">
        <v>60</v>
      </c>
      <c r="K169" s="616">
        <v>51.3</v>
      </c>
    </row>
    <row r="170" spans="1:11" ht="14.4" customHeight="1" x14ac:dyDescent="0.3">
      <c r="A170" s="611" t="s">
        <v>550</v>
      </c>
      <c r="B170" s="612" t="s">
        <v>551</v>
      </c>
      <c r="C170" s="613" t="s">
        <v>563</v>
      </c>
      <c r="D170" s="614" t="s">
        <v>1184</v>
      </c>
      <c r="E170" s="613" t="s">
        <v>1704</v>
      </c>
      <c r="F170" s="614" t="s">
        <v>1705</v>
      </c>
      <c r="G170" s="613" t="s">
        <v>1386</v>
      </c>
      <c r="H170" s="613" t="s">
        <v>1387</v>
      </c>
      <c r="I170" s="615">
        <v>0.85666666666666658</v>
      </c>
      <c r="J170" s="615">
        <v>110</v>
      </c>
      <c r="K170" s="616">
        <v>94.5</v>
      </c>
    </row>
    <row r="171" spans="1:11" ht="14.4" customHeight="1" x14ac:dyDescent="0.3">
      <c r="A171" s="611" t="s">
        <v>550</v>
      </c>
      <c r="B171" s="612" t="s">
        <v>551</v>
      </c>
      <c r="C171" s="613" t="s">
        <v>563</v>
      </c>
      <c r="D171" s="614" t="s">
        <v>1184</v>
      </c>
      <c r="E171" s="613" t="s">
        <v>1704</v>
      </c>
      <c r="F171" s="614" t="s">
        <v>1705</v>
      </c>
      <c r="G171" s="613" t="s">
        <v>1477</v>
      </c>
      <c r="H171" s="613" t="s">
        <v>1478</v>
      </c>
      <c r="I171" s="615">
        <v>1.52</v>
      </c>
      <c r="J171" s="615">
        <v>40</v>
      </c>
      <c r="K171" s="616">
        <v>60.8</v>
      </c>
    </row>
    <row r="172" spans="1:11" ht="14.4" customHeight="1" x14ac:dyDescent="0.3">
      <c r="A172" s="611" t="s">
        <v>550</v>
      </c>
      <c r="B172" s="612" t="s">
        <v>551</v>
      </c>
      <c r="C172" s="613" t="s">
        <v>563</v>
      </c>
      <c r="D172" s="614" t="s">
        <v>1184</v>
      </c>
      <c r="E172" s="613" t="s">
        <v>1704</v>
      </c>
      <c r="F172" s="614" t="s">
        <v>1705</v>
      </c>
      <c r="G172" s="613" t="s">
        <v>1265</v>
      </c>
      <c r="H172" s="613" t="s">
        <v>1266</v>
      </c>
      <c r="I172" s="615">
        <v>0.3</v>
      </c>
      <c r="J172" s="615">
        <v>45600</v>
      </c>
      <c r="K172" s="616">
        <v>13543.679999999998</v>
      </c>
    </row>
    <row r="173" spans="1:11" ht="14.4" customHeight="1" x14ac:dyDescent="0.3">
      <c r="A173" s="611" t="s">
        <v>550</v>
      </c>
      <c r="B173" s="612" t="s">
        <v>551</v>
      </c>
      <c r="C173" s="613" t="s">
        <v>563</v>
      </c>
      <c r="D173" s="614" t="s">
        <v>1184</v>
      </c>
      <c r="E173" s="613" t="s">
        <v>1704</v>
      </c>
      <c r="F173" s="614" t="s">
        <v>1705</v>
      </c>
      <c r="G173" s="613" t="s">
        <v>1267</v>
      </c>
      <c r="H173" s="613" t="s">
        <v>1268</v>
      </c>
      <c r="I173" s="615">
        <v>17.6325</v>
      </c>
      <c r="J173" s="615">
        <v>48</v>
      </c>
      <c r="K173" s="616">
        <v>846.43999999999994</v>
      </c>
    </row>
    <row r="174" spans="1:11" ht="14.4" customHeight="1" x14ac:dyDescent="0.3">
      <c r="A174" s="611" t="s">
        <v>550</v>
      </c>
      <c r="B174" s="612" t="s">
        <v>551</v>
      </c>
      <c r="C174" s="613" t="s">
        <v>563</v>
      </c>
      <c r="D174" s="614" t="s">
        <v>1184</v>
      </c>
      <c r="E174" s="613" t="s">
        <v>1704</v>
      </c>
      <c r="F174" s="614" t="s">
        <v>1705</v>
      </c>
      <c r="G174" s="613" t="s">
        <v>1479</v>
      </c>
      <c r="H174" s="613" t="s">
        <v>1480</v>
      </c>
      <c r="I174" s="615">
        <v>0.36</v>
      </c>
      <c r="J174" s="615">
        <v>1000</v>
      </c>
      <c r="K174" s="616">
        <v>362.25</v>
      </c>
    </row>
    <row r="175" spans="1:11" ht="14.4" customHeight="1" x14ac:dyDescent="0.3">
      <c r="A175" s="611" t="s">
        <v>550</v>
      </c>
      <c r="B175" s="612" t="s">
        <v>551</v>
      </c>
      <c r="C175" s="613" t="s">
        <v>563</v>
      </c>
      <c r="D175" s="614" t="s">
        <v>1184</v>
      </c>
      <c r="E175" s="613" t="s">
        <v>1704</v>
      </c>
      <c r="F175" s="614" t="s">
        <v>1705</v>
      </c>
      <c r="G175" s="613" t="s">
        <v>1481</v>
      </c>
      <c r="H175" s="613" t="s">
        <v>1482</v>
      </c>
      <c r="I175" s="615">
        <v>67.52</v>
      </c>
      <c r="J175" s="615">
        <v>200</v>
      </c>
      <c r="K175" s="616">
        <v>13503.630000000001</v>
      </c>
    </row>
    <row r="176" spans="1:11" ht="14.4" customHeight="1" x14ac:dyDescent="0.3">
      <c r="A176" s="611" t="s">
        <v>550</v>
      </c>
      <c r="B176" s="612" t="s">
        <v>551</v>
      </c>
      <c r="C176" s="613" t="s">
        <v>563</v>
      </c>
      <c r="D176" s="614" t="s">
        <v>1184</v>
      </c>
      <c r="E176" s="613" t="s">
        <v>1704</v>
      </c>
      <c r="F176" s="614" t="s">
        <v>1705</v>
      </c>
      <c r="G176" s="613" t="s">
        <v>1483</v>
      </c>
      <c r="H176" s="613" t="s">
        <v>1484</v>
      </c>
      <c r="I176" s="615">
        <v>61.75</v>
      </c>
      <c r="J176" s="615">
        <v>10</v>
      </c>
      <c r="K176" s="616">
        <v>617.54999999999995</v>
      </c>
    </row>
    <row r="177" spans="1:11" ht="14.4" customHeight="1" x14ac:dyDescent="0.3">
      <c r="A177" s="611" t="s">
        <v>550</v>
      </c>
      <c r="B177" s="612" t="s">
        <v>551</v>
      </c>
      <c r="C177" s="613" t="s">
        <v>563</v>
      </c>
      <c r="D177" s="614" t="s">
        <v>1184</v>
      </c>
      <c r="E177" s="613" t="s">
        <v>1704</v>
      </c>
      <c r="F177" s="614" t="s">
        <v>1705</v>
      </c>
      <c r="G177" s="613" t="s">
        <v>1485</v>
      </c>
      <c r="H177" s="613" t="s">
        <v>1486</v>
      </c>
      <c r="I177" s="615">
        <v>55.06</v>
      </c>
      <c r="J177" s="615">
        <v>48</v>
      </c>
      <c r="K177" s="616">
        <v>2642.71</v>
      </c>
    </row>
    <row r="178" spans="1:11" ht="14.4" customHeight="1" x14ac:dyDescent="0.3">
      <c r="A178" s="611" t="s">
        <v>550</v>
      </c>
      <c r="B178" s="612" t="s">
        <v>551</v>
      </c>
      <c r="C178" s="613" t="s">
        <v>563</v>
      </c>
      <c r="D178" s="614" t="s">
        <v>1184</v>
      </c>
      <c r="E178" s="613" t="s">
        <v>1704</v>
      </c>
      <c r="F178" s="614" t="s">
        <v>1705</v>
      </c>
      <c r="G178" s="613" t="s">
        <v>1487</v>
      </c>
      <c r="H178" s="613" t="s">
        <v>1488</v>
      </c>
      <c r="I178" s="615">
        <v>85.15</v>
      </c>
      <c r="J178" s="615">
        <v>1</v>
      </c>
      <c r="K178" s="616">
        <v>85.15</v>
      </c>
    </row>
    <row r="179" spans="1:11" ht="14.4" customHeight="1" x14ac:dyDescent="0.3">
      <c r="A179" s="611" t="s">
        <v>550</v>
      </c>
      <c r="B179" s="612" t="s">
        <v>551</v>
      </c>
      <c r="C179" s="613" t="s">
        <v>563</v>
      </c>
      <c r="D179" s="614" t="s">
        <v>1184</v>
      </c>
      <c r="E179" s="613" t="s">
        <v>1704</v>
      </c>
      <c r="F179" s="614" t="s">
        <v>1705</v>
      </c>
      <c r="G179" s="613" t="s">
        <v>1489</v>
      </c>
      <c r="H179" s="613" t="s">
        <v>1490</v>
      </c>
      <c r="I179" s="615">
        <v>114.785</v>
      </c>
      <c r="J179" s="615">
        <v>2</v>
      </c>
      <c r="K179" s="616">
        <v>229.57</v>
      </c>
    </row>
    <row r="180" spans="1:11" ht="14.4" customHeight="1" x14ac:dyDescent="0.3">
      <c r="A180" s="611" t="s">
        <v>550</v>
      </c>
      <c r="B180" s="612" t="s">
        <v>551</v>
      </c>
      <c r="C180" s="613" t="s">
        <v>563</v>
      </c>
      <c r="D180" s="614" t="s">
        <v>1184</v>
      </c>
      <c r="E180" s="613" t="s">
        <v>1704</v>
      </c>
      <c r="F180" s="614" t="s">
        <v>1705</v>
      </c>
      <c r="G180" s="613" t="s">
        <v>1491</v>
      </c>
      <c r="H180" s="613" t="s">
        <v>1492</v>
      </c>
      <c r="I180" s="615">
        <v>23.23</v>
      </c>
      <c r="J180" s="615">
        <v>100</v>
      </c>
      <c r="K180" s="616">
        <v>2323</v>
      </c>
    </row>
    <row r="181" spans="1:11" ht="14.4" customHeight="1" x14ac:dyDescent="0.3">
      <c r="A181" s="611" t="s">
        <v>550</v>
      </c>
      <c r="B181" s="612" t="s">
        <v>551</v>
      </c>
      <c r="C181" s="613" t="s">
        <v>563</v>
      </c>
      <c r="D181" s="614" t="s">
        <v>1184</v>
      </c>
      <c r="E181" s="613" t="s">
        <v>1704</v>
      </c>
      <c r="F181" s="614" t="s">
        <v>1705</v>
      </c>
      <c r="G181" s="613" t="s">
        <v>1493</v>
      </c>
      <c r="H181" s="613" t="s">
        <v>1494</v>
      </c>
      <c r="I181" s="615">
        <v>1.01</v>
      </c>
      <c r="J181" s="615">
        <v>650</v>
      </c>
      <c r="K181" s="616">
        <v>653.30999999999995</v>
      </c>
    </row>
    <row r="182" spans="1:11" ht="14.4" customHeight="1" x14ac:dyDescent="0.3">
      <c r="A182" s="611" t="s">
        <v>550</v>
      </c>
      <c r="B182" s="612" t="s">
        <v>551</v>
      </c>
      <c r="C182" s="613" t="s">
        <v>563</v>
      </c>
      <c r="D182" s="614" t="s">
        <v>1184</v>
      </c>
      <c r="E182" s="613" t="s">
        <v>1706</v>
      </c>
      <c r="F182" s="614" t="s">
        <v>1707</v>
      </c>
      <c r="G182" s="613" t="s">
        <v>1388</v>
      </c>
      <c r="H182" s="613" t="s">
        <v>1389</v>
      </c>
      <c r="I182" s="615">
        <v>11.63</v>
      </c>
      <c r="J182" s="615">
        <v>40</v>
      </c>
      <c r="K182" s="616">
        <v>465.2</v>
      </c>
    </row>
    <row r="183" spans="1:11" ht="14.4" customHeight="1" x14ac:dyDescent="0.3">
      <c r="A183" s="611" t="s">
        <v>550</v>
      </c>
      <c r="B183" s="612" t="s">
        <v>551</v>
      </c>
      <c r="C183" s="613" t="s">
        <v>563</v>
      </c>
      <c r="D183" s="614" t="s">
        <v>1184</v>
      </c>
      <c r="E183" s="613" t="s">
        <v>1706</v>
      </c>
      <c r="F183" s="614" t="s">
        <v>1707</v>
      </c>
      <c r="G183" s="613" t="s">
        <v>1390</v>
      </c>
      <c r="H183" s="613" t="s">
        <v>1391</v>
      </c>
      <c r="I183" s="615">
        <v>16.392727272727271</v>
      </c>
      <c r="J183" s="615">
        <v>6280</v>
      </c>
      <c r="K183" s="616">
        <v>102955.4</v>
      </c>
    </row>
    <row r="184" spans="1:11" ht="14.4" customHeight="1" x14ac:dyDescent="0.3">
      <c r="A184" s="611" t="s">
        <v>550</v>
      </c>
      <c r="B184" s="612" t="s">
        <v>551</v>
      </c>
      <c r="C184" s="613" t="s">
        <v>563</v>
      </c>
      <c r="D184" s="614" t="s">
        <v>1184</v>
      </c>
      <c r="E184" s="613" t="s">
        <v>1706</v>
      </c>
      <c r="F184" s="614" t="s">
        <v>1707</v>
      </c>
      <c r="G184" s="613" t="s">
        <v>1495</v>
      </c>
      <c r="H184" s="613" t="s">
        <v>1496</v>
      </c>
      <c r="I184" s="615">
        <v>260.12600000000003</v>
      </c>
      <c r="J184" s="615">
        <v>34</v>
      </c>
      <c r="K184" s="616">
        <v>8843.9000000000015</v>
      </c>
    </row>
    <row r="185" spans="1:11" ht="14.4" customHeight="1" x14ac:dyDescent="0.3">
      <c r="A185" s="611" t="s">
        <v>550</v>
      </c>
      <c r="B185" s="612" t="s">
        <v>551</v>
      </c>
      <c r="C185" s="613" t="s">
        <v>563</v>
      </c>
      <c r="D185" s="614" t="s">
        <v>1184</v>
      </c>
      <c r="E185" s="613" t="s">
        <v>1706</v>
      </c>
      <c r="F185" s="614" t="s">
        <v>1707</v>
      </c>
      <c r="G185" s="613" t="s">
        <v>1497</v>
      </c>
      <c r="H185" s="613" t="s">
        <v>1498</v>
      </c>
      <c r="I185" s="615">
        <v>58.36999999999999</v>
      </c>
      <c r="J185" s="615">
        <v>400</v>
      </c>
      <c r="K185" s="616">
        <v>23348</v>
      </c>
    </row>
    <row r="186" spans="1:11" ht="14.4" customHeight="1" x14ac:dyDescent="0.3">
      <c r="A186" s="611" t="s">
        <v>550</v>
      </c>
      <c r="B186" s="612" t="s">
        <v>551</v>
      </c>
      <c r="C186" s="613" t="s">
        <v>563</v>
      </c>
      <c r="D186" s="614" t="s">
        <v>1184</v>
      </c>
      <c r="E186" s="613" t="s">
        <v>1706</v>
      </c>
      <c r="F186" s="614" t="s">
        <v>1707</v>
      </c>
      <c r="G186" s="613" t="s">
        <v>1499</v>
      </c>
      <c r="H186" s="613" t="s">
        <v>1500</v>
      </c>
      <c r="I186" s="615">
        <v>5.21</v>
      </c>
      <c r="J186" s="615">
        <v>160</v>
      </c>
      <c r="K186" s="616">
        <v>833.6</v>
      </c>
    </row>
    <row r="187" spans="1:11" ht="14.4" customHeight="1" x14ac:dyDescent="0.3">
      <c r="A187" s="611" t="s">
        <v>550</v>
      </c>
      <c r="B187" s="612" t="s">
        <v>551</v>
      </c>
      <c r="C187" s="613" t="s">
        <v>563</v>
      </c>
      <c r="D187" s="614" t="s">
        <v>1184</v>
      </c>
      <c r="E187" s="613" t="s">
        <v>1706</v>
      </c>
      <c r="F187" s="614" t="s">
        <v>1707</v>
      </c>
      <c r="G187" s="613" t="s">
        <v>1273</v>
      </c>
      <c r="H187" s="613" t="s">
        <v>1274</v>
      </c>
      <c r="I187" s="615">
        <v>15.923333333333332</v>
      </c>
      <c r="J187" s="615">
        <v>800</v>
      </c>
      <c r="K187" s="616">
        <v>12739</v>
      </c>
    </row>
    <row r="188" spans="1:11" ht="14.4" customHeight="1" x14ac:dyDescent="0.3">
      <c r="A188" s="611" t="s">
        <v>550</v>
      </c>
      <c r="B188" s="612" t="s">
        <v>551</v>
      </c>
      <c r="C188" s="613" t="s">
        <v>563</v>
      </c>
      <c r="D188" s="614" t="s">
        <v>1184</v>
      </c>
      <c r="E188" s="613" t="s">
        <v>1706</v>
      </c>
      <c r="F188" s="614" t="s">
        <v>1707</v>
      </c>
      <c r="G188" s="613" t="s">
        <v>1501</v>
      </c>
      <c r="H188" s="613" t="s">
        <v>1502</v>
      </c>
      <c r="I188" s="615">
        <v>11.14</v>
      </c>
      <c r="J188" s="615">
        <v>150</v>
      </c>
      <c r="K188" s="616">
        <v>1671</v>
      </c>
    </row>
    <row r="189" spans="1:11" ht="14.4" customHeight="1" x14ac:dyDescent="0.3">
      <c r="A189" s="611" t="s">
        <v>550</v>
      </c>
      <c r="B189" s="612" t="s">
        <v>551</v>
      </c>
      <c r="C189" s="613" t="s">
        <v>563</v>
      </c>
      <c r="D189" s="614" t="s">
        <v>1184</v>
      </c>
      <c r="E189" s="613" t="s">
        <v>1706</v>
      </c>
      <c r="F189" s="614" t="s">
        <v>1707</v>
      </c>
      <c r="G189" s="613" t="s">
        <v>1275</v>
      </c>
      <c r="H189" s="613" t="s">
        <v>1276</v>
      </c>
      <c r="I189" s="615">
        <v>2.4083333333333337</v>
      </c>
      <c r="J189" s="615">
        <v>900</v>
      </c>
      <c r="K189" s="616">
        <v>2168</v>
      </c>
    </row>
    <row r="190" spans="1:11" ht="14.4" customHeight="1" x14ac:dyDescent="0.3">
      <c r="A190" s="611" t="s">
        <v>550</v>
      </c>
      <c r="B190" s="612" t="s">
        <v>551</v>
      </c>
      <c r="C190" s="613" t="s">
        <v>563</v>
      </c>
      <c r="D190" s="614" t="s">
        <v>1184</v>
      </c>
      <c r="E190" s="613" t="s">
        <v>1706</v>
      </c>
      <c r="F190" s="614" t="s">
        <v>1707</v>
      </c>
      <c r="G190" s="613" t="s">
        <v>1277</v>
      </c>
      <c r="H190" s="613" t="s">
        <v>1278</v>
      </c>
      <c r="I190" s="615">
        <v>29.944285714285716</v>
      </c>
      <c r="J190" s="615">
        <v>1300</v>
      </c>
      <c r="K190" s="616">
        <v>38709</v>
      </c>
    </row>
    <row r="191" spans="1:11" ht="14.4" customHeight="1" x14ac:dyDescent="0.3">
      <c r="A191" s="611" t="s">
        <v>550</v>
      </c>
      <c r="B191" s="612" t="s">
        <v>551</v>
      </c>
      <c r="C191" s="613" t="s">
        <v>563</v>
      </c>
      <c r="D191" s="614" t="s">
        <v>1184</v>
      </c>
      <c r="E191" s="613" t="s">
        <v>1706</v>
      </c>
      <c r="F191" s="614" t="s">
        <v>1707</v>
      </c>
      <c r="G191" s="613" t="s">
        <v>1279</v>
      </c>
      <c r="H191" s="613" t="s">
        <v>1280</v>
      </c>
      <c r="I191" s="615">
        <v>2.7511111111111108</v>
      </c>
      <c r="J191" s="615">
        <v>5400</v>
      </c>
      <c r="K191" s="616">
        <v>14857</v>
      </c>
    </row>
    <row r="192" spans="1:11" ht="14.4" customHeight="1" x14ac:dyDescent="0.3">
      <c r="A192" s="611" t="s">
        <v>550</v>
      </c>
      <c r="B192" s="612" t="s">
        <v>551</v>
      </c>
      <c r="C192" s="613" t="s">
        <v>563</v>
      </c>
      <c r="D192" s="614" t="s">
        <v>1184</v>
      </c>
      <c r="E192" s="613" t="s">
        <v>1706</v>
      </c>
      <c r="F192" s="614" t="s">
        <v>1707</v>
      </c>
      <c r="G192" s="613" t="s">
        <v>1503</v>
      </c>
      <c r="H192" s="613" t="s">
        <v>1504</v>
      </c>
      <c r="I192" s="615">
        <v>7.42875</v>
      </c>
      <c r="J192" s="615">
        <v>1550</v>
      </c>
      <c r="K192" s="616">
        <v>11515.5</v>
      </c>
    </row>
    <row r="193" spans="1:11" ht="14.4" customHeight="1" x14ac:dyDescent="0.3">
      <c r="A193" s="611" t="s">
        <v>550</v>
      </c>
      <c r="B193" s="612" t="s">
        <v>551</v>
      </c>
      <c r="C193" s="613" t="s">
        <v>563</v>
      </c>
      <c r="D193" s="614" t="s">
        <v>1184</v>
      </c>
      <c r="E193" s="613" t="s">
        <v>1706</v>
      </c>
      <c r="F193" s="614" t="s">
        <v>1707</v>
      </c>
      <c r="G193" s="613" t="s">
        <v>1283</v>
      </c>
      <c r="H193" s="613" t="s">
        <v>1284</v>
      </c>
      <c r="I193" s="615">
        <v>0.98555555555555552</v>
      </c>
      <c r="J193" s="615">
        <v>3000</v>
      </c>
      <c r="K193" s="616">
        <v>3019</v>
      </c>
    </row>
    <row r="194" spans="1:11" ht="14.4" customHeight="1" x14ac:dyDescent="0.3">
      <c r="A194" s="611" t="s">
        <v>550</v>
      </c>
      <c r="B194" s="612" t="s">
        <v>551</v>
      </c>
      <c r="C194" s="613" t="s">
        <v>563</v>
      </c>
      <c r="D194" s="614" t="s">
        <v>1184</v>
      </c>
      <c r="E194" s="613" t="s">
        <v>1706</v>
      </c>
      <c r="F194" s="614" t="s">
        <v>1707</v>
      </c>
      <c r="G194" s="613" t="s">
        <v>1285</v>
      </c>
      <c r="H194" s="613" t="s">
        <v>1286</v>
      </c>
      <c r="I194" s="615">
        <v>1.5092307692307689</v>
      </c>
      <c r="J194" s="615">
        <v>15800</v>
      </c>
      <c r="K194" s="616">
        <v>24268</v>
      </c>
    </row>
    <row r="195" spans="1:11" ht="14.4" customHeight="1" x14ac:dyDescent="0.3">
      <c r="A195" s="611" t="s">
        <v>550</v>
      </c>
      <c r="B195" s="612" t="s">
        <v>551</v>
      </c>
      <c r="C195" s="613" t="s">
        <v>563</v>
      </c>
      <c r="D195" s="614" t="s">
        <v>1184</v>
      </c>
      <c r="E195" s="613" t="s">
        <v>1706</v>
      </c>
      <c r="F195" s="614" t="s">
        <v>1707</v>
      </c>
      <c r="G195" s="613" t="s">
        <v>1287</v>
      </c>
      <c r="H195" s="613" t="s">
        <v>1288</v>
      </c>
      <c r="I195" s="615">
        <v>0.4375</v>
      </c>
      <c r="J195" s="615">
        <v>10400</v>
      </c>
      <c r="K195" s="616">
        <v>4568</v>
      </c>
    </row>
    <row r="196" spans="1:11" ht="14.4" customHeight="1" x14ac:dyDescent="0.3">
      <c r="A196" s="611" t="s">
        <v>550</v>
      </c>
      <c r="B196" s="612" t="s">
        <v>551</v>
      </c>
      <c r="C196" s="613" t="s">
        <v>563</v>
      </c>
      <c r="D196" s="614" t="s">
        <v>1184</v>
      </c>
      <c r="E196" s="613" t="s">
        <v>1706</v>
      </c>
      <c r="F196" s="614" t="s">
        <v>1707</v>
      </c>
      <c r="G196" s="613" t="s">
        <v>1289</v>
      </c>
      <c r="H196" s="613" t="s">
        <v>1290</v>
      </c>
      <c r="I196" s="615">
        <v>0.62</v>
      </c>
      <c r="J196" s="615">
        <v>5500</v>
      </c>
      <c r="K196" s="616">
        <v>3377</v>
      </c>
    </row>
    <row r="197" spans="1:11" ht="14.4" customHeight="1" x14ac:dyDescent="0.3">
      <c r="A197" s="611" t="s">
        <v>550</v>
      </c>
      <c r="B197" s="612" t="s">
        <v>551</v>
      </c>
      <c r="C197" s="613" t="s">
        <v>563</v>
      </c>
      <c r="D197" s="614" t="s">
        <v>1184</v>
      </c>
      <c r="E197" s="613" t="s">
        <v>1706</v>
      </c>
      <c r="F197" s="614" t="s">
        <v>1707</v>
      </c>
      <c r="G197" s="613" t="s">
        <v>1505</v>
      </c>
      <c r="H197" s="613" t="s">
        <v>1506</v>
      </c>
      <c r="I197" s="615">
        <v>7064.28</v>
      </c>
      <c r="J197" s="615">
        <v>3</v>
      </c>
      <c r="K197" s="616">
        <v>21192.84</v>
      </c>
    </row>
    <row r="198" spans="1:11" ht="14.4" customHeight="1" x14ac:dyDescent="0.3">
      <c r="A198" s="611" t="s">
        <v>550</v>
      </c>
      <c r="B198" s="612" t="s">
        <v>551</v>
      </c>
      <c r="C198" s="613" t="s">
        <v>563</v>
      </c>
      <c r="D198" s="614" t="s">
        <v>1184</v>
      </c>
      <c r="E198" s="613" t="s">
        <v>1706</v>
      </c>
      <c r="F198" s="614" t="s">
        <v>1707</v>
      </c>
      <c r="G198" s="613" t="s">
        <v>1291</v>
      </c>
      <c r="H198" s="613" t="s">
        <v>1292</v>
      </c>
      <c r="I198" s="615">
        <v>3.2166666666666668</v>
      </c>
      <c r="J198" s="615">
        <v>1050</v>
      </c>
      <c r="K198" s="616">
        <v>3378.25</v>
      </c>
    </row>
    <row r="199" spans="1:11" ht="14.4" customHeight="1" x14ac:dyDescent="0.3">
      <c r="A199" s="611" t="s">
        <v>550</v>
      </c>
      <c r="B199" s="612" t="s">
        <v>551</v>
      </c>
      <c r="C199" s="613" t="s">
        <v>563</v>
      </c>
      <c r="D199" s="614" t="s">
        <v>1184</v>
      </c>
      <c r="E199" s="613" t="s">
        <v>1706</v>
      </c>
      <c r="F199" s="614" t="s">
        <v>1707</v>
      </c>
      <c r="G199" s="613" t="s">
        <v>1507</v>
      </c>
      <c r="H199" s="613" t="s">
        <v>1508</v>
      </c>
      <c r="I199" s="615">
        <v>81.89</v>
      </c>
      <c r="J199" s="615">
        <v>90</v>
      </c>
      <c r="K199" s="616">
        <v>7369.9</v>
      </c>
    </row>
    <row r="200" spans="1:11" ht="14.4" customHeight="1" x14ac:dyDescent="0.3">
      <c r="A200" s="611" t="s">
        <v>550</v>
      </c>
      <c r="B200" s="612" t="s">
        <v>551</v>
      </c>
      <c r="C200" s="613" t="s">
        <v>563</v>
      </c>
      <c r="D200" s="614" t="s">
        <v>1184</v>
      </c>
      <c r="E200" s="613" t="s">
        <v>1706</v>
      </c>
      <c r="F200" s="614" t="s">
        <v>1707</v>
      </c>
      <c r="G200" s="613" t="s">
        <v>1509</v>
      </c>
      <c r="H200" s="613" t="s">
        <v>1510</v>
      </c>
      <c r="I200" s="615">
        <v>80.58</v>
      </c>
      <c r="J200" s="615">
        <v>20</v>
      </c>
      <c r="K200" s="616">
        <v>1611.6</v>
      </c>
    </row>
    <row r="201" spans="1:11" ht="14.4" customHeight="1" x14ac:dyDescent="0.3">
      <c r="A201" s="611" t="s">
        <v>550</v>
      </c>
      <c r="B201" s="612" t="s">
        <v>551</v>
      </c>
      <c r="C201" s="613" t="s">
        <v>563</v>
      </c>
      <c r="D201" s="614" t="s">
        <v>1184</v>
      </c>
      <c r="E201" s="613" t="s">
        <v>1706</v>
      </c>
      <c r="F201" s="614" t="s">
        <v>1707</v>
      </c>
      <c r="G201" s="613" t="s">
        <v>1511</v>
      </c>
      <c r="H201" s="613" t="s">
        <v>1512</v>
      </c>
      <c r="I201" s="615">
        <v>29.572500000000002</v>
      </c>
      <c r="J201" s="615">
        <v>550</v>
      </c>
      <c r="K201" s="616">
        <v>16170.5</v>
      </c>
    </row>
    <row r="202" spans="1:11" ht="14.4" customHeight="1" x14ac:dyDescent="0.3">
      <c r="A202" s="611" t="s">
        <v>550</v>
      </c>
      <c r="B202" s="612" t="s">
        <v>551</v>
      </c>
      <c r="C202" s="613" t="s">
        <v>563</v>
      </c>
      <c r="D202" s="614" t="s">
        <v>1184</v>
      </c>
      <c r="E202" s="613" t="s">
        <v>1706</v>
      </c>
      <c r="F202" s="614" t="s">
        <v>1707</v>
      </c>
      <c r="G202" s="613" t="s">
        <v>1296</v>
      </c>
      <c r="H202" s="613" t="s">
        <v>1297</v>
      </c>
      <c r="I202" s="615">
        <v>32.67</v>
      </c>
      <c r="J202" s="615">
        <v>100</v>
      </c>
      <c r="K202" s="616">
        <v>3267</v>
      </c>
    </row>
    <row r="203" spans="1:11" ht="14.4" customHeight="1" x14ac:dyDescent="0.3">
      <c r="A203" s="611" t="s">
        <v>550</v>
      </c>
      <c r="B203" s="612" t="s">
        <v>551</v>
      </c>
      <c r="C203" s="613" t="s">
        <v>563</v>
      </c>
      <c r="D203" s="614" t="s">
        <v>1184</v>
      </c>
      <c r="E203" s="613" t="s">
        <v>1706</v>
      </c>
      <c r="F203" s="614" t="s">
        <v>1707</v>
      </c>
      <c r="G203" s="613" t="s">
        <v>1296</v>
      </c>
      <c r="H203" s="613" t="s">
        <v>1393</v>
      </c>
      <c r="I203" s="615">
        <v>32.67</v>
      </c>
      <c r="J203" s="615">
        <v>250</v>
      </c>
      <c r="K203" s="616">
        <v>8167.5</v>
      </c>
    </row>
    <row r="204" spans="1:11" ht="14.4" customHeight="1" x14ac:dyDescent="0.3">
      <c r="A204" s="611" t="s">
        <v>550</v>
      </c>
      <c r="B204" s="612" t="s">
        <v>551</v>
      </c>
      <c r="C204" s="613" t="s">
        <v>563</v>
      </c>
      <c r="D204" s="614" t="s">
        <v>1184</v>
      </c>
      <c r="E204" s="613" t="s">
        <v>1706</v>
      </c>
      <c r="F204" s="614" t="s">
        <v>1707</v>
      </c>
      <c r="G204" s="613" t="s">
        <v>1513</v>
      </c>
      <c r="H204" s="613" t="s">
        <v>1514</v>
      </c>
      <c r="I204" s="615">
        <v>108.3</v>
      </c>
      <c r="J204" s="615">
        <v>120</v>
      </c>
      <c r="K204" s="616">
        <v>12995.4</v>
      </c>
    </row>
    <row r="205" spans="1:11" ht="14.4" customHeight="1" x14ac:dyDescent="0.3">
      <c r="A205" s="611" t="s">
        <v>550</v>
      </c>
      <c r="B205" s="612" t="s">
        <v>551</v>
      </c>
      <c r="C205" s="613" t="s">
        <v>563</v>
      </c>
      <c r="D205" s="614" t="s">
        <v>1184</v>
      </c>
      <c r="E205" s="613" t="s">
        <v>1706</v>
      </c>
      <c r="F205" s="614" t="s">
        <v>1707</v>
      </c>
      <c r="G205" s="613" t="s">
        <v>1515</v>
      </c>
      <c r="H205" s="613" t="s">
        <v>1516</v>
      </c>
      <c r="I205" s="615">
        <v>2.67</v>
      </c>
      <c r="J205" s="615">
        <v>200</v>
      </c>
      <c r="K205" s="616">
        <v>534.83000000000004</v>
      </c>
    </row>
    <row r="206" spans="1:11" ht="14.4" customHeight="1" x14ac:dyDescent="0.3">
      <c r="A206" s="611" t="s">
        <v>550</v>
      </c>
      <c r="B206" s="612" t="s">
        <v>551</v>
      </c>
      <c r="C206" s="613" t="s">
        <v>563</v>
      </c>
      <c r="D206" s="614" t="s">
        <v>1184</v>
      </c>
      <c r="E206" s="613" t="s">
        <v>1706</v>
      </c>
      <c r="F206" s="614" t="s">
        <v>1707</v>
      </c>
      <c r="G206" s="613" t="s">
        <v>1298</v>
      </c>
      <c r="H206" s="613" t="s">
        <v>1299</v>
      </c>
      <c r="I206" s="615">
        <v>26.015999999999998</v>
      </c>
      <c r="J206" s="615">
        <v>2280</v>
      </c>
      <c r="K206" s="616">
        <v>59323.6</v>
      </c>
    </row>
    <row r="207" spans="1:11" ht="14.4" customHeight="1" x14ac:dyDescent="0.3">
      <c r="A207" s="611" t="s">
        <v>550</v>
      </c>
      <c r="B207" s="612" t="s">
        <v>551</v>
      </c>
      <c r="C207" s="613" t="s">
        <v>563</v>
      </c>
      <c r="D207" s="614" t="s">
        <v>1184</v>
      </c>
      <c r="E207" s="613" t="s">
        <v>1706</v>
      </c>
      <c r="F207" s="614" t="s">
        <v>1707</v>
      </c>
      <c r="G207" s="613" t="s">
        <v>1394</v>
      </c>
      <c r="H207" s="613" t="s">
        <v>1395</v>
      </c>
      <c r="I207" s="615">
        <v>14.299999999999999</v>
      </c>
      <c r="J207" s="615">
        <v>180</v>
      </c>
      <c r="K207" s="616">
        <v>2574.2700000000004</v>
      </c>
    </row>
    <row r="208" spans="1:11" ht="14.4" customHeight="1" x14ac:dyDescent="0.3">
      <c r="A208" s="611" t="s">
        <v>550</v>
      </c>
      <c r="B208" s="612" t="s">
        <v>551</v>
      </c>
      <c r="C208" s="613" t="s">
        <v>563</v>
      </c>
      <c r="D208" s="614" t="s">
        <v>1184</v>
      </c>
      <c r="E208" s="613" t="s">
        <v>1706</v>
      </c>
      <c r="F208" s="614" t="s">
        <v>1707</v>
      </c>
      <c r="G208" s="613" t="s">
        <v>1300</v>
      </c>
      <c r="H208" s="613" t="s">
        <v>1301</v>
      </c>
      <c r="I208" s="615">
        <v>9.15</v>
      </c>
      <c r="J208" s="615">
        <v>2800</v>
      </c>
      <c r="K208" s="616">
        <v>25610.940000000002</v>
      </c>
    </row>
    <row r="209" spans="1:11" ht="14.4" customHeight="1" x14ac:dyDescent="0.3">
      <c r="A209" s="611" t="s">
        <v>550</v>
      </c>
      <c r="B209" s="612" t="s">
        <v>551</v>
      </c>
      <c r="C209" s="613" t="s">
        <v>563</v>
      </c>
      <c r="D209" s="614" t="s">
        <v>1184</v>
      </c>
      <c r="E209" s="613" t="s">
        <v>1706</v>
      </c>
      <c r="F209" s="614" t="s">
        <v>1707</v>
      </c>
      <c r="G209" s="613" t="s">
        <v>1302</v>
      </c>
      <c r="H209" s="613" t="s">
        <v>1303</v>
      </c>
      <c r="I209" s="615">
        <v>5.4099999999999993</v>
      </c>
      <c r="J209" s="615">
        <v>2700</v>
      </c>
      <c r="K209" s="616">
        <v>14606.39</v>
      </c>
    </row>
    <row r="210" spans="1:11" ht="14.4" customHeight="1" x14ac:dyDescent="0.3">
      <c r="A210" s="611" t="s">
        <v>550</v>
      </c>
      <c r="B210" s="612" t="s">
        <v>551</v>
      </c>
      <c r="C210" s="613" t="s">
        <v>563</v>
      </c>
      <c r="D210" s="614" t="s">
        <v>1184</v>
      </c>
      <c r="E210" s="613" t="s">
        <v>1706</v>
      </c>
      <c r="F210" s="614" t="s">
        <v>1707</v>
      </c>
      <c r="G210" s="613" t="s">
        <v>1304</v>
      </c>
      <c r="H210" s="613" t="s">
        <v>1305</v>
      </c>
      <c r="I210" s="615">
        <v>1149.5</v>
      </c>
      <c r="J210" s="615">
        <v>1</v>
      </c>
      <c r="K210" s="616">
        <v>1149.5</v>
      </c>
    </row>
    <row r="211" spans="1:11" ht="14.4" customHeight="1" x14ac:dyDescent="0.3">
      <c r="A211" s="611" t="s">
        <v>550</v>
      </c>
      <c r="B211" s="612" t="s">
        <v>551</v>
      </c>
      <c r="C211" s="613" t="s">
        <v>563</v>
      </c>
      <c r="D211" s="614" t="s">
        <v>1184</v>
      </c>
      <c r="E211" s="613" t="s">
        <v>1706</v>
      </c>
      <c r="F211" s="614" t="s">
        <v>1707</v>
      </c>
      <c r="G211" s="613" t="s">
        <v>1517</v>
      </c>
      <c r="H211" s="613" t="s">
        <v>1518</v>
      </c>
      <c r="I211" s="615">
        <v>18.796666666666667</v>
      </c>
      <c r="J211" s="615">
        <v>70</v>
      </c>
      <c r="K211" s="616">
        <v>1248.1000000000001</v>
      </c>
    </row>
    <row r="212" spans="1:11" ht="14.4" customHeight="1" x14ac:dyDescent="0.3">
      <c r="A212" s="611" t="s">
        <v>550</v>
      </c>
      <c r="B212" s="612" t="s">
        <v>551</v>
      </c>
      <c r="C212" s="613" t="s">
        <v>563</v>
      </c>
      <c r="D212" s="614" t="s">
        <v>1184</v>
      </c>
      <c r="E212" s="613" t="s">
        <v>1706</v>
      </c>
      <c r="F212" s="614" t="s">
        <v>1707</v>
      </c>
      <c r="G212" s="613" t="s">
        <v>1396</v>
      </c>
      <c r="H212" s="613" t="s">
        <v>1397</v>
      </c>
      <c r="I212" s="615">
        <v>26.02</v>
      </c>
      <c r="J212" s="615">
        <v>120</v>
      </c>
      <c r="K212" s="616">
        <v>3121.8</v>
      </c>
    </row>
    <row r="213" spans="1:11" ht="14.4" customHeight="1" x14ac:dyDescent="0.3">
      <c r="A213" s="611" t="s">
        <v>550</v>
      </c>
      <c r="B213" s="612" t="s">
        <v>551</v>
      </c>
      <c r="C213" s="613" t="s">
        <v>563</v>
      </c>
      <c r="D213" s="614" t="s">
        <v>1184</v>
      </c>
      <c r="E213" s="613" t="s">
        <v>1706</v>
      </c>
      <c r="F213" s="614" t="s">
        <v>1707</v>
      </c>
      <c r="G213" s="613" t="s">
        <v>1519</v>
      </c>
      <c r="H213" s="613" t="s">
        <v>1520</v>
      </c>
      <c r="I213" s="615">
        <v>149.5</v>
      </c>
      <c r="J213" s="615">
        <v>19</v>
      </c>
      <c r="K213" s="616">
        <v>2599</v>
      </c>
    </row>
    <row r="214" spans="1:11" ht="14.4" customHeight="1" x14ac:dyDescent="0.3">
      <c r="A214" s="611" t="s">
        <v>550</v>
      </c>
      <c r="B214" s="612" t="s">
        <v>551</v>
      </c>
      <c r="C214" s="613" t="s">
        <v>563</v>
      </c>
      <c r="D214" s="614" t="s">
        <v>1184</v>
      </c>
      <c r="E214" s="613" t="s">
        <v>1706</v>
      </c>
      <c r="F214" s="614" t="s">
        <v>1707</v>
      </c>
      <c r="G214" s="613" t="s">
        <v>1521</v>
      </c>
      <c r="H214" s="613" t="s">
        <v>1522</v>
      </c>
      <c r="I214" s="615">
        <v>7893.31</v>
      </c>
      <c r="J214" s="615">
        <v>3</v>
      </c>
      <c r="K214" s="616">
        <v>23679.93</v>
      </c>
    </row>
    <row r="215" spans="1:11" ht="14.4" customHeight="1" x14ac:dyDescent="0.3">
      <c r="A215" s="611" t="s">
        <v>550</v>
      </c>
      <c r="B215" s="612" t="s">
        <v>551</v>
      </c>
      <c r="C215" s="613" t="s">
        <v>563</v>
      </c>
      <c r="D215" s="614" t="s">
        <v>1184</v>
      </c>
      <c r="E215" s="613" t="s">
        <v>1706</v>
      </c>
      <c r="F215" s="614" t="s">
        <v>1707</v>
      </c>
      <c r="G215" s="613" t="s">
        <v>1398</v>
      </c>
      <c r="H215" s="613" t="s">
        <v>1399</v>
      </c>
      <c r="I215" s="615">
        <v>2.3733333333333335</v>
      </c>
      <c r="J215" s="615">
        <v>220</v>
      </c>
      <c r="K215" s="616">
        <v>521.6</v>
      </c>
    </row>
    <row r="216" spans="1:11" ht="14.4" customHeight="1" x14ac:dyDescent="0.3">
      <c r="A216" s="611" t="s">
        <v>550</v>
      </c>
      <c r="B216" s="612" t="s">
        <v>551</v>
      </c>
      <c r="C216" s="613" t="s">
        <v>563</v>
      </c>
      <c r="D216" s="614" t="s">
        <v>1184</v>
      </c>
      <c r="E216" s="613" t="s">
        <v>1706</v>
      </c>
      <c r="F216" s="614" t="s">
        <v>1707</v>
      </c>
      <c r="G216" s="613" t="s">
        <v>1523</v>
      </c>
      <c r="H216" s="613" t="s">
        <v>1524</v>
      </c>
      <c r="I216" s="615">
        <v>2</v>
      </c>
      <c r="J216" s="615">
        <v>85</v>
      </c>
      <c r="K216" s="616">
        <v>170</v>
      </c>
    </row>
    <row r="217" spans="1:11" ht="14.4" customHeight="1" x14ac:dyDescent="0.3">
      <c r="A217" s="611" t="s">
        <v>550</v>
      </c>
      <c r="B217" s="612" t="s">
        <v>551</v>
      </c>
      <c r="C217" s="613" t="s">
        <v>563</v>
      </c>
      <c r="D217" s="614" t="s">
        <v>1184</v>
      </c>
      <c r="E217" s="613" t="s">
        <v>1706</v>
      </c>
      <c r="F217" s="614" t="s">
        <v>1707</v>
      </c>
      <c r="G217" s="613" t="s">
        <v>1525</v>
      </c>
      <c r="H217" s="613" t="s">
        <v>1526</v>
      </c>
      <c r="I217" s="615">
        <v>3.14</v>
      </c>
      <c r="J217" s="615">
        <v>50</v>
      </c>
      <c r="K217" s="616">
        <v>157</v>
      </c>
    </row>
    <row r="218" spans="1:11" ht="14.4" customHeight="1" x14ac:dyDescent="0.3">
      <c r="A218" s="611" t="s">
        <v>550</v>
      </c>
      <c r="B218" s="612" t="s">
        <v>551</v>
      </c>
      <c r="C218" s="613" t="s">
        <v>563</v>
      </c>
      <c r="D218" s="614" t="s">
        <v>1184</v>
      </c>
      <c r="E218" s="613" t="s">
        <v>1706</v>
      </c>
      <c r="F218" s="614" t="s">
        <v>1707</v>
      </c>
      <c r="G218" s="613" t="s">
        <v>1310</v>
      </c>
      <c r="H218" s="613" t="s">
        <v>1311</v>
      </c>
      <c r="I218" s="615">
        <v>2.8525</v>
      </c>
      <c r="J218" s="615">
        <v>600</v>
      </c>
      <c r="K218" s="616">
        <v>1711</v>
      </c>
    </row>
    <row r="219" spans="1:11" ht="14.4" customHeight="1" x14ac:dyDescent="0.3">
      <c r="A219" s="611" t="s">
        <v>550</v>
      </c>
      <c r="B219" s="612" t="s">
        <v>551</v>
      </c>
      <c r="C219" s="613" t="s">
        <v>563</v>
      </c>
      <c r="D219" s="614" t="s">
        <v>1184</v>
      </c>
      <c r="E219" s="613" t="s">
        <v>1706</v>
      </c>
      <c r="F219" s="614" t="s">
        <v>1707</v>
      </c>
      <c r="G219" s="613" t="s">
        <v>1400</v>
      </c>
      <c r="H219" s="613" t="s">
        <v>1401</v>
      </c>
      <c r="I219" s="615">
        <v>58.79</v>
      </c>
      <c r="J219" s="615">
        <v>72</v>
      </c>
      <c r="K219" s="616">
        <v>4232.58</v>
      </c>
    </row>
    <row r="220" spans="1:11" ht="14.4" customHeight="1" x14ac:dyDescent="0.3">
      <c r="A220" s="611" t="s">
        <v>550</v>
      </c>
      <c r="B220" s="612" t="s">
        <v>551</v>
      </c>
      <c r="C220" s="613" t="s">
        <v>563</v>
      </c>
      <c r="D220" s="614" t="s">
        <v>1184</v>
      </c>
      <c r="E220" s="613" t="s">
        <v>1706</v>
      </c>
      <c r="F220" s="614" t="s">
        <v>1707</v>
      </c>
      <c r="G220" s="613" t="s">
        <v>1312</v>
      </c>
      <c r="H220" s="613" t="s">
        <v>1313</v>
      </c>
      <c r="I220" s="615">
        <v>2.0499999999999998</v>
      </c>
      <c r="J220" s="615">
        <v>110</v>
      </c>
      <c r="K220" s="616">
        <v>225.4</v>
      </c>
    </row>
    <row r="221" spans="1:11" ht="14.4" customHeight="1" x14ac:dyDescent="0.3">
      <c r="A221" s="611" t="s">
        <v>550</v>
      </c>
      <c r="B221" s="612" t="s">
        <v>551</v>
      </c>
      <c r="C221" s="613" t="s">
        <v>563</v>
      </c>
      <c r="D221" s="614" t="s">
        <v>1184</v>
      </c>
      <c r="E221" s="613" t="s">
        <v>1706</v>
      </c>
      <c r="F221" s="614" t="s">
        <v>1707</v>
      </c>
      <c r="G221" s="613" t="s">
        <v>1527</v>
      </c>
      <c r="H221" s="613" t="s">
        <v>1528</v>
      </c>
      <c r="I221" s="615">
        <v>484</v>
      </c>
      <c r="J221" s="615">
        <v>15</v>
      </c>
      <c r="K221" s="616">
        <v>7260</v>
      </c>
    </row>
    <row r="222" spans="1:11" ht="14.4" customHeight="1" x14ac:dyDescent="0.3">
      <c r="A222" s="611" t="s">
        <v>550</v>
      </c>
      <c r="B222" s="612" t="s">
        <v>551</v>
      </c>
      <c r="C222" s="613" t="s">
        <v>563</v>
      </c>
      <c r="D222" s="614" t="s">
        <v>1184</v>
      </c>
      <c r="E222" s="613" t="s">
        <v>1706</v>
      </c>
      <c r="F222" s="614" t="s">
        <v>1707</v>
      </c>
      <c r="G222" s="613" t="s">
        <v>1314</v>
      </c>
      <c r="H222" s="613" t="s">
        <v>1316</v>
      </c>
      <c r="I222" s="615">
        <v>2.46</v>
      </c>
      <c r="J222" s="615">
        <v>1300</v>
      </c>
      <c r="K222" s="616">
        <v>3198.15</v>
      </c>
    </row>
    <row r="223" spans="1:11" ht="14.4" customHeight="1" x14ac:dyDescent="0.3">
      <c r="A223" s="611" t="s">
        <v>550</v>
      </c>
      <c r="B223" s="612" t="s">
        <v>551</v>
      </c>
      <c r="C223" s="613" t="s">
        <v>563</v>
      </c>
      <c r="D223" s="614" t="s">
        <v>1184</v>
      </c>
      <c r="E223" s="613" t="s">
        <v>1706</v>
      </c>
      <c r="F223" s="614" t="s">
        <v>1707</v>
      </c>
      <c r="G223" s="613" t="s">
        <v>1529</v>
      </c>
      <c r="H223" s="613" t="s">
        <v>1530</v>
      </c>
      <c r="I223" s="615">
        <v>335.17</v>
      </c>
      <c r="J223" s="615">
        <v>60</v>
      </c>
      <c r="K223" s="616">
        <v>20110.199999999997</v>
      </c>
    </row>
    <row r="224" spans="1:11" ht="14.4" customHeight="1" x14ac:dyDescent="0.3">
      <c r="A224" s="611" t="s">
        <v>550</v>
      </c>
      <c r="B224" s="612" t="s">
        <v>551</v>
      </c>
      <c r="C224" s="613" t="s">
        <v>563</v>
      </c>
      <c r="D224" s="614" t="s">
        <v>1184</v>
      </c>
      <c r="E224" s="613" t="s">
        <v>1706</v>
      </c>
      <c r="F224" s="614" t="s">
        <v>1707</v>
      </c>
      <c r="G224" s="613" t="s">
        <v>1531</v>
      </c>
      <c r="H224" s="613" t="s">
        <v>1532</v>
      </c>
      <c r="I224" s="615">
        <v>636.37</v>
      </c>
      <c r="J224" s="615">
        <v>3</v>
      </c>
      <c r="K224" s="616">
        <v>1909.11</v>
      </c>
    </row>
    <row r="225" spans="1:11" ht="14.4" customHeight="1" x14ac:dyDescent="0.3">
      <c r="A225" s="611" t="s">
        <v>550</v>
      </c>
      <c r="B225" s="612" t="s">
        <v>551</v>
      </c>
      <c r="C225" s="613" t="s">
        <v>563</v>
      </c>
      <c r="D225" s="614" t="s">
        <v>1184</v>
      </c>
      <c r="E225" s="613" t="s">
        <v>1706</v>
      </c>
      <c r="F225" s="614" t="s">
        <v>1707</v>
      </c>
      <c r="G225" s="613" t="s">
        <v>1317</v>
      </c>
      <c r="H225" s="613" t="s">
        <v>1318</v>
      </c>
      <c r="I225" s="615">
        <v>4.95</v>
      </c>
      <c r="J225" s="615">
        <v>1500</v>
      </c>
      <c r="K225" s="616">
        <v>7422</v>
      </c>
    </row>
    <row r="226" spans="1:11" ht="14.4" customHeight="1" x14ac:dyDescent="0.3">
      <c r="A226" s="611" t="s">
        <v>550</v>
      </c>
      <c r="B226" s="612" t="s">
        <v>551</v>
      </c>
      <c r="C226" s="613" t="s">
        <v>563</v>
      </c>
      <c r="D226" s="614" t="s">
        <v>1184</v>
      </c>
      <c r="E226" s="613" t="s">
        <v>1706</v>
      </c>
      <c r="F226" s="614" t="s">
        <v>1707</v>
      </c>
      <c r="G226" s="613" t="s">
        <v>1317</v>
      </c>
      <c r="H226" s="613" t="s">
        <v>1319</v>
      </c>
      <c r="I226" s="615">
        <v>4.95</v>
      </c>
      <c r="J226" s="615">
        <v>100</v>
      </c>
      <c r="K226" s="616">
        <v>494.5</v>
      </c>
    </row>
    <row r="227" spans="1:11" ht="14.4" customHeight="1" x14ac:dyDescent="0.3">
      <c r="A227" s="611" t="s">
        <v>550</v>
      </c>
      <c r="B227" s="612" t="s">
        <v>551</v>
      </c>
      <c r="C227" s="613" t="s">
        <v>563</v>
      </c>
      <c r="D227" s="614" t="s">
        <v>1184</v>
      </c>
      <c r="E227" s="613" t="s">
        <v>1706</v>
      </c>
      <c r="F227" s="614" t="s">
        <v>1707</v>
      </c>
      <c r="G227" s="613" t="s">
        <v>1533</v>
      </c>
      <c r="H227" s="613" t="s">
        <v>1534</v>
      </c>
      <c r="I227" s="615">
        <v>5.4200000000000008</v>
      </c>
      <c r="J227" s="615">
        <v>3000</v>
      </c>
      <c r="K227" s="616">
        <v>16256.269999999999</v>
      </c>
    </row>
    <row r="228" spans="1:11" ht="14.4" customHeight="1" x14ac:dyDescent="0.3">
      <c r="A228" s="611" t="s">
        <v>550</v>
      </c>
      <c r="B228" s="612" t="s">
        <v>551</v>
      </c>
      <c r="C228" s="613" t="s">
        <v>563</v>
      </c>
      <c r="D228" s="614" t="s">
        <v>1184</v>
      </c>
      <c r="E228" s="613" t="s">
        <v>1706</v>
      </c>
      <c r="F228" s="614" t="s">
        <v>1707</v>
      </c>
      <c r="G228" s="613" t="s">
        <v>1320</v>
      </c>
      <c r="H228" s="613" t="s">
        <v>1321</v>
      </c>
      <c r="I228" s="615">
        <v>12.104285714285712</v>
      </c>
      <c r="J228" s="615">
        <v>908</v>
      </c>
      <c r="K228" s="616">
        <v>10990.3</v>
      </c>
    </row>
    <row r="229" spans="1:11" ht="14.4" customHeight="1" x14ac:dyDescent="0.3">
      <c r="A229" s="611" t="s">
        <v>550</v>
      </c>
      <c r="B229" s="612" t="s">
        <v>551</v>
      </c>
      <c r="C229" s="613" t="s">
        <v>563</v>
      </c>
      <c r="D229" s="614" t="s">
        <v>1184</v>
      </c>
      <c r="E229" s="613" t="s">
        <v>1706</v>
      </c>
      <c r="F229" s="614" t="s">
        <v>1707</v>
      </c>
      <c r="G229" s="613" t="s">
        <v>1535</v>
      </c>
      <c r="H229" s="613" t="s">
        <v>1536</v>
      </c>
      <c r="I229" s="615">
        <v>1.5325</v>
      </c>
      <c r="J229" s="615">
        <v>1050</v>
      </c>
      <c r="K229" s="616">
        <v>1617.75</v>
      </c>
    </row>
    <row r="230" spans="1:11" ht="14.4" customHeight="1" x14ac:dyDescent="0.3">
      <c r="A230" s="611" t="s">
        <v>550</v>
      </c>
      <c r="B230" s="612" t="s">
        <v>551</v>
      </c>
      <c r="C230" s="613" t="s">
        <v>563</v>
      </c>
      <c r="D230" s="614" t="s">
        <v>1184</v>
      </c>
      <c r="E230" s="613" t="s">
        <v>1706</v>
      </c>
      <c r="F230" s="614" t="s">
        <v>1707</v>
      </c>
      <c r="G230" s="613" t="s">
        <v>1326</v>
      </c>
      <c r="H230" s="613" t="s">
        <v>1327</v>
      </c>
      <c r="I230" s="615">
        <v>21.030999999999999</v>
      </c>
      <c r="J230" s="615">
        <v>1400</v>
      </c>
      <c r="K230" s="616">
        <v>29667.5</v>
      </c>
    </row>
    <row r="231" spans="1:11" ht="14.4" customHeight="1" x14ac:dyDescent="0.3">
      <c r="A231" s="611" t="s">
        <v>550</v>
      </c>
      <c r="B231" s="612" t="s">
        <v>551</v>
      </c>
      <c r="C231" s="613" t="s">
        <v>563</v>
      </c>
      <c r="D231" s="614" t="s">
        <v>1184</v>
      </c>
      <c r="E231" s="613" t="s">
        <v>1706</v>
      </c>
      <c r="F231" s="614" t="s">
        <v>1707</v>
      </c>
      <c r="G231" s="613" t="s">
        <v>1328</v>
      </c>
      <c r="H231" s="613" t="s">
        <v>1329</v>
      </c>
      <c r="I231" s="615">
        <v>2.9437499999999996</v>
      </c>
      <c r="J231" s="615">
        <v>2100</v>
      </c>
      <c r="K231" s="616">
        <v>6139.4800000000005</v>
      </c>
    </row>
    <row r="232" spans="1:11" ht="14.4" customHeight="1" x14ac:dyDescent="0.3">
      <c r="A232" s="611" t="s">
        <v>550</v>
      </c>
      <c r="B232" s="612" t="s">
        <v>551</v>
      </c>
      <c r="C232" s="613" t="s">
        <v>563</v>
      </c>
      <c r="D232" s="614" t="s">
        <v>1184</v>
      </c>
      <c r="E232" s="613" t="s">
        <v>1706</v>
      </c>
      <c r="F232" s="614" t="s">
        <v>1707</v>
      </c>
      <c r="G232" s="613" t="s">
        <v>1405</v>
      </c>
      <c r="H232" s="613" t="s">
        <v>1406</v>
      </c>
      <c r="I232" s="615">
        <v>1.2950000000000002</v>
      </c>
      <c r="J232" s="615">
        <v>3500</v>
      </c>
      <c r="K232" s="616">
        <v>4534.17</v>
      </c>
    </row>
    <row r="233" spans="1:11" ht="14.4" customHeight="1" x14ac:dyDescent="0.3">
      <c r="A233" s="611" t="s">
        <v>550</v>
      </c>
      <c r="B233" s="612" t="s">
        <v>551</v>
      </c>
      <c r="C233" s="613" t="s">
        <v>563</v>
      </c>
      <c r="D233" s="614" t="s">
        <v>1184</v>
      </c>
      <c r="E233" s="613" t="s">
        <v>1706</v>
      </c>
      <c r="F233" s="614" t="s">
        <v>1707</v>
      </c>
      <c r="G233" s="613" t="s">
        <v>1407</v>
      </c>
      <c r="H233" s="613" t="s">
        <v>1408</v>
      </c>
      <c r="I233" s="615">
        <v>0.27</v>
      </c>
      <c r="J233" s="615">
        <v>2000</v>
      </c>
      <c r="K233" s="616">
        <v>532.4</v>
      </c>
    </row>
    <row r="234" spans="1:11" ht="14.4" customHeight="1" x14ac:dyDescent="0.3">
      <c r="A234" s="611" t="s">
        <v>550</v>
      </c>
      <c r="B234" s="612" t="s">
        <v>551</v>
      </c>
      <c r="C234" s="613" t="s">
        <v>563</v>
      </c>
      <c r="D234" s="614" t="s">
        <v>1184</v>
      </c>
      <c r="E234" s="613" t="s">
        <v>1706</v>
      </c>
      <c r="F234" s="614" t="s">
        <v>1707</v>
      </c>
      <c r="G234" s="613" t="s">
        <v>1537</v>
      </c>
      <c r="H234" s="613" t="s">
        <v>1538</v>
      </c>
      <c r="I234" s="615">
        <v>18.149999999999999</v>
      </c>
      <c r="J234" s="615">
        <v>1100</v>
      </c>
      <c r="K234" s="616">
        <v>19965</v>
      </c>
    </row>
    <row r="235" spans="1:11" ht="14.4" customHeight="1" x14ac:dyDescent="0.3">
      <c r="A235" s="611" t="s">
        <v>550</v>
      </c>
      <c r="B235" s="612" t="s">
        <v>551</v>
      </c>
      <c r="C235" s="613" t="s">
        <v>563</v>
      </c>
      <c r="D235" s="614" t="s">
        <v>1184</v>
      </c>
      <c r="E235" s="613" t="s">
        <v>1706</v>
      </c>
      <c r="F235" s="614" t="s">
        <v>1707</v>
      </c>
      <c r="G235" s="613" t="s">
        <v>1330</v>
      </c>
      <c r="H235" s="613" t="s">
        <v>1331</v>
      </c>
      <c r="I235" s="615">
        <v>0.47</v>
      </c>
      <c r="J235" s="615">
        <v>200</v>
      </c>
      <c r="K235" s="616">
        <v>94</v>
      </c>
    </row>
    <row r="236" spans="1:11" ht="14.4" customHeight="1" x14ac:dyDescent="0.3">
      <c r="A236" s="611" t="s">
        <v>550</v>
      </c>
      <c r="B236" s="612" t="s">
        <v>551</v>
      </c>
      <c r="C236" s="613" t="s">
        <v>563</v>
      </c>
      <c r="D236" s="614" t="s">
        <v>1184</v>
      </c>
      <c r="E236" s="613" t="s">
        <v>1706</v>
      </c>
      <c r="F236" s="614" t="s">
        <v>1707</v>
      </c>
      <c r="G236" s="613" t="s">
        <v>1539</v>
      </c>
      <c r="H236" s="613" t="s">
        <v>1540</v>
      </c>
      <c r="I236" s="615">
        <v>0.47363636363636369</v>
      </c>
      <c r="J236" s="615">
        <v>5800</v>
      </c>
      <c r="K236" s="616">
        <v>2750</v>
      </c>
    </row>
    <row r="237" spans="1:11" ht="14.4" customHeight="1" x14ac:dyDescent="0.3">
      <c r="A237" s="611" t="s">
        <v>550</v>
      </c>
      <c r="B237" s="612" t="s">
        <v>551</v>
      </c>
      <c r="C237" s="613" t="s">
        <v>563</v>
      </c>
      <c r="D237" s="614" t="s">
        <v>1184</v>
      </c>
      <c r="E237" s="613" t="s">
        <v>1706</v>
      </c>
      <c r="F237" s="614" t="s">
        <v>1707</v>
      </c>
      <c r="G237" s="613" t="s">
        <v>1541</v>
      </c>
      <c r="H237" s="613" t="s">
        <v>1542</v>
      </c>
      <c r="I237" s="615">
        <v>630</v>
      </c>
      <c r="J237" s="615">
        <v>40</v>
      </c>
      <c r="K237" s="616">
        <v>25200.18</v>
      </c>
    </row>
    <row r="238" spans="1:11" ht="14.4" customHeight="1" x14ac:dyDescent="0.3">
      <c r="A238" s="611" t="s">
        <v>550</v>
      </c>
      <c r="B238" s="612" t="s">
        <v>551</v>
      </c>
      <c r="C238" s="613" t="s">
        <v>563</v>
      </c>
      <c r="D238" s="614" t="s">
        <v>1184</v>
      </c>
      <c r="E238" s="613" t="s">
        <v>1706</v>
      </c>
      <c r="F238" s="614" t="s">
        <v>1707</v>
      </c>
      <c r="G238" s="613" t="s">
        <v>1541</v>
      </c>
      <c r="H238" s="613" t="s">
        <v>1543</v>
      </c>
      <c r="I238" s="615">
        <v>630.00333333333333</v>
      </c>
      <c r="J238" s="615">
        <v>50</v>
      </c>
      <c r="K238" s="616">
        <v>31500.19</v>
      </c>
    </row>
    <row r="239" spans="1:11" ht="14.4" customHeight="1" x14ac:dyDescent="0.3">
      <c r="A239" s="611" t="s">
        <v>550</v>
      </c>
      <c r="B239" s="612" t="s">
        <v>551</v>
      </c>
      <c r="C239" s="613" t="s">
        <v>563</v>
      </c>
      <c r="D239" s="614" t="s">
        <v>1184</v>
      </c>
      <c r="E239" s="613" t="s">
        <v>1706</v>
      </c>
      <c r="F239" s="614" t="s">
        <v>1707</v>
      </c>
      <c r="G239" s="613" t="s">
        <v>1544</v>
      </c>
      <c r="H239" s="613" t="s">
        <v>1545</v>
      </c>
      <c r="I239" s="615">
        <v>4.0283333333333342</v>
      </c>
      <c r="J239" s="615">
        <v>1600</v>
      </c>
      <c r="K239" s="616">
        <v>6446</v>
      </c>
    </row>
    <row r="240" spans="1:11" ht="14.4" customHeight="1" x14ac:dyDescent="0.3">
      <c r="A240" s="611" t="s">
        <v>550</v>
      </c>
      <c r="B240" s="612" t="s">
        <v>551</v>
      </c>
      <c r="C240" s="613" t="s">
        <v>563</v>
      </c>
      <c r="D240" s="614" t="s">
        <v>1184</v>
      </c>
      <c r="E240" s="613" t="s">
        <v>1706</v>
      </c>
      <c r="F240" s="614" t="s">
        <v>1707</v>
      </c>
      <c r="G240" s="613" t="s">
        <v>1546</v>
      </c>
      <c r="H240" s="613" t="s">
        <v>1547</v>
      </c>
      <c r="I240" s="615">
        <v>5048.375</v>
      </c>
      <c r="J240" s="615">
        <v>10</v>
      </c>
      <c r="K240" s="616">
        <v>50651.41</v>
      </c>
    </row>
    <row r="241" spans="1:11" ht="14.4" customHeight="1" x14ac:dyDescent="0.3">
      <c r="A241" s="611" t="s">
        <v>550</v>
      </c>
      <c r="B241" s="612" t="s">
        <v>551</v>
      </c>
      <c r="C241" s="613" t="s">
        <v>563</v>
      </c>
      <c r="D241" s="614" t="s">
        <v>1184</v>
      </c>
      <c r="E241" s="613" t="s">
        <v>1706</v>
      </c>
      <c r="F241" s="614" t="s">
        <v>1707</v>
      </c>
      <c r="G241" s="613" t="s">
        <v>1548</v>
      </c>
      <c r="H241" s="613" t="s">
        <v>1549</v>
      </c>
      <c r="I241" s="615">
        <v>400.15</v>
      </c>
      <c r="J241" s="615">
        <v>10</v>
      </c>
      <c r="K241" s="616">
        <v>4001.47</v>
      </c>
    </row>
    <row r="242" spans="1:11" ht="14.4" customHeight="1" x14ac:dyDescent="0.3">
      <c r="A242" s="611" t="s">
        <v>550</v>
      </c>
      <c r="B242" s="612" t="s">
        <v>551</v>
      </c>
      <c r="C242" s="613" t="s">
        <v>563</v>
      </c>
      <c r="D242" s="614" t="s">
        <v>1184</v>
      </c>
      <c r="E242" s="613" t="s">
        <v>1706</v>
      </c>
      <c r="F242" s="614" t="s">
        <v>1707</v>
      </c>
      <c r="G242" s="613" t="s">
        <v>1550</v>
      </c>
      <c r="H242" s="613" t="s">
        <v>1551</v>
      </c>
      <c r="I242" s="615">
        <v>27.83</v>
      </c>
      <c r="J242" s="615">
        <v>20</v>
      </c>
      <c r="K242" s="616">
        <v>556.6</v>
      </c>
    </row>
    <row r="243" spans="1:11" ht="14.4" customHeight="1" x14ac:dyDescent="0.3">
      <c r="A243" s="611" t="s">
        <v>550</v>
      </c>
      <c r="B243" s="612" t="s">
        <v>551</v>
      </c>
      <c r="C243" s="613" t="s">
        <v>563</v>
      </c>
      <c r="D243" s="614" t="s">
        <v>1184</v>
      </c>
      <c r="E243" s="613" t="s">
        <v>1706</v>
      </c>
      <c r="F243" s="614" t="s">
        <v>1707</v>
      </c>
      <c r="G243" s="613" t="s">
        <v>1552</v>
      </c>
      <c r="H243" s="613" t="s">
        <v>1553</v>
      </c>
      <c r="I243" s="615">
        <v>35.995000000000005</v>
      </c>
      <c r="J243" s="615">
        <v>100</v>
      </c>
      <c r="K243" s="616">
        <v>3599.25</v>
      </c>
    </row>
    <row r="244" spans="1:11" ht="14.4" customHeight="1" x14ac:dyDescent="0.3">
      <c r="A244" s="611" t="s">
        <v>550</v>
      </c>
      <c r="B244" s="612" t="s">
        <v>551</v>
      </c>
      <c r="C244" s="613" t="s">
        <v>563</v>
      </c>
      <c r="D244" s="614" t="s">
        <v>1184</v>
      </c>
      <c r="E244" s="613" t="s">
        <v>1706</v>
      </c>
      <c r="F244" s="614" t="s">
        <v>1707</v>
      </c>
      <c r="G244" s="613" t="s">
        <v>1554</v>
      </c>
      <c r="H244" s="613" t="s">
        <v>1555</v>
      </c>
      <c r="I244" s="615">
        <v>356.34</v>
      </c>
      <c r="J244" s="615">
        <v>60</v>
      </c>
      <c r="K244" s="616">
        <v>21380.699999999997</v>
      </c>
    </row>
    <row r="245" spans="1:11" ht="14.4" customHeight="1" x14ac:dyDescent="0.3">
      <c r="A245" s="611" t="s">
        <v>550</v>
      </c>
      <c r="B245" s="612" t="s">
        <v>551</v>
      </c>
      <c r="C245" s="613" t="s">
        <v>563</v>
      </c>
      <c r="D245" s="614" t="s">
        <v>1184</v>
      </c>
      <c r="E245" s="613" t="s">
        <v>1706</v>
      </c>
      <c r="F245" s="614" t="s">
        <v>1707</v>
      </c>
      <c r="G245" s="613" t="s">
        <v>1554</v>
      </c>
      <c r="H245" s="613" t="s">
        <v>1556</v>
      </c>
      <c r="I245" s="615">
        <v>356.34000000000003</v>
      </c>
      <c r="J245" s="615">
        <v>220</v>
      </c>
      <c r="K245" s="616">
        <v>78395.899999999994</v>
      </c>
    </row>
    <row r="246" spans="1:11" ht="14.4" customHeight="1" x14ac:dyDescent="0.3">
      <c r="A246" s="611" t="s">
        <v>550</v>
      </c>
      <c r="B246" s="612" t="s">
        <v>551</v>
      </c>
      <c r="C246" s="613" t="s">
        <v>563</v>
      </c>
      <c r="D246" s="614" t="s">
        <v>1184</v>
      </c>
      <c r="E246" s="613" t="s">
        <v>1706</v>
      </c>
      <c r="F246" s="614" t="s">
        <v>1707</v>
      </c>
      <c r="G246" s="613" t="s">
        <v>1557</v>
      </c>
      <c r="H246" s="613" t="s">
        <v>1558</v>
      </c>
      <c r="I246" s="615">
        <v>1310.67</v>
      </c>
      <c r="J246" s="615">
        <v>150</v>
      </c>
      <c r="K246" s="616">
        <v>196600.7</v>
      </c>
    </row>
    <row r="247" spans="1:11" ht="14.4" customHeight="1" x14ac:dyDescent="0.3">
      <c r="A247" s="611" t="s">
        <v>550</v>
      </c>
      <c r="B247" s="612" t="s">
        <v>551</v>
      </c>
      <c r="C247" s="613" t="s">
        <v>563</v>
      </c>
      <c r="D247" s="614" t="s">
        <v>1184</v>
      </c>
      <c r="E247" s="613" t="s">
        <v>1706</v>
      </c>
      <c r="F247" s="614" t="s">
        <v>1707</v>
      </c>
      <c r="G247" s="613" t="s">
        <v>1559</v>
      </c>
      <c r="H247" s="613" t="s">
        <v>1560</v>
      </c>
      <c r="I247" s="615">
        <v>557.56999999999994</v>
      </c>
      <c r="J247" s="615">
        <v>160</v>
      </c>
      <c r="K247" s="616">
        <v>89211</v>
      </c>
    </row>
    <row r="248" spans="1:11" ht="14.4" customHeight="1" x14ac:dyDescent="0.3">
      <c r="A248" s="611" t="s">
        <v>550</v>
      </c>
      <c r="B248" s="612" t="s">
        <v>551</v>
      </c>
      <c r="C248" s="613" t="s">
        <v>563</v>
      </c>
      <c r="D248" s="614" t="s">
        <v>1184</v>
      </c>
      <c r="E248" s="613" t="s">
        <v>1706</v>
      </c>
      <c r="F248" s="614" t="s">
        <v>1707</v>
      </c>
      <c r="G248" s="613" t="s">
        <v>1409</v>
      </c>
      <c r="H248" s="613" t="s">
        <v>1411</v>
      </c>
      <c r="I248" s="615">
        <v>12.1</v>
      </c>
      <c r="J248" s="615">
        <v>30</v>
      </c>
      <c r="K248" s="616">
        <v>363</v>
      </c>
    </row>
    <row r="249" spans="1:11" ht="14.4" customHeight="1" x14ac:dyDescent="0.3">
      <c r="A249" s="611" t="s">
        <v>550</v>
      </c>
      <c r="B249" s="612" t="s">
        <v>551</v>
      </c>
      <c r="C249" s="613" t="s">
        <v>563</v>
      </c>
      <c r="D249" s="614" t="s">
        <v>1184</v>
      </c>
      <c r="E249" s="613" t="s">
        <v>1706</v>
      </c>
      <c r="F249" s="614" t="s">
        <v>1707</v>
      </c>
      <c r="G249" s="613" t="s">
        <v>1561</v>
      </c>
      <c r="H249" s="613" t="s">
        <v>1562</v>
      </c>
      <c r="I249" s="615">
        <v>9.59</v>
      </c>
      <c r="J249" s="615">
        <v>200</v>
      </c>
      <c r="K249" s="616">
        <v>1918</v>
      </c>
    </row>
    <row r="250" spans="1:11" ht="14.4" customHeight="1" x14ac:dyDescent="0.3">
      <c r="A250" s="611" t="s">
        <v>550</v>
      </c>
      <c r="B250" s="612" t="s">
        <v>551</v>
      </c>
      <c r="C250" s="613" t="s">
        <v>563</v>
      </c>
      <c r="D250" s="614" t="s">
        <v>1184</v>
      </c>
      <c r="E250" s="613" t="s">
        <v>1706</v>
      </c>
      <c r="F250" s="614" t="s">
        <v>1707</v>
      </c>
      <c r="G250" s="613" t="s">
        <v>1563</v>
      </c>
      <c r="H250" s="613" t="s">
        <v>1564</v>
      </c>
      <c r="I250" s="615">
        <v>417.21</v>
      </c>
      <c r="J250" s="615">
        <v>10</v>
      </c>
      <c r="K250" s="616">
        <v>4172.12</v>
      </c>
    </row>
    <row r="251" spans="1:11" ht="14.4" customHeight="1" x14ac:dyDescent="0.3">
      <c r="A251" s="611" t="s">
        <v>550</v>
      </c>
      <c r="B251" s="612" t="s">
        <v>551</v>
      </c>
      <c r="C251" s="613" t="s">
        <v>563</v>
      </c>
      <c r="D251" s="614" t="s">
        <v>1184</v>
      </c>
      <c r="E251" s="613" t="s">
        <v>1706</v>
      </c>
      <c r="F251" s="614" t="s">
        <v>1707</v>
      </c>
      <c r="G251" s="613" t="s">
        <v>1334</v>
      </c>
      <c r="H251" s="613" t="s">
        <v>1335</v>
      </c>
      <c r="I251" s="615">
        <v>9.1999999999999993</v>
      </c>
      <c r="J251" s="615">
        <v>350</v>
      </c>
      <c r="K251" s="616">
        <v>3220</v>
      </c>
    </row>
    <row r="252" spans="1:11" ht="14.4" customHeight="1" x14ac:dyDescent="0.3">
      <c r="A252" s="611" t="s">
        <v>550</v>
      </c>
      <c r="B252" s="612" t="s">
        <v>551</v>
      </c>
      <c r="C252" s="613" t="s">
        <v>563</v>
      </c>
      <c r="D252" s="614" t="s">
        <v>1184</v>
      </c>
      <c r="E252" s="613" t="s">
        <v>1706</v>
      </c>
      <c r="F252" s="614" t="s">
        <v>1707</v>
      </c>
      <c r="G252" s="613" t="s">
        <v>1336</v>
      </c>
      <c r="H252" s="613" t="s">
        <v>1337</v>
      </c>
      <c r="I252" s="615">
        <v>172.5</v>
      </c>
      <c r="J252" s="615">
        <v>2</v>
      </c>
      <c r="K252" s="616">
        <v>345</v>
      </c>
    </row>
    <row r="253" spans="1:11" ht="14.4" customHeight="1" x14ac:dyDescent="0.3">
      <c r="A253" s="611" t="s">
        <v>550</v>
      </c>
      <c r="B253" s="612" t="s">
        <v>551</v>
      </c>
      <c r="C253" s="613" t="s">
        <v>563</v>
      </c>
      <c r="D253" s="614" t="s">
        <v>1184</v>
      </c>
      <c r="E253" s="613" t="s">
        <v>1706</v>
      </c>
      <c r="F253" s="614" t="s">
        <v>1707</v>
      </c>
      <c r="G253" s="613" t="s">
        <v>1416</v>
      </c>
      <c r="H253" s="613" t="s">
        <v>1417</v>
      </c>
      <c r="I253" s="615">
        <v>10.625384615384617</v>
      </c>
      <c r="J253" s="615">
        <v>1248</v>
      </c>
      <c r="K253" s="616">
        <v>13251.36</v>
      </c>
    </row>
    <row r="254" spans="1:11" ht="14.4" customHeight="1" x14ac:dyDescent="0.3">
      <c r="A254" s="611" t="s">
        <v>550</v>
      </c>
      <c r="B254" s="612" t="s">
        <v>551</v>
      </c>
      <c r="C254" s="613" t="s">
        <v>563</v>
      </c>
      <c r="D254" s="614" t="s">
        <v>1184</v>
      </c>
      <c r="E254" s="613" t="s">
        <v>1706</v>
      </c>
      <c r="F254" s="614" t="s">
        <v>1707</v>
      </c>
      <c r="G254" s="613" t="s">
        <v>1565</v>
      </c>
      <c r="H254" s="613" t="s">
        <v>1566</v>
      </c>
      <c r="I254" s="615">
        <v>150.04</v>
      </c>
      <c r="J254" s="615">
        <v>100</v>
      </c>
      <c r="K254" s="616">
        <v>15121.56</v>
      </c>
    </row>
    <row r="255" spans="1:11" ht="14.4" customHeight="1" x14ac:dyDescent="0.3">
      <c r="A255" s="611" t="s">
        <v>550</v>
      </c>
      <c r="B255" s="612" t="s">
        <v>551</v>
      </c>
      <c r="C255" s="613" t="s">
        <v>563</v>
      </c>
      <c r="D255" s="614" t="s">
        <v>1184</v>
      </c>
      <c r="E255" s="613" t="s">
        <v>1706</v>
      </c>
      <c r="F255" s="614" t="s">
        <v>1707</v>
      </c>
      <c r="G255" s="613" t="s">
        <v>1567</v>
      </c>
      <c r="H255" s="613" t="s">
        <v>1568</v>
      </c>
      <c r="I255" s="615">
        <v>15.729999999999999</v>
      </c>
      <c r="J255" s="615">
        <v>180</v>
      </c>
      <c r="K255" s="616">
        <v>2831.3999999999996</v>
      </c>
    </row>
    <row r="256" spans="1:11" ht="14.4" customHeight="1" x14ac:dyDescent="0.3">
      <c r="A256" s="611" t="s">
        <v>550</v>
      </c>
      <c r="B256" s="612" t="s">
        <v>551</v>
      </c>
      <c r="C256" s="613" t="s">
        <v>563</v>
      </c>
      <c r="D256" s="614" t="s">
        <v>1184</v>
      </c>
      <c r="E256" s="613" t="s">
        <v>1706</v>
      </c>
      <c r="F256" s="614" t="s">
        <v>1707</v>
      </c>
      <c r="G256" s="613" t="s">
        <v>1569</v>
      </c>
      <c r="H256" s="613" t="s">
        <v>1570</v>
      </c>
      <c r="I256" s="615">
        <v>24.2</v>
      </c>
      <c r="J256" s="615">
        <v>100</v>
      </c>
      <c r="K256" s="616">
        <v>2420</v>
      </c>
    </row>
    <row r="257" spans="1:11" ht="14.4" customHeight="1" x14ac:dyDescent="0.3">
      <c r="A257" s="611" t="s">
        <v>550</v>
      </c>
      <c r="B257" s="612" t="s">
        <v>551</v>
      </c>
      <c r="C257" s="613" t="s">
        <v>563</v>
      </c>
      <c r="D257" s="614" t="s">
        <v>1184</v>
      </c>
      <c r="E257" s="613" t="s">
        <v>1706</v>
      </c>
      <c r="F257" s="614" t="s">
        <v>1707</v>
      </c>
      <c r="G257" s="613" t="s">
        <v>1571</v>
      </c>
      <c r="H257" s="613" t="s">
        <v>1572</v>
      </c>
      <c r="I257" s="615">
        <v>106.48</v>
      </c>
      <c r="J257" s="615">
        <v>20</v>
      </c>
      <c r="K257" s="616">
        <v>2129.6</v>
      </c>
    </row>
    <row r="258" spans="1:11" ht="14.4" customHeight="1" x14ac:dyDescent="0.3">
      <c r="A258" s="611" t="s">
        <v>550</v>
      </c>
      <c r="B258" s="612" t="s">
        <v>551</v>
      </c>
      <c r="C258" s="613" t="s">
        <v>563</v>
      </c>
      <c r="D258" s="614" t="s">
        <v>1184</v>
      </c>
      <c r="E258" s="613" t="s">
        <v>1706</v>
      </c>
      <c r="F258" s="614" t="s">
        <v>1707</v>
      </c>
      <c r="G258" s="613" t="s">
        <v>1573</v>
      </c>
      <c r="H258" s="613" t="s">
        <v>1574</v>
      </c>
      <c r="I258" s="615">
        <v>9.5</v>
      </c>
      <c r="J258" s="615">
        <v>5</v>
      </c>
      <c r="K258" s="616">
        <v>47.48</v>
      </c>
    </row>
    <row r="259" spans="1:11" ht="14.4" customHeight="1" x14ac:dyDescent="0.3">
      <c r="A259" s="611" t="s">
        <v>550</v>
      </c>
      <c r="B259" s="612" t="s">
        <v>551</v>
      </c>
      <c r="C259" s="613" t="s">
        <v>563</v>
      </c>
      <c r="D259" s="614" t="s">
        <v>1184</v>
      </c>
      <c r="E259" s="613" t="s">
        <v>1706</v>
      </c>
      <c r="F259" s="614" t="s">
        <v>1707</v>
      </c>
      <c r="G259" s="613" t="s">
        <v>1575</v>
      </c>
      <c r="H259" s="613" t="s">
        <v>1576</v>
      </c>
      <c r="I259" s="615">
        <v>770.15000000000009</v>
      </c>
      <c r="J259" s="615">
        <v>2</v>
      </c>
      <c r="K259" s="616">
        <v>1540.3000000000002</v>
      </c>
    </row>
    <row r="260" spans="1:11" ht="14.4" customHeight="1" x14ac:dyDescent="0.3">
      <c r="A260" s="611" t="s">
        <v>550</v>
      </c>
      <c r="B260" s="612" t="s">
        <v>551</v>
      </c>
      <c r="C260" s="613" t="s">
        <v>563</v>
      </c>
      <c r="D260" s="614" t="s">
        <v>1184</v>
      </c>
      <c r="E260" s="613" t="s">
        <v>1706</v>
      </c>
      <c r="F260" s="614" t="s">
        <v>1707</v>
      </c>
      <c r="G260" s="613" t="s">
        <v>1338</v>
      </c>
      <c r="H260" s="613" t="s">
        <v>1339</v>
      </c>
      <c r="I260" s="615">
        <v>403.78</v>
      </c>
      <c r="J260" s="615">
        <v>40</v>
      </c>
      <c r="K260" s="616">
        <v>16151.08</v>
      </c>
    </row>
    <row r="261" spans="1:11" ht="14.4" customHeight="1" x14ac:dyDescent="0.3">
      <c r="A261" s="611" t="s">
        <v>550</v>
      </c>
      <c r="B261" s="612" t="s">
        <v>551</v>
      </c>
      <c r="C261" s="613" t="s">
        <v>563</v>
      </c>
      <c r="D261" s="614" t="s">
        <v>1184</v>
      </c>
      <c r="E261" s="613" t="s">
        <v>1706</v>
      </c>
      <c r="F261" s="614" t="s">
        <v>1707</v>
      </c>
      <c r="G261" s="613" t="s">
        <v>1577</v>
      </c>
      <c r="H261" s="613" t="s">
        <v>1578</v>
      </c>
      <c r="I261" s="615">
        <v>59.29</v>
      </c>
      <c r="J261" s="615">
        <v>10</v>
      </c>
      <c r="K261" s="616">
        <v>592.9</v>
      </c>
    </row>
    <row r="262" spans="1:11" ht="14.4" customHeight="1" x14ac:dyDescent="0.3">
      <c r="A262" s="611" t="s">
        <v>550</v>
      </c>
      <c r="B262" s="612" t="s">
        <v>551</v>
      </c>
      <c r="C262" s="613" t="s">
        <v>563</v>
      </c>
      <c r="D262" s="614" t="s">
        <v>1184</v>
      </c>
      <c r="E262" s="613" t="s">
        <v>1706</v>
      </c>
      <c r="F262" s="614" t="s">
        <v>1707</v>
      </c>
      <c r="G262" s="613" t="s">
        <v>1340</v>
      </c>
      <c r="H262" s="613" t="s">
        <v>1341</v>
      </c>
      <c r="I262" s="615">
        <v>17.059999999999999</v>
      </c>
      <c r="J262" s="615">
        <v>20</v>
      </c>
      <c r="K262" s="616">
        <v>341.21000000000004</v>
      </c>
    </row>
    <row r="263" spans="1:11" ht="14.4" customHeight="1" x14ac:dyDescent="0.3">
      <c r="A263" s="611" t="s">
        <v>550</v>
      </c>
      <c r="B263" s="612" t="s">
        <v>551</v>
      </c>
      <c r="C263" s="613" t="s">
        <v>563</v>
      </c>
      <c r="D263" s="614" t="s">
        <v>1184</v>
      </c>
      <c r="E263" s="613" t="s">
        <v>1706</v>
      </c>
      <c r="F263" s="614" t="s">
        <v>1707</v>
      </c>
      <c r="G263" s="613" t="s">
        <v>1579</v>
      </c>
      <c r="H263" s="613" t="s">
        <v>1580</v>
      </c>
      <c r="I263" s="615">
        <v>168.345</v>
      </c>
      <c r="J263" s="615">
        <v>40</v>
      </c>
      <c r="K263" s="616">
        <v>6733.79</v>
      </c>
    </row>
    <row r="264" spans="1:11" ht="14.4" customHeight="1" x14ac:dyDescent="0.3">
      <c r="A264" s="611" t="s">
        <v>550</v>
      </c>
      <c r="B264" s="612" t="s">
        <v>551</v>
      </c>
      <c r="C264" s="613" t="s">
        <v>563</v>
      </c>
      <c r="D264" s="614" t="s">
        <v>1184</v>
      </c>
      <c r="E264" s="613" t="s">
        <v>1706</v>
      </c>
      <c r="F264" s="614" t="s">
        <v>1707</v>
      </c>
      <c r="G264" s="613" t="s">
        <v>1581</v>
      </c>
      <c r="H264" s="613" t="s">
        <v>1582</v>
      </c>
      <c r="I264" s="615">
        <v>495.97</v>
      </c>
      <c r="J264" s="615">
        <v>40</v>
      </c>
      <c r="K264" s="616">
        <v>19838.809999999998</v>
      </c>
    </row>
    <row r="265" spans="1:11" ht="14.4" customHeight="1" x14ac:dyDescent="0.3">
      <c r="A265" s="611" t="s">
        <v>550</v>
      </c>
      <c r="B265" s="612" t="s">
        <v>551</v>
      </c>
      <c r="C265" s="613" t="s">
        <v>563</v>
      </c>
      <c r="D265" s="614" t="s">
        <v>1184</v>
      </c>
      <c r="E265" s="613" t="s">
        <v>1706</v>
      </c>
      <c r="F265" s="614" t="s">
        <v>1707</v>
      </c>
      <c r="G265" s="613" t="s">
        <v>1583</v>
      </c>
      <c r="H265" s="613" t="s">
        <v>1584</v>
      </c>
      <c r="I265" s="615">
        <v>62.92</v>
      </c>
      <c r="J265" s="615">
        <v>10</v>
      </c>
      <c r="K265" s="616">
        <v>629.20000000000005</v>
      </c>
    </row>
    <row r="266" spans="1:11" ht="14.4" customHeight="1" x14ac:dyDescent="0.3">
      <c r="A266" s="611" t="s">
        <v>550</v>
      </c>
      <c r="B266" s="612" t="s">
        <v>551</v>
      </c>
      <c r="C266" s="613" t="s">
        <v>563</v>
      </c>
      <c r="D266" s="614" t="s">
        <v>1184</v>
      </c>
      <c r="E266" s="613" t="s">
        <v>1706</v>
      </c>
      <c r="F266" s="614" t="s">
        <v>1707</v>
      </c>
      <c r="G266" s="613" t="s">
        <v>1585</v>
      </c>
      <c r="H266" s="613" t="s">
        <v>1586</v>
      </c>
      <c r="I266" s="615">
        <v>39.93</v>
      </c>
      <c r="J266" s="615">
        <v>100</v>
      </c>
      <c r="K266" s="616">
        <v>3993</v>
      </c>
    </row>
    <row r="267" spans="1:11" ht="14.4" customHeight="1" x14ac:dyDescent="0.3">
      <c r="A267" s="611" t="s">
        <v>550</v>
      </c>
      <c r="B267" s="612" t="s">
        <v>551</v>
      </c>
      <c r="C267" s="613" t="s">
        <v>563</v>
      </c>
      <c r="D267" s="614" t="s">
        <v>1184</v>
      </c>
      <c r="E267" s="613" t="s">
        <v>1706</v>
      </c>
      <c r="F267" s="614" t="s">
        <v>1707</v>
      </c>
      <c r="G267" s="613" t="s">
        <v>1587</v>
      </c>
      <c r="H267" s="613" t="s">
        <v>1588</v>
      </c>
      <c r="I267" s="615">
        <v>431.87000000000006</v>
      </c>
      <c r="J267" s="615">
        <v>70</v>
      </c>
      <c r="K267" s="616">
        <v>30230.97</v>
      </c>
    </row>
    <row r="268" spans="1:11" ht="14.4" customHeight="1" x14ac:dyDescent="0.3">
      <c r="A268" s="611" t="s">
        <v>550</v>
      </c>
      <c r="B268" s="612" t="s">
        <v>551</v>
      </c>
      <c r="C268" s="613" t="s">
        <v>563</v>
      </c>
      <c r="D268" s="614" t="s">
        <v>1184</v>
      </c>
      <c r="E268" s="613" t="s">
        <v>1706</v>
      </c>
      <c r="F268" s="614" t="s">
        <v>1707</v>
      </c>
      <c r="G268" s="613" t="s">
        <v>1589</v>
      </c>
      <c r="H268" s="613" t="s">
        <v>1590</v>
      </c>
      <c r="I268" s="615">
        <v>302.5</v>
      </c>
      <c r="J268" s="615">
        <v>10</v>
      </c>
      <c r="K268" s="616">
        <v>3025</v>
      </c>
    </row>
    <row r="269" spans="1:11" ht="14.4" customHeight="1" x14ac:dyDescent="0.3">
      <c r="A269" s="611" t="s">
        <v>550</v>
      </c>
      <c r="B269" s="612" t="s">
        <v>551</v>
      </c>
      <c r="C269" s="613" t="s">
        <v>563</v>
      </c>
      <c r="D269" s="614" t="s">
        <v>1184</v>
      </c>
      <c r="E269" s="613" t="s">
        <v>1706</v>
      </c>
      <c r="F269" s="614" t="s">
        <v>1707</v>
      </c>
      <c r="G269" s="613" t="s">
        <v>1591</v>
      </c>
      <c r="H269" s="613" t="s">
        <v>1592</v>
      </c>
      <c r="I269" s="615">
        <v>183.62</v>
      </c>
      <c r="J269" s="615">
        <v>40</v>
      </c>
      <c r="K269" s="616">
        <v>6910.3099999999995</v>
      </c>
    </row>
    <row r="270" spans="1:11" ht="14.4" customHeight="1" x14ac:dyDescent="0.3">
      <c r="A270" s="611" t="s">
        <v>550</v>
      </c>
      <c r="B270" s="612" t="s">
        <v>551</v>
      </c>
      <c r="C270" s="613" t="s">
        <v>563</v>
      </c>
      <c r="D270" s="614" t="s">
        <v>1184</v>
      </c>
      <c r="E270" s="613" t="s">
        <v>1706</v>
      </c>
      <c r="F270" s="614" t="s">
        <v>1707</v>
      </c>
      <c r="G270" s="613" t="s">
        <v>1593</v>
      </c>
      <c r="H270" s="613" t="s">
        <v>1594</v>
      </c>
      <c r="I270" s="615">
        <v>2.0699999999999998</v>
      </c>
      <c r="J270" s="615">
        <v>1280</v>
      </c>
      <c r="K270" s="616">
        <v>2649.6</v>
      </c>
    </row>
    <row r="271" spans="1:11" ht="14.4" customHeight="1" x14ac:dyDescent="0.3">
      <c r="A271" s="611" t="s">
        <v>550</v>
      </c>
      <c r="B271" s="612" t="s">
        <v>551</v>
      </c>
      <c r="C271" s="613" t="s">
        <v>563</v>
      </c>
      <c r="D271" s="614" t="s">
        <v>1184</v>
      </c>
      <c r="E271" s="613" t="s">
        <v>1706</v>
      </c>
      <c r="F271" s="614" t="s">
        <v>1707</v>
      </c>
      <c r="G271" s="613" t="s">
        <v>1595</v>
      </c>
      <c r="H271" s="613" t="s">
        <v>1596</v>
      </c>
      <c r="I271" s="615">
        <v>117.13</v>
      </c>
      <c r="J271" s="615">
        <v>30</v>
      </c>
      <c r="K271" s="616">
        <v>3513.84</v>
      </c>
    </row>
    <row r="272" spans="1:11" ht="14.4" customHeight="1" x14ac:dyDescent="0.3">
      <c r="A272" s="611" t="s">
        <v>550</v>
      </c>
      <c r="B272" s="612" t="s">
        <v>551</v>
      </c>
      <c r="C272" s="613" t="s">
        <v>563</v>
      </c>
      <c r="D272" s="614" t="s">
        <v>1184</v>
      </c>
      <c r="E272" s="613" t="s">
        <v>1706</v>
      </c>
      <c r="F272" s="614" t="s">
        <v>1707</v>
      </c>
      <c r="G272" s="613" t="s">
        <v>1418</v>
      </c>
      <c r="H272" s="613" t="s">
        <v>1419</v>
      </c>
      <c r="I272" s="615">
        <v>5</v>
      </c>
      <c r="J272" s="615">
        <v>200</v>
      </c>
      <c r="K272" s="616">
        <v>1000.18</v>
      </c>
    </row>
    <row r="273" spans="1:11" ht="14.4" customHeight="1" x14ac:dyDescent="0.3">
      <c r="A273" s="611" t="s">
        <v>550</v>
      </c>
      <c r="B273" s="612" t="s">
        <v>551</v>
      </c>
      <c r="C273" s="613" t="s">
        <v>563</v>
      </c>
      <c r="D273" s="614" t="s">
        <v>1184</v>
      </c>
      <c r="E273" s="613" t="s">
        <v>1706</v>
      </c>
      <c r="F273" s="614" t="s">
        <v>1707</v>
      </c>
      <c r="G273" s="613" t="s">
        <v>1597</v>
      </c>
      <c r="H273" s="613" t="s">
        <v>1598</v>
      </c>
      <c r="I273" s="615">
        <v>193.6</v>
      </c>
      <c r="J273" s="615">
        <v>1</v>
      </c>
      <c r="K273" s="616">
        <v>193.6</v>
      </c>
    </row>
    <row r="274" spans="1:11" ht="14.4" customHeight="1" x14ac:dyDescent="0.3">
      <c r="A274" s="611" t="s">
        <v>550</v>
      </c>
      <c r="B274" s="612" t="s">
        <v>551</v>
      </c>
      <c r="C274" s="613" t="s">
        <v>563</v>
      </c>
      <c r="D274" s="614" t="s">
        <v>1184</v>
      </c>
      <c r="E274" s="613" t="s">
        <v>1706</v>
      </c>
      <c r="F274" s="614" t="s">
        <v>1707</v>
      </c>
      <c r="G274" s="613" t="s">
        <v>1420</v>
      </c>
      <c r="H274" s="613" t="s">
        <v>1421</v>
      </c>
      <c r="I274" s="615">
        <v>5.84</v>
      </c>
      <c r="J274" s="615">
        <v>150</v>
      </c>
      <c r="K274" s="616">
        <v>876.04</v>
      </c>
    </row>
    <row r="275" spans="1:11" ht="14.4" customHeight="1" x14ac:dyDescent="0.3">
      <c r="A275" s="611" t="s">
        <v>550</v>
      </c>
      <c r="B275" s="612" t="s">
        <v>551</v>
      </c>
      <c r="C275" s="613" t="s">
        <v>563</v>
      </c>
      <c r="D275" s="614" t="s">
        <v>1184</v>
      </c>
      <c r="E275" s="613" t="s">
        <v>1706</v>
      </c>
      <c r="F275" s="614" t="s">
        <v>1707</v>
      </c>
      <c r="G275" s="613" t="s">
        <v>1599</v>
      </c>
      <c r="H275" s="613" t="s">
        <v>1600</v>
      </c>
      <c r="I275" s="615">
        <v>2.0699999999999998</v>
      </c>
      <c r="J275" s="615">
        <v>1680</v>
      </c>
      <c r="K275" s="616">
        <v>3477.6</v>
      </c>
    </row>
    <row r="276" spans="1:11" ht="14.4" customHeight="1" x14ac:dyDescent="0.3">
      <c r="A276" s="611" t="s">
        <v>550</v>
      </c>
      <c r="B276" s="612" t="s">
        <v>551</v>
      </c>
      <c r="C276" s="613" t="s">
        <v>563</v>
      </c>
      <c r="D276" s="614" t="s">
        <v>1184</v>
      </c>
      <c r="E276" s="613" t="s">
        <v>1706</v>
      </c>
      <c r="F276" s="614" t="s">
        <v>1707</v>
      </c>
      <c r="G276" s="613" t="s">
        <v>1601</v>
      </c>
      <c r="H276" s="613" t="s">
        <v>1602</v>
      </c>
      <c r="I276" s="615">
        <v>2.0699999999999998</v>
      </c>
      <c r="J276" s="615">
        <v>280</v>
      </c>
      <c r="K276" s="616">
        <v>579.6</v>
      </c>
    </row>
    <row r="277" spans="1:11" ht="14.4" customHeight="1" x14ac:dyDescent="0.3">
      <c r="A277" s="611" t="s">
        <v>550</v>
      </c>
      <c r="B277" s="612" t="s">
        <v>551</v>
      </c>
      <c r="C277" s="613" t="s">
        <v>563</v>
      </c>
      <c r="D277" s="614" t="s">
        <v>1184</v>
      </c>
      <c r="E277" s="613" t="s">
        <v>1706</v>
      </c>
      <c r="F277" s="614" t="s">
        <v>1707</v>
      </c>
      <c r="G277" s="613" t="s">
        <v>1603</v>
      </c>
      <c r="H277" s="613" t="s">
        <v>1604</v>
      </c>
      <c r="I277" s="615">
        <v>204.49</v>
      </c>
      <c r="J277" s="615">
        <v>20</v>
      </c>
      <c r="K277" s="616">
        <v>4089.8</v>
      </c>
    </row>
    <row r="278" spans="1:11" ht="14.4" customHeight="1" x14ac:dyDescent="0.3">
      <c r="A278" s="611" t="s">
        <v>550</v>
      </c>
      <c r="B278" s="612" t="s">
        <v>551</v>
      </c>
      <c r="C278" s="613" t="s">
        <v>563</v>
      </c>
      <c r="D278" s="614" t="s">
        <v>1184</v>
      </c>
      <c r="E278" s="613" t="s">
        <v>1706</v>
      </c>
      <c r="F278" s="614" t="s">
        <v>1707</v>
      </c>
      <c r="G278" s="613" t="s">
        <v>1346</v>
      </c>
      <c r="H278" s="613" t="s">
        <v>1347</v>
      </c>
      <c r="I278" s="615">
        <v>105.94</v>
      </c>
      <c r="J278" s="615">
        <v>11</v>
      </c>
      <c r="K278" s="616">
        <v>1165.3399999999999</v>
      </c>
    </row>
    <row r="279" spans="1:11" ht="14.4" customHeight="1" x14ac:dyDescent="0.3">
      <c r="A279" s="611" t="s">
        <v>550</v>
      </c>
      <c r="B279" s="612" t="s">
        <v>551</v>
      </c>
      <c r="C279" s="613" t="s">
        <v>563</v>
      </c>
      <c r="D279" s="614" t="s">
        <v>1184</v>
      </c>
      <c r="E279" s="613" t="s">
        <v>1706</v>
      </c>
      <c r="F279" s="614" t="s">
        <v>1707</v>
      </c>
      <c r="G279" s="613" t="s">
        <v>1605</v>
      </c>
      <c r="H279" s="613" t="s">
        <v>1606</v>
      </c>
      <c r="I279" s="615">
        <v>431.87</v>
      </c>
      <c r="J279" s="615">
        <v>30</v>
      </c>
      <c r="K279" s="616">
        <v>12956.130000000001</v>
      </c>
    </row>
    <row r="280" spans="1:11" ht="14.4" customHeight="1" x14ac:dyDescent="0.3">
      <c r="A280" s="611" t="s">
        <v>550</v>
      </c>
      <c r="B280" s="612" t="s">
        <v>551</v>
      </c>
      <c r="C280" s="613" t="s">
        <v>563</v>
      </c>
      <c r="D280" s="614" t="s">
        <v>1184</v>
      </c>
      <c r="E280" s="613" t="s">
        <v>1706</v>
      </c>
      <c r="F280" s="614" t="s">
        <v>1707</v>
      </c>
      <c r="G280" s="613" t="s">
        <v>1607</v>
      </c>
      <c r="H280" s="613" t="s">
        <v>1608</v>
      </c>
      <c r="I280" s="615">
        <v>27.83</v>
      </c>
      <c r="J280" s="615">
        <v>10</v>
      </c>
      <c r="K280" s="616">
        <v>278.3</v>
      </c>
    </row>
    <row r="281" spans="1:11" ht="14.4" customHeight="1" x14ac:dyDescent="0.3">
      <c r="A281" s="611" t="s">
        <v>550</v>
      </c>
      <c r="B281" s="612" t="s">
        <v>551</v>
      </c>
      <c r="C281" s="613" t="s">
        <v>563</v>
      </c>
      <c r="D281" s="614" t="s">
        <v>1184</v>
      </c>
      <c r="E281" s="613" t="s">
        <v>1706</v>
      </c>
      <c r="F281" s="614" t="s">
        <v>1707</v>
      </c>
      <c r="G281" s="613" t="s">
        <v>1609</v>
      </c>
      <c r="H281" s="613" t="s">
        <v>1610</v>
      </c>
      <c r="I281" s="615">
        <v>12.053333333333333</v>
      </c>
      <c r="J281" s="615">
        <v>600</v>
      </c>
      <c r="K281" s="616">
        <v>7232.6</v>
      </c>
    </row>
    <row r="282" spans="1:11" ht="14.4" customHeight="1" x14ac:dyDescent="0.3">
      <c r="A282" s="611" t="s">
        <v>550</v>
      </c>
      <c r="B282" s="612" t="s">
        <v>551</v>
      </c>
      <c r="C282" s="613" t="s">
        <v>563</v>
      </c>
      <c r="D282" s="614" t="s">
        <v>1184</v>
      </c>
      <c r="E282" s="613" t="s">
        <v>1706</v>
      </c>
      <c r="F282" s="614" t="s">
        <v>1707</v>
      </c>
      <c r="G282" s="613" t="s">
        <v>1611</v>
      </c>
      <c r="H282" s="613" t="s">
        <v>1612</v>
      </c>
      <c r="I282" s="615">
        <v>66.209999999999994</v>
      </c>
      <c r="J282" s="615">
        <v>135</v>
      </c>
      <c r="K282" s="616">
        <v>8938.3499999999985</v>
      </c>
    </row>
    <row r="283" spans="1:11" ht="14.4" customHeight="1" x14ac:dyDescent="0.3">
      <c r="A283" s="611" t="s">
        <v>550</v>
      </c>
      <c r="B283" s="612" t="s">
        <v>551</v>
      </c>
      <c r="C283" s="613" t="s">
        <v>563</v>
      </c>
      <c r="D283" s="614" t="s">
        <v>1184</v>
      </c>
      <c r="E283" s="613" t="s">
        <v>1706</v>
      </c>
      <c r="F283" s="614" t="s">
        <v>1707</v>
      </c>
      <c r="G283" s="613" t="s">
        <v>1426</v>
      </c>
      <c r="H283" s="613" t="s">
        <v>1427</v>
      </c>
      <c r="I283" s="615">
        <v>20.29</v>
      </c>
      <c r="J283" s="615">
        <v>384</v>
      </c>
      <c r="K283" s="616">
        <v>7791.98</v>
      </c>
    </row>
    <row r="284" spans="1:11" ht="14.4" customHeight="1" x14ac:dyDescent="0.3">
      <c r="A284" s="611" t="s">
        <v>550</v>
      </c>
      <c r="B284" s="612" t="s">
        <v>551</v>
      </c>
      <c r="C284" s="613" t="s">
        <v>563</v>
      </c>
      <c r="D284" s="614" t="s">
        <v>1184</v>
      </c>
      <c r="E284" s="613" t="s">
        <v>1706</v>
      </c>
      <c r="F284" s="614" t="s">
        <v>1707</v>
      </c>
      <c r="G284" s="613" t="s">
        <v>1613</v>
      </c>
      <c r="H284" s="613" t="s">
        <v>1614</v>
      </c>
      <c r="I284" s="615">
        <v>27.83</v>
      </c>
      <c r="J284" s="615">
        <v>10</v>
      </c>
      <c r="K284" s="616">
        <v>278.3</v>
      </c>
    </row>
    <row r="285" spans="1:11" ht="14.4" customHeight="1" x14ac:dyDescent="0.3">
      <c r="A285" s="611" t="s">
        <v>550</v>
      </c>
      <c r="B285" s="612" t="s">
        <v>551</v>
      </c>
      <c r="C285" s="613" t="s">
        <v>563</v>
      </c>
      <c r="D285" s="614" t="s">
        <v>1184</v>
      </c>
      <c r="E285" s="613" t="s">
        <v>1706</v>
      </c>
      <c r="F285" s="614" t="s">
        <v>1707</v>
      </c>
      <c r="G285" s="613" t="s">
        <v>1613</v>
      </c>
      <c r="H285" s="613" t="s">
        <v>1615</v>
      </c>
      <c r="I285" s="615">
        <v>27.83</v>
      </c>
      <c r="J285" s="615">
        <v>20</v>
      </c>
      <c r="K285" s="616">
        <v>556.6</v>
      </c>
    </row>
    <row r="286" spans="1:11" ht="14.4" customHeight="1" x14ac:dyDescent="0.3">
      <c r="A286" s="611" t="s">
        <v>550</v>
      </c>
      <c r="B286" s="612" t="s">
        <v>551</v>
      </c>
      <c r="C286" s="613" t="s">
        <v>563</v>
      </c>
      <c r="D286" s="614" t="s">
        <v>1184</v>
      </c>
      <c r="E286" s="613" t="s">
        <v>1706</v>
      </c>
      <c r="F286" s="614" t="s">
        <v>1707</v>
      </c>
      <c r="G286" s="613" t="s">
        <v>1616</v>
      </c>
      <c r="H286" s="613" t="s">
        <v>1617</v>
      </c>
      <c r="I286" s="615">
        <v>27.83</v>
      </c>
      <c r="J286" s="615">
        <v>20</v>
      </c>
      <c r="K286" s="616">
        <v>556.6</v>
      </c>
    </row>
    <row r="287" spans="1:11" ht="14.4" customHeight="1" x14ac:dyDescent="0.3">
      <c r="A287" s="611" t="s">
        <v>550</v>
      </c>
      <c r="B287" s="612" t="s">
        <v>551</v>
      </c>
      <c r="C287" s="613" t="s">
        <v>563</v>
      </c>
      <c r="D287" s="614" t="s">
        <v>1184</v>
      </c>
      <c r="E287" s="613" t="s">
        <v>1706</v>
      </c>
      <c r="F287" s="614" t="s">
        <v>1707</v>
      </c>
      <c r="G287" s="613" t="s">
        <v>1616</v>
      </c>
      <c r="H287" s="613" t="s">
        <v>1618</v>
      </c>
      <c r="I287" s="615">
        <v>27.83</v>
      </c>
      <c r="J287" s="615">
        <v>20</v>
      </c>
      <c r="K287" s="616">
        <v>556.6</v>
      </c>
    </row>
    <row r="288" spans="1:11" ht="14.4" customHeight="1" x14ac:dyDescent="0.3">
      <c r="A288" s="611" t="s">
        <v>550</v>
      </c>
      <c r="B288" s="612" t="s">
        <v>551</v>
      </c>
      <c r="C288" s="613" t="s">
        <v>563</v>
      </c>
      <c r="D288" s="614" t="s">
        <v>1184</v>
      </c>
      <c r="E288" s="613" t="s">
        <v>1706</v>
      </c>
      <c r="F288" s="614" t="s">
        <v>1707</v>
      </c>
      <c r="G288" s="613" t="s">
        <v>1432</v>
      </c>
      <c r="H288" s="613" t="s">
        <v>1433</v>
      </c>
      <c r="I288" s="615">
        <v>18.399999999999999</v>
      </c>
      <c r="J288" s="615">
        <v>350</v>
      </c>
      <c r="K288" s="616">
        <v>6441.4</v>
      </c>
    </row>
    <row r="289" spans="1:11" ht="14.4" customHeight="1" x14ac:dyDescent="0.3">
      <c r="A289" s="611" t="s">
        <v>550</v>
      </c>
      <c r="B289" s="612" t="s">
        <v>551</v>
      </c>
      <c r="C289" s="613" t="s">
        <v>563</v>
      </c>
      <c r="D289" s="614" t="s">
        <v>1184</v>
      </c>
      <c r="E289" s="613" t="s">
        <v>1706</v>
      </c>
      <c r="F289" s="614" t="s">
        <v>1707</v>
      </c>
      <c r="G289" s="613" t="s">
        <v>1619</v>
      </c>
      <c r="H289" s="613" t="s">
        <v>1620</v>
      </c>
      <c r="I289" s="615">
        <v>378.73</v>
      </c>
      <c r="J289" s="615">
        <v>10</v>
      </c>
      <c r="K289" s="616">
        <v>3787.3</v>
      </c>
    </row>
    <row r="290" spans="1:11" ht="14.4" customHeight="1" x14ac:dyDescent="0.3">
      <c r="A290" s="611" t="s">
        <v>550</v>
      </c>
      <c r="B290" s="612" t="s">
        <v>551</v>
      </c>
      <c r="C290" s="613" t="s">
        <v>563</v>
      </c>
      <c r="D290" s="614" t="s">
        <v>1184</v>
      </c>
      <c r="E290" s="613" t="s">
        <v>1706</v>
      </c>
      <c r="F290" s="614" t="s">
        <v>1707</v>
      </c>
      <c r="G290" s="613" t="s">
        <v>1621</v>
      </c>
      <c r="H290" s="613" t="s">
        <v>1622</v>
      </c>
      <c r="I290" s="615">
        <v>211.75</v>
      </c>
      <c r="J290" s="615">
        <v>72</v>
      </c>
      <c r="K290" s="616">
        <v>15246</v>
      </c>
    </row>
    <row r="291" spans="1:11" ht="14.4" customHeight="1" x14ac:dyDescent="0.3">
      <c r="A291" s="611" t="s">
        <v>550</v>
      </c>
      <c r="B291" s="612" t="s">
        <v>551</v>
      </c>
      <c r="C291" s="613" t="s">
        <v>563</v>
      </c>
      <c r="D291" s="614" t="s">
        <v>1184</v>
      </c>
      <c r="E291" s="613" t="s">
        <v>1706</v>
      </c>
      <c r="F291" s="614" t="s">
        <v>1707</v>
      </c>
      <c r="G291" s="613" t="s">
        <v>1623</v>
      </c>
      <c r="H291" s="613" t="s">
        <v>1624</v>
      </c>
      <c r="I291" s="615">
        <v>21.78</v>
      </c>
      <c r="J291" s="615">
        <v>10</v>
      </c>
      <c r="K291" s="616">
        <v>217.85</v>
      </c>
    </row>
    <row r="292" spans="1:11" ht="14.4" customHeight="1" x14ac:dyDescent="0.3">
      <c r="A292" s="611" t="s">
        <v>550</v>
      </c>
      <c r="B292" s="612" t="s">
        <v>551</v>
      </c>
      <c r="C292" s="613" t="s">
        <v>563</v>
      </c>
      <c r="D292" s="614" t="s">
        <v>1184</v>
      </c>
      <c r="E292" s="613" t="s">
        <v>1706</v>
      </c>
      <c r="F292" s="614" t="s">
        <v>1707</v>
      </c>
      <c r="G292" s="613" t="s">
        <v>1625</v>
      </c>
      <c r="H292" s="613" t="s">
        <v>1626</v>
      </c>
      <c r="I292" s="615">
        <v>229.9</v>
      </c>
      <c r="J292" s="615">
        <v>10</v>
      </c>
      <c r="K292" s="616">
        <v>2299</v>
      </c>
    </row>
    <row r="293" spans="1:11" ht="14.4" customHeight="1" x14ac:dyDescent="0.3">
      <c r="A293" s="611" t="s">
        <v>550</v>
      </c>
      <c r="B293" s="612" t="s">
        <v>551</v>
      </c>
      <c r="C293" s="613" t="s">
        <v>563</v>
      </c>
      <c r="D293" s="614" t="s">
        <v>1184</v>
      </c>
      <c r="E293" s="613" t="s">
        <v>1706</v>
      </c>
      <c r="F293" s="614" t="s">
        <v>1707</v>
      </c>
      <c r="G293" s="613" t="s">
        <v>1627</v>
      </c>
      <c r="H293" s="613" t="s">
        <v>1628</v>
      </c>
      <c r="I293" s="615">
        <v>442.26</v>
      </c>
      <c r="J293" s="615">
        <v>3</v>
      </c>
      <c r="K293" s="616">
        <v>1326.77</v>
      </c>
    </row>
    <row r="294" spans="1:11" ht="14.4" customHeight="1" x14ac:dyDescent="0.3">
      <c r="A294" s="611" t="s">
        <v>550</v>
      </c>
      <c r="B294" s="612" t="s">
        <v>551</v>
      </c>
      <c r="C294" s="613" t="s">
        <v>563</v>
      </c>
      <c r="D294" s="614" t="s">
        <v>1184</v>
      </c>
      <c r="E294" s="613" t="s">
        <v>1706</v>
      </c>
      <c r="F294" s="614" t="s">
        <v>1707</v>
      </c>
      <c r="G294" s="613" t="s">
        <v>1629</v>
      </c>
      <c r="H294" s="613" t="s">
        <v>1630</v>
      </c>
      <c r="I294" s="615">
        <v>2585.5</v>
      </c>
      <c r="J294" s="615">
        <v>1</v>
      </c>
      <c r="K294" s="616">
        <v>2585.5</v>
      </c>
    </row>
    <row r="295" spans="1:11" ht="14.4" customHeight="1" x14ac:dyDescent="0.3">
      <c r="A295" s="611" t="s">
        <v>550</v>
      </c>
      <c r="B295" s="612" t="s">
        <v>551</v>
      </c>
      <c r="C295" s="613" t="s">
        <v>563</v>
      </c>
      <c r="D295" s="614" t="s">
        <v>1184</v>
      </c>
      <c r="E295" s="613" t="s">
        <v>1706</v>
      </c>
      <c r="F295" s="614" t="s">
        <v>1707</v>
      </c>
      <c r="G295" s="613" t="s">
        <v>1350</v>
      </c>
      <c r="H295" s="613" t="s">
        <v>1351</v>
      </c>
      <c r="I295" s="615">
        <v>350.9</v>
      </c>
      <c r="J295" s="615">
        <v>10</v>
      </c>
      <c r="K295" s="616">
        <v>3509</v>
      </c>
    </row>
    <row r="296" spans="1:11" ht="14.4" customHeight="1" x14ac:dyDescent="0.3">
      <c r="A296" s="611" t="s">
        <v>550</v>
      </c>
      <c r="B296" s="612" t="s">
        <v>551</v>
      </c>
      <c r="C296" s="613" t="s">
        <v>563</v>
      </c>
      <c r="D296" s="614" t="s">
        <v>1184</v>
      </c>
      <c r="E296" s="613" t="s">
        <v>1706</v>
      </c>
      <c r="F296" s="614" t="s">
        <v>1707</v>
      </c>
      <c r="G296" s="613" t="s">
        <v>1631</v>
      </c>
      <c r="H296" s="613" t="s">
        <v>1632</v>
      </c>
      <c r="I296" s="615">
        <v>32.19</v>
      </c>
      <c r="J296" s="615">
        <v>50</v>
      </c>
      <c r="K296" s="616">
        <v>1609.3</v>
      </c>
    </row>
    <row r="297" spans="1:11" ht="14.4" customHeight="1" x14ac:dyDescent="0.3">
      <c r="A297" s="611" t="s">
        <v>550</v>
      </c>
      <c r="B297" s="612" t="s">
        <v>551</v>
      </c>
      <c r="C297" s="613" t="s">
        <v>563</v>
      </c>
      <c r="D297" s="614" t="s">
        <v>1184</v>
      </c>
      <c r="E297" s="613" t="s">
        <v>1706</v>
      </c>
      <c r="F297" s="614" t="s">
        <v>1707</v>
      </c>
      <c r="G297" s="613" t="s">
        <v>1633</v>
      </c>
      <c r="H297" s="613" t="s">
        <v>1634</v>
      </c>
      <c r="I297" s="615">
        <v>83.49</v>
      </c>
      <c r="J297" s="615">
        <v>40</v>
      </c>
      <c r="K297" s="616">
        <v>3339.6</v>
      </c>
    </row>
    <row r="298" spans="1:11" ht="14.4" customHeight="1" x14ac:dyDescent="0.3">
      <c r="A298" s="611" t="s">
        <v>550</v>
      </c>
      <c r="B298" s="612" t="s">
        <v>551</v>
      </c>
      <c r="C298" s="613" t="s">
        <v>563</v>
      </c>
      <c r="D298" s="614" t="s">
        <v>1184</v>
      </c>
      <c r="E298" s="613" t="s">
        <v>1706</v>
      </c>
      <c r="F298" s="614" t="s">
        <v>1707</v>
      </c>
      <c r="G298" s="613" t="s">
        <v>1635</v>
      </c>
      <c r="H298" s="613" t="s">
        <v>1636</v>
      </c>
      <c r="I298" s="615">
        <v>204.49</v>
      </c>
      <c r="J298" s="615">
        <v>10</v>
      </c>
      <c r="K298" s="616">
        <v>2044.9</v>
      </c>
    </row>
    <row r="299" spans="1:11" ht="14.4" customHeight="1" x14ac:dyDescent="0.3">
      <c r="A299" s="611" t="s">
        <v>550</v>
      </c>
      <c r="B299" s="612" t="s">
        <v>551</v>
      </c>
      <c r="C299" s="613" t="s">
        <v>563</v>
      </c>
      <c r="D299" s="614" t="s">
        <v>1184</v>
      </c>
      <c r="E299" s="613" t="s">
        <v>1706</v>
      </c>
      <c r="F299" s="614" t="s">
        <v>1707</v>
      </c>
      <c r="G299" s="613" t="s">
        <v>1637</v>
      </c>
      <c r="H299" s="613" t="s">
        <v>1638</v>
      </c>
      <c r="I299" s="615">
        <v>1249.6600000000001</v>
      </c>
      <c r="J299" s="615">
        <v>12</v>
      </c>
      <c r="K299" s="616">
        <v>14995.97</v>
      </c>
    </row>
    <row r="300" spans="1:11" ht="14.4" customHeight="1" x14ac:dyDescent="0.3">
      <c r="A300" s="611" t="s">
        <v>550</v>
      </c>
      <c r="B300" s="612" t="s">
        <v>551</v>
      </c>
      <c r="C300" s="613" t="s">
        <v>563</v>
      </c>
      <c r="D300" s="614" t="s">
        <v>1184</v>
      </c>
      <c r="E300" s="613" t="s">
        <v>1706</v>
      </c>
      <c r="F300" s="614" t="s">
        <v>1707</v>
      </c>
      <c r="G300" s="613" t="s">
        <v>1639</v>
      </c>
      <c r="H300" s="613" t="s">
        <v>1640</v>
      </c>
      <c r="I300" s="615">
        <v>268.33</v>
      </c>
      <c r="J300" s="615">
        <v>10</v>
      </c>
      <c r="K300" s="616">
        <v>2683.3</v>
      </c>
    </row>
    <row r="301" spans="1:11" ht="14.4" customHeight="1" x14ac:dyDescent="0.3">
      <c r="A301" s="611" t="s">
        <v>550</v>
      </c>
      <c r="B301" s="612" t="s">
        <v>551</v>
      </c>
      <c r="C301" s="613" t="s">
        <v>563</v>
      </c>
      <c r="D301" s="614" t="s">
        <v>1184</v>
      </c>
      <c r="E301" s="613" t="s">
        <v>1706</v>
      </c>
      <c r="F301" s="614" t="s">
        <v>1707</v>
      </c>
      <c r="G301" s="613" t="s">
        <v>1641</v>
      </c>
      <c r="H301" s="613" t="s">
        <v>1642</v>
      </c>
      <c r="I301" s="615">
        <v>14.31</v>
      </c>
      <c r="J301" s="615">
        <v>10</v>
      </c>
      <c r="K301" s="616">
        <v>143.06</v>
      </c>
    </row>
    <row r="302" spans="1:11" ht="14.4" customHeight="1" x14ac:dyDescent="0.3">
      <c r="A302" s="611" t="s">
        <v>550</v>
      </c>
      <c r="B302" s="612" t="s">
        <v>551</v>
      </c>
      <c r="C302" s="613" t="s">
        <v>563</v>
      </c>
      <c r="D302" s="614" t="s">
        <v>1184</v>
      </c>
      <c r="E302" s="613" t="s">
        <v>1706</v>
      </c>
      <c r="F302" s="614" t="s">
        <v>1707</v>
      </c>
      <c r="G302" s="613" t="s">
        <v>1643</v>
      </c>
      <c r="H302" s="613" t="s">
        <v>1644</v>
      </c>
      <c r="I302" s="615">
        <v>229.9</v>
      </c>
      <c r="J302" s="615">
        <v>10</v>
      </c>
      <c r="K302" s="616">
        <v>2299</v>
      </c>
    </row>
    <row r="303" spans="1:11" ht="14.4" customHeight="1" x14ac:dyDescent="0.3">
      <c r="A303" s="611" t="s">
        <v>550</v>
      </c>
      <c r="B303" s="612" t="s">
        <v>551</v>
      </c>
      <c r="C303" s="613" t="s">
        <v>563</v>
      </c>
      <c r="D303" s="614" t="s">
        <v>1184</v>
      </c>
      <c r="E303" s="613" t="s">
        <v>1706</v>
      </c>
      <c r="F303" s="614" t="s">
        <v>1707</v>
      </c>
      <c r="G303" s="613" t="s">
        <v>1444</v>
      </c>
      <c r="H303" s="613" t="s">
        <v>1445</v>
      </c>
      <c r="I303" s="615">
        <v>97.89</v>
      </c>
      <c r="J303" s="615">
        <v>20</v>
      </c>
      <c r="K303" s="616">
        <v>1957.8</v>
      </c>
    </row>
    <row r="304" spans="1:11" ht="14.4" customHeight="1" x14ac:dyDescent="0.3">
      <c r="A304" s="611" t="s">
        <v>550</v>
      </c>
      <c r="B304" s="612" t="s">
        <v>551</v>
      </c>
      <c r="C304" s="613" t="s">
        <v>563</v>
      </c>
      <c r="D304" s="614" t="s">
        <v>1184</v>
      </c>
      <c r="E304" s="613" t="s">
        <v>1706</v>
      </c>
      <c r="F304" s="614" t="s">
        <v>1707</v>
      </c>
      <c r="G304" s="613" t="s">
        <v>1645</v>
      </c>
      <c r="H304" s="613" t="s">
        <v>1646</v>
      </c>
      <c r="I304" s="615">
        <v>373.6466666666667</v>
      </c>
      <c r="J304" s="615">
        <v>8</v>
      </c>
      <c r="K304" s="616">
        <v>2989.18</v>
      </c>
    </row>
    <row r="305" spans="1:11" ht="14.4" customHeight="1" x14ac:dyDescent="0.3">
      <c r="A305" s="611" t="s">
        <v>550</v>
      </c>
      <c r="B305" s="612" t="s">
        <v>551</v>
      </c>
      <c r="C305" s="613" t="s">
        <v>563</v>
      </c>
      <c r="D305" s="614" t="s">
        <v>1184</v>
      </c>
      <c r="E305" s="613" t="s">
        <v>1706</v>
      </c>
      <c r="F305" s="614" t="s">
        <v>1707</v>
      </c>
      <c r="G305" s="613" t="s">
        <v>1647</v>
      </c>
      <c r="H305" s="613" t="s">
        <v>1648</v>
      </c>
      <c r="I305" s="615">
        <v>134.86000000000001</v>
      </c>
      <c r="J305" s="615">
        <v>10</v>
      </c>
      <c r="K305" s="616">
        <v>1348.61</v>
      </c>
    </row>
    <row r="306" spans="1:11" ht="14.4" customHeight="1" x14ac:dyDescent="0.3">
      <c r="A306" s="611" t="s">
        <v>550</v>
      </c>
      <c r="B306" s="612" t="s">
        <v>551</v>
      </c>
      <c r="C306" s="613" t="s">
        <v>563</v>
      </c>
      <c r="D306" s="614" t="s">
        <v>1184</v>
      </c>
      <c r="E306" s="613" t="s">
        <v>1706</v>
      </c>
      <c r="F306" s="614" t="s">
        <v>1707</v>
      </c>
      <c r="G306" s="613" t="s">
        <v>1649</v>
      </c>
      <c r="H306" s="613" t="s">
        <v>1650</v>
      </c>
      <c r="I306" s="615">
        <v>254.1</v>
      </c>
      <c r="J306" s="615">
        <v>30</v>
      </c>
      <c r="K306" s="616">
        <v>7623</v>
      </c>
    </row>
    <row r="307" spans="1:11" ht="14.4" customHeight="1" x14ac:dyDescent="0.3">
      <c r="A307" s="611" t="s">
        <v>550</v>
      </c>
      <c r="B307" s="612" t="s">
        <v>551</v>
      </c>
      <c r="C307" s="613" t="s">
        <v>563</v>
      </c>
      <c r="D307" s="614" t="s">
        <v>1184</v>
      </c>
      <c r="E307" s="613" t="s">
        <v>1706</v>
      </c>
      <c r="F307" s="614" t="s">
        <v>1707</v>
      </c>
      <c r="G307" s="613" t="s">
        <v>1651</v>
      </c>
      <c r="H307" s="613" t="s">
        <v>1652</v>
      </c>
      <c r="I307" s="615">
        <v>181.5</v>
      </c>
      <c r="J307" s="615">
        <v>20</v>
      </c>
      <c r="K307" s="616">
        <v>3630</v>
      </c>
    </row>
    <row r="308" spans="1:11" ht="14.4" customHeight="1" x14ac:dyDescent="0.3">
      <c r="A308" s="611" t="s">
        <v>550</v>
      </c>
      <c r="B308" s="612" t="s">
        <v>551</v>
      </c>
      <c r="C308" s="613" t="s">
        <v>563</v>
      </c>
      <c r="D308" s="614" t="s">
        <v>1184</v>
      </c>
      <c r="E308" s="613" t="s">
        <v>1716</v>
      </c>
      <c r="F308" s="614" t="s">
        <v>1717</v>
      </c>
      <c r="G308" s="613" t="s">
        <v>1653</v>
      </c>
      <c r="H308" s="613" t="s">
        <v>1654</v>
      </c>
      <c r="I308" s="615">
        <v>24.2</v>
      </c>
      <c r="J308" s="615">
        <v>54</v>
      </c>
      <c r="K308" s="616">
        <v>1306.8</v>
      </c>
    </row>
    <row r="309" spans="1:11" ht="14.4" customHeight="1" x14ac:dyDescent="0.3">
      <c r="A309" s="611" t="s">
        <v>550</v>
      </c>
      <c r="B309" s="612" t="s">
        <v>551</v>
      </c>
      <c r="C309" s="613" t="s">
        <v>563</v>
      </c>
      <c r="D309" s="614" t="s">
        <v>1184</v>
      </c>
      <c r="E309" s="613" t="s">
        <v>1716</v>
      </c>
      <c r="F309" s="614" t="s">
        <v>1717</v>
      </c>
      <c r="G309" s="613" t="s">
        <v>1655</v>
      </c>
      <c r="H309" s="613" t="s">
        <v>1656</v>
      </c>
      <c r="I309" s="615">
        <v>4.5866666666666669</v>
      </c>
      <c r="J309" s="615">
        <v>300</v>
      </c>
      <c r="K309" s="616">
        <v>1375.17</v>
      </c>
    </row>
    <row r="310" spans="1:11" ht="14.4" customHeight="1" x14ac:dyDescent="0.3">
      <c r="A310" s="611" t="s">
        <v>550</v>
      </c>
      <c r="B310" s="612" t="s">
        <v>551</v>
      </c>
      <c r="C310" s="613" t="s">
        <v>563</v>
      </c>
      <c r="D310" s="614" t="s">
        <v>1184</v>
      </c>
      <c r="E310" s="613" t="s">
        <v>1718</v>
      </c>
      <c r="F310" s="614" t="s">
        <v>1719</v>
      </c>
      <c r="G310" s="613" t="s">
        <v>1657</v>
      </c>
      <c r="H310" s="613" t="s">
        <v>1658</v>
      </c>
      <c r="I310" s="615">
        <v>123.75</v>
      </c>
      <c r="J310" s="615">
        <v>4</v>
      </c>
      <c r="K310" s="616">
        <v>495</v>
      </c>
    </row>
    <row r="311" spans="1:11" ht="14.4" customHeight="1" x14ac:dyDescent="0.3">
      <c r="A311" s="611" t="s">
        <v>550</v>
      </c>
      <c r="B311" s="612" t="s">
        <v>551</v>
      </c>
      <c r="C311" s="613" t="s">
        <v>563</v>
      </c>
      <c r="D311" s="614" t="s">
        <v>1184</v>
      </c>
      <c r="E311" s="613" t="s">
        <v>1720</v>
      </c>
      <c r="F311" s="614" t="s">
        <v>1721</v>
      </c>
      <c r="G311" s="613" t="s">
        <v>1659</v>
      </c>
      <c r="H311" s="613" t="s">
        <v>1660</v>
      </c>
      <c r="I311" s="615">
        <v>629.20000000000005</v>
      </c>
      <c r="J311" s="615">
        <v>20</v>
      </c>
      <c r="K311" s="616">
        <v>12584</v>
      </c>
    </row>
    <row r="312" spans="1:11" ht="14.4" customHeight="1" x14ac:dyDescent="0.3">
      <c r="A312" s="611" t="s">
        <v>550</v>
      </c>
      <c r="B312" s="612" t="s">
        <v>551</v>
      </c>
      <c r="C312" s="613" t="s">
        <v>563</v>
      </c>
      <c r="D312" s="614" t="s">
        <v>1184</v>
      </c>
      <c r="E312" s="613" t="s">
        <v>1720</v>
      </c>
      <c r="F312" s="614" t="s">
        <v>1721</v>
      </c>
      <c r="G312" s="613" t="s">
        <v>1661</v>
      </c>
      <c r="H312" s="613" t="s">
        <v>1662</v>
      </c>
      <c r="I312" s="615">
        <v>899.64</v>
      </c>
      <c r="J312" s="615">
        <v>30</v>
      </c>
      <c r="K312" s="616">
        <v>26989.06</v>
      </c>
    </row>
    <row r="313" spans="1:11" ht="14.4" customHeight="1" x14ac:dyDescent="0.3">
      <c r="A313" s="611" t="s">
        <v>550</v>
      </c>
      <c r="B313" s="612" t="s">
        <v>551</v>
      </c>
      <c r="C313" s="613" t="s">
        <v>563</v>
      </c>
      <c r="D313" s="614" t="s">
        <v>1184</v>
      </c>
      <c r="E313" s="613" t="s">
        <v>1720</v>
      </c>
      <c r="F313" s="614" t="s">
        <v>1721</v>
      </c>
      <c r="G313" s="613" t="s">
        <v>1663</v>
      </c>
      <c r="H313" s="613" t="s">
        <v>1664</v>
      </c>
      <c r="I313" s="615">
        <v>411.4</v>
      </c>
      <c r="J313" s="615">
        <v>50</v>
      </c>
      <c r="K313" s="616">
        <v>20570</v>
      </c>
    </row>
    <row r="314" spans="1:11" ht="14.4" customHeight="1" x14ac:dyDescent="0.3">
      <c r="A314" s="611" t="s">
        <v>550</v>
      </c>
      <c r="B314" s="612" t="s">
        <v>551</v>
      </c>
      <c r="C314" s="613" t="s">
        <v>563</v>
      </c>
      <c r="D314" s="614" t="s">
        <v>1184</v>
      </c>
      <c r="E314" s="613" t="s">
        <v>1720</v>
      </c>
      <c r="F314" s="614" t="s">
        <v>1721</v>
      </c>
      <c r="G314" s="613" t="s">
        <v>1665</v>
      </c>
      <c r="H314" s="613" t="s">
        <v>1666</v>
      </c>
      <c r="I314" s="615">
        <v>411.4</v>
      </c>
      <c r="J314" s="615">
        <v>10</v>
      </c>
      <c r="K314" s="616">
        <v>4114</v>
      </c>
    </row>
    <row r="315" spans="1:11" ht="14.4" customHeight="1" x14ac:dyDescent="0.3">
      <c r="A315" s="611" t="s">
        <v>550</v>
      </c>
      <c r="B315" s="612" t="s">
        <v>551</v>
      </c>
      <c r="C315" s="613" t="s">
        <v>563</v>
      </c>
      <c r="D315" s="614" t="s">
        <v>1184</v>
      </c>
      <c r="E315" s="613" t="s">
        <v>1714</v>
      </c>
      <c r="F315" s="614" t="s">
        <v>1715</v>
      </c>
      <c r="G315" s="613" t="s">
        <v>1667</v>
      </c>
      <c r="H315" s="613" t="s">
        <v>1668</v>
      </c>
      <c r="I315" s="615">
        <v>24.18</v>
      </c>
      <c r="J315" s="615">
        <v>300</v>
      </c>
      <c r="K315" s="616">
        <v>7252.74</v>
      </c>
    </row>
    <row r="316" spans="1:11" ht="14.4" customHeight="1" x14ac:dyDescent="0.3">
      <c r="A316" s="611" t="s">
        <v>550</v>
      </c>
      <c r="B316" s="612" t="s">
        <v>551</v>
      </c>
      <c r="C316" s="613" t="s">
        <v>563</v>
      </c>
      <c r="D316" s="614" t="s">
        <v>1184</v>
      </c>
      <c r="E316" s="613" t="s">
        <v>1714</v>
      </c>
      <c r="F316" s="614" t="s">
        <v>1715</v>
      </c>
      <c r="G316" s="613" t="s">
        <v>1667</v>
      </c>
      <c r="H316" s="613" t="s">
        <v>1669</v>
      </c>
      <c r="I316" s="615">
        <v>24.18</v>
      </c>
      <c r="J316" s="615">
        <v>400</v>
      </c>
      <c r="K316" s="616">
        <v>9670.33</v>
      </c>
    </row>
    <row r="317" spans="1:11" ht="14.4" customHeight="1" x14ac:dyDescent="0.3">
      <c r="A317" s="611" t="s">
        <v>550</v>
      </c>
      <c r="B317" s="612" t="s">
        <v>551</v>
      </c>
      <c r="C317" s="613" t="s">
        <v>563</v>
      </c>
      <c r="D317" s="614" t="s">
        <v>1184</v>
      </c>
      <c r="E317" s="613" t="s">
        <v>1714</v>
      </c>
      <c r="F317" s="614" t="s">
        <v>1715</v>
      </c>
      <c r="G317" s="613" t="s">
        <v>1446</v>
      </c>
      <c r="H317" s="613" t="s">
        <v>1447</v>
      </c>
      <c r="I317" s="615">
        <v>6.9479999999999986</v>
      </c>
      <c r="J317" s="615">
        <v>130</v>
      </c>
      <c r="K317" s="616">
        <v>902.2</v>
      </c>
    </row>
    <row r="318" spans="1:11" ht="14.4" customHeight="1" x14ac:dyDescent="0.3">
      <c r="A318" s="611" t="s">
        <v>550</v>
      </c>
      <c r="B318" s="612" t="s">
        <v>551</v>
      </c>
      <c r="C318" s="613" t="s">
        <v>563</v>
      </c>
      <c r="D318" s="614" t="s">
        <v>1184</v>
      </c>
      <c r="E318" s="613" t="s">
        <v>1714</v>
      </c>
      <c r="F318" s="614" t="s">
        <v>1715</v>
      </c>
      <c r="G318" s="613" t="s">
        <v>1448</v>
      </c>
      <c r="H318" s="613" t="s">
        <v>1670</v>
      </c>
      <c r="I318" s="615">
        <v>210.54</v>
      </c>
      <c r="J318" s="615">
        <v>20</v>
      </c>
      <c r="K318" s="616">
        <v>4210.8</v>
      </c>
    </row>
    <row r="319" spans="1:11" ht="14.4" customHeight="1" x14ac:dyDescent="0.3">
      <c r="A319" s="611" t="s">
        <v>550</v>
      </c>
      <c r="B319" s="612" t="s">
        <v>551</v>
      </c>
      <c r="C319" s="613" t="s">
        <v>563</v>
      </c>
      <c r="D319" s="614" t="s">
        <v>1184</v>
      </c>
      <c r="E319" s="613" t="s">
        <v>1722</v>
      </c>
      <c r="F319" s="614" t="s">
        <v>1723</v>
      </c>
      <c r="G319" s="613" t="s">
        <v>1671</v>
      </c>
      <c r="H319" s="613" t="s">
        <v>1672</v>
      </c>
      <c r="I319" s="615">
        <v>55.57</v>
      </c>
      <c r="J319" s="615">
        <v>60</v>
      </c>
      <c r="K319" s="616">
        <v>3334.44</v>
      </c>
    </row>
    <row r="320" spans="1:11" ht="14.4" customHeight="1" x14ac:dyDescent="0.3">
      <c r="A320" s="611" t="s">
        <v>550</v>
      </c>
      <c r="B320" s="612" t="s">
        <v>551</v>
      </c>
      <c r="C320" s="613" t="s">
        <v>563</v>
      </c>
      <c r="D320" s="614" t="s">
        <v>1184</v>
      </c>
      <c r="E320" s="613" t="s">
        <v>1708</v>
      </c>
      <c r="F320" s="614" t="s">
        <v>1709</v>
      </c>
      <c r="G320" s="613" t="s">
        <v>1354</v>
      </c>
      <c r="H320" s="613" t="s">
        <v>1355</v>
      </c>
      <c r="I320" s="615">
        <v>0.30249999999999999</v>
      </c>
      <c r="J320" s="615">
        <v>1500</v>
      </c>
      <c r="K320" s="616">
        <v>452</v>
      </c>
    </row>
    <row r="321" spans="1:11" ht="14.4" customHeight="1" x14ac:dyDescent="0.3">
      <c r="A321" s="611" t="s">
        <v>550</v>
      </c>
      <c r="B321" s="612" t="s">
        <v>551</v>
      </c>
      <c r="C321" s="613" t="s">
        <v>563</v>
      </c>
      <c r="D321" s="614" t="s">
        <v>1184</v>
      </c>
      <c r="E321" s="613" t="s">
        <v>1708</v>
      </c>
      <c r="F321" s="614" t="s">
        <v>1709</v>
      </c>
      <c r="G321" s="613" t="s">
        <v>1354</v>
      </c>
      <c r="H321" s="613" t="s">
        <v>1356</v>
      </c>
      <c r="I321" s="615">
        <v>0.3</v>
      </c>
      <c r="J321" s="615">
        <v>1000</v>
      </c>
      <c r="K321" s="616">
        <v>300</v>
      </c>
    </row>
    <row r="322" spans="1:11" ht="14.4" customHeight="1" x14ac:dyDescent="0.3">
      <c r="A322" s="611" t="s">
        <v>550</v>
      </c>
      <c r="B322" s="612" t="s">
        <v>551</v>
      </c>
      <c r="C322" s="613" t="s">
        <v>563</v>
      </c>
      <c r="D322" s="614" t="s">
        <v>1184</v>
      </c>
      <c r="E322" s="613" t="s">
        <v>1708</v>
      </c>
      <c r="F322" s="614" t="s">
        <v>1709</v>
      </c>
      <c r="G322" s="613" t="s">
        <v>1673</v>
      </c>
      <c r="H322" s="613" t="s">
        <v>1674</v>
      </c>
      <c r="I322" s="615">
        <v>0.3</v>
      </c>
      <c r="J322" s="615">
        <v>100</v>
      </c>
      <c r="K322" s="616">
        <v>30</v>
      </c>
    </row>
    <row r="323" spans="1:11" ht="14.4" customHeight="1" x14ac:dyDescent="0.3">
      <c r="A323" s="611" t="s">
        <v>550</v>
      </c>
      <c r="B323" s="612" t="s">
        <v>551</v>
      </c>
      <c r="C323" s="613" t="s">
        <v>563</v>
      </c>
      <c r="D323" s="614" t="s">
        <v>1184</v>
      </c>
      <c r="E323" s="613" t="s">
        <v>1708</v>
      </c>
      <c r="F323" s="614" t="s">
        <v>1709</v>
      </c>
      <c r="G323" s="613" t="s">
        <v>1673</v>
      </c>
      <c r="H323" s="613" t="s">
        <v>1675</v>
      </c>
      <c r="I323" s="615">
        <v>0.3</v>
      </c>
      <c r="J323" s="615">
        <v>100</v>
      </c>
      <c r="K323" s="616">
        <v>30</v>
      </c>
    </row>
    <row r="324" spans="1:11" ht="14.4" customHeight="1" x14ac:dyDescent="0.3">
      <c r="A324" s="611" t="s">
        <v>550</v>
      </c>
      <c r="B324" s="612" t="s">
        <v>551</v>
      </c>
      <c r="C324" s="613" t="s">
        <v>563</v>
      </c>
      <c r="D324" s="614" t="s">
        <v>1184</v>
      </c>
      <c r="E324" s="613" t="s">
        <v>1708</v>
      </c>
      <c r="F324" s="614" t="s">
        <v>1709</v>
      </c>
      <c r="G324" s="613" t="s">
        <v>1676</v>
      </c>
      <c r="H324" s="613" t="s">
        <v>1677</v>
      </c>
      <c r="I324" s="615">
        <v>0.47499999999999992</v>
      </c>
      <c r="J324" s="615">
        <v>1100</v>
      </c>
      <c r="K324" s="616">
        <v>522</v>
      </c>
    </row>
    <row r="325" spans="1:11" ht="14.4" customHeight="1" x14ac:dyDescent="0.3">
      <c r="A325" s="611" t="s">
        <v>550</v>
      </c>
      <c r="B325" s="612" t="s">
        <v>551</v>
      </c>
      <c r="C325" s="613" t="s">
        <v>563</v>
      </c>
      <c r="D325" s="614" t="s">
        <v>1184</v>
      </c>
      <c r="E325" s="613" t="s">
        <v>1708</v>
      </c>
      <c r="F325" s="614" t="s">
        <v>1709</v>
      </c>
      <c r="G325" s="613" t="s">
        <v>1357</v>
      </c>
      <c r="H325" s="613" t="s">
        <v>1358</v>
      </c>
      <c r="I325" s="615">
        <v>0.38111111111111107</v>
      </c>
      <c r="J325" s="615">
        <v>7400</v>
      </c>
      <c r="K325" s="616">
        <v>2738</v>
      </c>
    </row>
    <row r="326" spans="1:11" ht="14.4" customHeight="1" x14ac:dyDescent="0.3">
      <c r="A326" s="611" t="s">
        <v>550</v>
      </c>
      <c r="B326" s="612" t="s">
        <v>551</v>
      </c>
      <c r="C326" s="613" t="s">
        <v>563</v>
      </c>
      <c r="D326" s="614" t="s">
        <v>1184</v>
      </c>
      <c r="E326" s="613" t="s">
        <v>1710</v>
      </c>
      <c r="F326" s="614" t="s">
        <v>1711</v>
      </c>
      <c r="G326" s="613" t="s">
        <v>1678</v>
      </c>
      <c r="H326" s="613" t="s">
        <v>1679</v>
      </c>
      <c r="I326" s="615">
        <v>11.01</v>
      </c>
      <c r="J326" s="615">
        <v>80</v>
      </c>
      <c r="K326" s="616">
        <v>880.8</v>
      </c>
    </row>
    <row r="327" spans="1:11" ht="14.4" customHeight="1" x14ac:dyDescent="0.3">
      <c r="A327" s="611" t="s">
        <v>550</v>
      </c>
      <c r="B327" s="612" t="s">
        <v>551</v>
      </c>
      <c r="C327" s="613" t="s">
        <v>563</v>
      </c>
      <c r="D327" s="614" t="s">
        <v>1184</v>
      </c>
      <c r="E327" s="613" t="s">
        <v>1710</v>
      </c>
      <c r="F327" s="614" t="s">
        <v>1711</v>
      </c>
      <c r="G327" s="613" t="s">
        <v>1456</v>
      </c>
      <c r="H327" s="613" t="s">
        <v>1457</v>
      </c>
      <c r="I327" s="615">
        <v>11.01</v>
      </c>
      <c r="J327" s="615">
        <v>480</v>
      </c>
      <c r="K327" s="616">
        <v>5284.8</v>
      </c>
    </row>
    <row r="328" spans="1:11" ht="14.4" customHeight="1" x14ac:dyDescent="0.3">
      <c r="A328" s="611" t="s">
        <v>550</v>
      </c>
      <c r="B328" s="612" t="s">
        <v>551</v>
      </c>
      <c r="C328" s="613" t="s">
        <v>563</v>
      </c>
      <c r="D328" s="614" t="s">
        <v>1184</v>
      </c>
      <c r="E328" s="613" t="s">
        <v>1710</v>
      </c>
      <c r="F328" s="614" t="s">
        <v>1711</v>
      </c>
      <c r="G328" s="613" t="s">
        <v>1458</v>
      </c>
      <c r="H328" s="613" t="s">
        <v>1459</v>
      </c>
      <c r="I328" s="615">
        <v>11.01</v>
      </c>
      <c r="J328" s="615">
        <v>160</v>
      </c>
      <c r="K328" s="616">
        <v>1761.6</v>
      </c>
    </row>
    <row r="329" spans="1:11" ht="14.4" customHeight="1" x14ac:dyDescent="0.3">
      <c r="A329" s="611" t="s">
        <v>550</v>
      </c>
      <c r="B329" s="612" t="s">
        <v>551</v>
      </c>
      <c r="C329" s="613" t="s">
        <v>563</v>
      </c>
      <c r="D329" s="614" t="s">
        <v>1184</v>
      </c>
      <c r="E329" s="613" t="s">
        <v>1710</v>
      </c>
      <c r="F329" s="614" t="s">
        <v>1711</v>
      </c>
      <c r="G329" s="613" t="s">
        <v>1367</v>
      </c>
      <c r="H329" s="613" t="s">
        <v>1368</v>
      </c>
      <c r="I329" s="615">
        <v>0.77200000000000002</v>
      </c>
      <c r="J329" s="615">
        <v>22000</v>
      </c>
      <c r="K329" s="616">
        <v>16990</v>
      </c>
    </row>
    <row r="330" spans="1:11" ht="14.4" customHeight="1" x14ac:dyDescent="0.3">
      <c r="A330" s="611" t="s">
        <v>550</v>
      </c>
      <c r="B330" s="612" t="s">
        <v>551</v>
      </c>
      <c r="C330" s="613" t="s">
        <v>563</v>
      </c>
      <c r="D330" s="614" t="s">
        <v>1184</v>
      </c>
      <c r="E330" s="613" t="s">
        <v>1710</v>
      </c>
      <c r="F330" s="614" t="s">
        <v>1711</v>
      </c>
      <c r="G330" s="613" t="s">
        <v>1369</v>
      </c>
      <c r="H330" s="613" t="s">
        <v>1370</v>
      </c>
      <c r="I330" s="615">
        <v>0.71</v>
      </c>
      <c r="J330" s="615">
        <v>15200</v>
      </c>
      <c r="K330" s="616">
        <v>10792</v>
      </c>
    </row>
    <row r="331" spans="1:11" ht="14.4" customHeight="1" x14ac:dyDescent="0.3">
      <c r="A331" s="611" t="s">
        <v>550</v>
      </c>
      <c r="B331" s="612" t="s">
        <v>551</v>
      </c>
      <c r="C331" s="613" t="s">
        <v>563</v>
      </c>
      <c r="D331" s="614" t="s">
        <v>1184</v>
      </c>
      <c r="E331" s="613" t="s">
        <v>1710</v>
      </c>
      <c r="F331" s="614" t="s">
        <v>1711</v>
      </c>
      <c r="G331" s="613" t="s">
        <v>1369</v>
      </c>
      <c r="H331" s="613" t="s">
        <v>1371</v>
      </c>
      <c r="I331" s="615">
        <v>0.71</v>
      </c>
      <c r="J331" s="615">
        <v>21200</v>
      </c>
      <c r="K331" s="616">
        <v>15052</v>
      </c>
    </row>
    <row r="332" spans="1:11" ht="14.4" customHeight="1" x14ac:dyDescent="0.3">
      <c r="A332" s="611" t="s">
        <v>550</v>
      </c>
      <c r="B332" s="612" t="s">
        <v>551</v>
      </c>
      <c r="C332" s="613" t="s">
        <v>563</v>
      </c>
      <c r="D332" s="614" t="s">
        <v>1184</v>
      </c>
      <c r="E332" s="613" t="s">
        <v>1712</v>
      </c>
      <c r="F332" s="614" t="s">
        <v>1713</v>
      </c>
      <c r="G332" s="613" t="s">
        <v>1680</v>
      </c>
      <c r="H332" s="613" t="s">
        <v>1681</v>
      </c>
      <c r="I332" s="615">
        <v>139.44200000000004</v>
      </c>
      <c r="J332" s="615">
        <v>102</v>
      </c>
      <c r="K332" s="616">
        <v>14223.080000000002</v>
      </c>
    </row>
    <row r="333" spans="1:11" ht="14.4" customHeight="1" x14ac:dyDescent="0.3">
      <c r="A333" s="611" t="s">
        <v>550</v>
      </c>
      <c r="B333" s="612" t="s">
        <v>551</v>
      </c>
      <c r="C333" s="613" t="s">
        <v>563</v>
      </c>
      <c r="D333" s="614" t="s">
        <v>1184</v>
      </c>
      <c r="E333" s="613" t="s">
        <v>1712</v>
      </c>
      <c r="F333" s="614" t="s">
        <v>1713</v>
      </c>
      <c r="G333" s="613" t="s">
        <v>1682</v>
      </c>
      <c r="H333" s="613" t="s">
        <v>1683</v>
      </c>
      <c r="I333" s="615">
        <v>11.650000000000002</v>
      </c>
      <c r="J333" s="615">
        <v>70</v>
      </c>
      <c r="K333" s="616">
        <v>815.66</v>
      </c>
    </row>
    <row r="334" spans="1:11" ht="14.4" customHeight="1" x14ac:dyDescent="0.3">
      <c r="A334" s="611" t="s">
        <v>550</v>
      </c>
      <c r="B334" s="612" t="s">
        <v>551</v>
      </c>
      <c r="C334" s="613" t="s">
        <v>563</v>
      </c>
      <c r="D334" s="614" t="s">
        <v>1184</v>
      </c>
      <c r="E334" s="613" t="s">
        <v>1712</v>
      </c>
      <c r="F334" s="614" t="s">
        <v>1713</v>
      </c>
      <c r="G334" s="613" t="s">
        <v>1462</v>
      </c>
      <c r="H334" s="613" t="s">
        <v>1463</v>
      </c>
      <c r="I334" s="615">
        <v>152.46</v>
      </c>
      <c r="J334" s="615">
        <v>4</v>
      </c>
      <c r="K334" s="616">
        <v>609.84</v>
      </c>
    </row>
    <row r="335" spans="1:11" ht="14.4" customHeight="1" x14ac:dyDescent="0.3">
      <c r="A335" s="611" t="s">
        <v>550</v>
      </c>
      <c r="B335" s="612" t="s">
        <v>551</v>
      </c>
      <c r="C335" s="613" t="s">
        <v>563</v>
      </c>
      <c r="D335" s="614" t="s">
        <v>1184</v>
      </c>
      <c r="E335" s="613" t="s">
        <v>1712</v>
      </c>
      <c r="F335" s="614" t="s">
        <v>1713</v>
      </c>
      <c r="G335" s="613" t="s">
        <v>1684</v>
      </c>
      <c r="H335" s="613" t="s">
        <v>1685</v>
      </c>
      <c r="I335" s="615">
        <v>2746.7</v>
      </c>
      <c r="J335" s="615">
        <v>4</v>
      </c>
      <c r="K335" s="616">
        <v>10986.8</v>
      </c>
    </row>
    <row r="336" spans="1:11" ht="14.4" customHeight="1" x14ac:dyDescent="0.3">
      <c r="A336" s="611" t="s">
        <v>550</v>
      </c>
      <c r="B336" s="612" t="s">
        <v>551</v>
      </c>
      <c r="C336" s="613" t="s">
        <v>563</v>
      </c>
      <c r="D336" s="614" t="s">
        <v>1184</v>
      </c>
      <c r="E336" s="613" t="s">
        <v>1712</v>
      </c>
      <c r="F336" s="614" t="s">
        <v>1713</v>
      </c>
      <c r="G336" s="613" t="s">
        <v>1686</v>
      </c>
      <c r="H336" s="613" t="s">
        <v>1687</v>
      </c>
      <c r="I336" s="615">
        <v>6352.5</v>
      </c>
      <c r="J336" s="615">
        <v>9</v>
      </c>
      <c r="K336" s="616">
        <v>57172.5</v>
      </c>
    </row>
    <row r="337" spans="1:11" ht="14.4" customHeight="1" x14ac:dyDescent="0.3">
      <c r="A337" s="611" t="s">
        <v>550</v>
      </c>
      <c r="B337" s="612" t="s">
        <v>551</v>
      </c>
      <c r="C337" s="613" t="s">
        <v>563</v>
      </c>
      <c r="D337" s="614" t="s">
        <v>1184</v>
      </c>
      <c r="E337" s="613" t="s">
        <v>1712</v>
      </c>
      <c r="F337" s="614" t="s">
        <v>1713</v>
      </c>
      <c r="G337" s="613" t="s">
        <v>1688</v>
      </c>
      <c r="H337" s="613" t="s">
        <v>1689</v>
      </c>
      <c r="I337" s="615">
        <v>8470</v>
      </c>
      <c r="J337" s="615">
        <v>9</v>
      </c>
      <c r="K337" s="616">
        <v>76230</v>
      </c>
    </row>
    <row r="338" spans="1:11" ht="14.4" customHeight="1" x14ac:dyDescent="0.3">
      <c r="A338" s="611" t="s">
        <v>550</v>
      </c>
      <c r="B338" s="612" t="s">
        <v>551</v>
      </c>
      <c r="C338" s="613" t="s">
        <v>563</v>
      </c>
      <c r="D338" s="614" t="s">
        <v>1184</v>
      </c>
      <c r="E338" s="613" t="s">
        <v>1712</v>
      </c>
      <c r="F338" s="614" t="s">
        <v>1713</v>
      </c>
      <c r="G338" s="613" t="s">
        <v>1690</v>
      </c>
      <c r="H338" s="613" t="s">
        <v>1691</v>
      </c>
      <c r="I338" s="615">
        <v>363</v>
      </c>
      <c r="J338" s="615">
        <v>12</v>
      </c>
      <c r="K338" s="616">
        <v>4356</v>
      </c>
    </row>
    <row r="339" spans="1:11" ht="14.4" customHeight="1" x14ac:dyDescent="0.3">
      <c r="A339" s="611" t="s">
        <v>550</v>
      </c>
      <c r="B339" s="612" t="s">
        <v>551</v>
      </c>
      <c r="C339" s="613" t="s">
        <v>563</v>
      </c>
      <c r="D339" s="614" t="s">
        <v>1184</v>
      </c>
      <c r="E339" s="613" t="s">
        <v>1712</v>
      </c>
      <c r="F339" s="614" t="s">
        <v>1713</v>
      </c>
      <c r="G339" s="613" t="s">
        <v>1372</v>
      </c>
      <c r="H339" s="613" t="s">
        <v>1373</v>
      </c>
      <c r="I339" s="615">
        <v>4429.0349999999999</v>
      </c>
      <c r="J339" s="615">
        <v>17</v>
      </c>
      <c r="K339" s="616">
        <v>75303.16</v>
      </c>
    </row>
    <row r="340" spans="1:11" ht="14.4" customHeight="1" x14ac:dyDescent="0.3">
      <c r="A340" s="611" t="s">
        <v>550</v>
      </c>
      <c r="B340" s="612" t="s">
        <v>551</v>
      </c>
      <c r="C340" s="613" t="s">
        <v>563</v>
      </c>
      <c r="D340" s="614" t="s">
        <v>1184</v>
      </c>
      <c r="E340" s="613" t="s">
        <v>1712</v>
      </c>
      <c r="F340" s="614" t="s">
        <v>1713</v>
      </c>
      <c r="G340" s="613" t="s">
        <v>1692</v>
      </c>
      <c r="H340" s="613" t="s">
        <v>1693</v>
      </c>
      <c r="I340" s="615">
        <v>786.5</v>
      </c>
      <c r="J340" s="615">
        <v>3</v>
      </c>
      <c r="K340" s="616">
        <v>2359.5</v>
      </c>
    </row>
    <row r="341" spans="1:11" ht="14.4" customHeight="1" x14ac:dyDescent="0.3">
      <c r="A341" s="611" t="s">
        <v>550</v>
      </c>
      <c r="B341" s="612" t="s">
        <v>551</v>
      </c>
      <c r="C341" s="613" t="s">
        <v>563</v>
      </c>
      <c r="D341" s="614" t="s">
        <v>1184</v>
      </c>
      <c r="E341" s="613" t="s">
        <v>1712</v>
      </c>
      <c r="F341" s="614" t="s">
        <v>1713</v>
      </c>
      <c r="G341" s="613" t="s">
        <v>1694</v>
      </c>
      <c r="H341" s="613" t="s">
        <v>1695</v>
      </c>
      <c r="I341" s="615">
        <v>3630</v>
      </c>
      <c r="J341" s="615">
        <v>3</v>
      </c>
      <c r="K341" s="616">
        <v>10890</v>
      </c>
    </row>
    <row r="342" spans="1:11" ht="14.4" customHeight="1" x14ac:dyDescent="0.3">
      <c r="A342" s="611" t="s">
        <v>550</v>
      </c>
      <c r="B342" s="612" t="s">
        <v>551</v>
      </c>
      <c r="C342" s="613" t="s">
        <v>563</v>
      </c>
      <c r="D342" s="614" t="s">
        <v>1184</v>
      </c>
      <c r="E342" s="613" t="s">
        <v>1712</v>
      </c>
      <c r="F342" s="614" t="s">
        <v>1713</v>
      </c>
      <c r="G342" s="613" t="s">
        <v>1696</v>
      </c>
      <c r="H342" s="613" t="s">
        <v>1697</v>
      </c>
      <c r="I342" s="615">
        <v>3630</v>
      </c>
      <c r="J342" s="615">
        <v>2</v>
      </c>
      <c r="K342" s="616">
        <v>7260</v>
      </c>
    </row>
    <row r="343" spans="1:11" ht="14.4" customHeight="1" x14ac:dyDescent="0.3">
      <c r="A343" s="611" t="s">
        <v>550</v>
      </c>
      <c r="B343" s="612" t="s">
        <v>551</v>
      </c>
      <c r="C343" s="613" t="s">
        <v>563</v>
      </c>
      <c r="D343" s="614" t="s">
        <v>1184</v>
      </c>
      <c r="E343" s="613" t="s">
        <v>1712</v>
      </c>
      <c r="F343" s="614" t="s">
        <v>1713</v>
      </c>
      <c r="G343" s="613" t="s">
        <v>1698</v>
      </c>
      <c r="H343" s="613" t="s">
        <v>1699</v>
      </c>
      <c r="I343" s="615">
        <v>1548.8</v>
      </c>
      <c r="J343" s="615">
        <v>4</v>
      </c>
      <c r="K343" s="616">
        <v>6195.2</v>
      </c>
    </row>
    <row r="344" spans="1:11" ht="14.4" customHeight="1" x14ac:dyDescent="0.3">
      <c r="A344" s="611" t="s">
        <v>550</v>
      </c>
      <c r="B344" s="612" t="s">
        <v>551</v>
      </c>
      <c r="C344" s="613" t="s">
        <v>563</v>
      </c>
      <c r="D344" s="614" t="s">
        <v>1184</v>
      </c>
      <c r="E344" s="613" t="s">
        <v>1712</v>
      </c>
      <c r="F344" s="614" t="s">
        <v>1713</v>
      </c>
      <c r="G344" s="613" t="s">
        <v>1700</v>
      </c>
      <c r="H344" s="613" t="s">
        <v>1701</v>
      </c>
      <c r="I344" s="615">
        <v>847</v>
      </c>
      <c r="J344" s="615">
        <v>9</v>
      </c>
      <c r="K344" s="616">
        <v>7623</v>
      </c>
    </row>
    <row r="345" spans="1:11" ht="14.4" customHeight="1" x14ac:dyDescent="0.3">
      <c r="A345" s="611" t="s">
        <v>550</v>
      </c>
      <c r="B345" s="612" t="s">
        <v>551</v>
      </c>
      <c r="C345" s="613" t="s">
        <v>563</v>
      </c>
      <c r="D345" s="614" t="s">
        <v>1184</v>
      </c>
      <c r="E345" s="613" t="s">
        <v>1712</v>
      </c>
      <c r="F345" s="614" t="s">
        <v>1713</v>
      </c>
      <c r="G345" s="613" t="s">
        <v>1702</v>
      </c>
      <c r="H345" s="613" t="s">
        <v>1703</v>
      </c>
      <c r="I345" s="615">
        <v>3630</v>
      </c>
      <c r="J345" s="615">
        <v>2</v>
      </c>
      <c r="K345" s="616">
        <v>7260</v>
      </c>
    </row>
    <row r="346" spans="1:11" ht="14.4" customHeight="1" thickBot="1" x14ac:dyDescent="0.35">
      <c r="A346" s="617" t="s">
        <v>550</v>
      </c>
      <c r="B346" s="618" t="s">
        <v>551</v>
      </c>
      <c r="C346" s="619" t="s">
        <v>563</v>
      </c>
      <c r="D346" s="620" t="s">
        <v>1184</v>
      </c>
      <c r="E346" s="619" t="s">
        <v>1712</v>
      </c>
      <c r="F346" s="620" t="s">
        <v>1713</v>
      </c>
      <c r="G346" s="619" t="s">
        <v>1374</v>
      </c>
      <c r="H346" s="619" t="s">
        <v>1375</v>
      </c>
      <c r="I346" s="621">
        <v>110.42</v>
      </c>
      <c r="J346" s="621">
        <v>2</v>
      </c>
      <c r="K346" s="622">
        <v>220.84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  <col min="8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06" t="s">
        <v>117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</row>
    <row r="2" spans="1:34" ht="15" thickBot="1" x14ac:dyDescent="0.35">
      <c r="A2" s="361" t="s">
        <v>305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</row>
    <row r="3" spans="1:34" x14ac:dyDescent="0.3">
      <c r="A3" s="380" t="s">
        <v>246</v>
      </c>
      <c r="B3" s="507" t="s">
        <v>227</v>
      </c>
      <c r="C3" s="363">
        <v>0</v>
      </c>
      <c r="D3" s="364">
        <v>101</v>
      </c>
      <c r="E3" s="364">
        <v>102</v>
      </c>
      <c r="F3" s="383">
        <v>305</v>
      </c>
      <c r="G3" s="383">
        <v>306</v>
      </c>
      <c r="H3" s="383">
        <v>408</v>
      </c>
      <c r="I3" s="383">
        <v>409</v>
      </c>
      <c r="J3" s="383">
        <v>410</v>
      </c>
      <c r="K3" s="383">
        <v>415</v>
      </c>
      <c r="L3" s="383">
        <v>416</v>
      </c>
      <c r="M3" s="383">
        <v>418</v>
      </c>
      <c r="N3" s="383">
        <v>419</v>
      </c>
      <c r="O3" s="383">
        <v>420</v>
      </c>
      <c r="P3" s="383">
        <v>421</v>
      </c>
      <c r="Q3" s="383">
        <v>522</v>
      </c>
      <c r="R3" s="383">
        <v>523</v>
      </c>
      <c r="S3" s="383">
        <v>524</v>
      </c>
      <c r="T3" s="383">
        <v>525</v>
      </c>
      <c r="U3" s="383">
        <v>526</v>
      </c>
      <c r="V3" s="383">
        <v>527</v>
      </c>
      <c r="W3" s="383">
        <v>528</v>
      </c>
      <c r="X3" s="383">
        <v>629</v>
      </c>
      <c r="Y3" s="383">
        <v>630</v>
      </c>
      <c r="Z3" s="383">
        <v>636</v>
      </c>
      <c r="AA3" s="383">
        <v>637</v>
      </c>
      <c r="AB3" s="383">
        <v>640</v>
      </c>
      <c r="AC3" s="383">
        <v>642</v>
      </c>
      <c r="AD3" s="383">
        <v>743</v>
      </c>
      <c r="AE3" s="364">
        <v>745</v>
      </c>
      <c r="AF3" s="364">
        <v>746</v>
      </c>
      <c r="AG3" s="674">
        <v>930</v>
      </c>
      <c r="AH3" s="690"/>
    </row>
    <row r="4" spans="1:34" ht="36.6" outlineLevel="1" thickBot="1" x14ac:dyDescent="0.35">
      <c r="A4" s="381">
        <v>2014</v>
      </c>
      <c r="B4" s="508"/>
      <c r="C4" s="365" t="s">
        <v>228</v>
      </c>
      <c r="D4" s="366" t="s">
        <v>229</v>
      </c>
      <c r="E4" s="366" t="s">
        <v>230</v>
      </c>
      <c r="F4" s="384" t="s">
        <v>258</v>
      </c>
      <c r="G4" s="384" t="s">
        <v>259</v>
      </c>
      <c r="H4" s="384" t="s">
        <v>260</v>
      </c>
      <c r="I4" s="384" t="s">
        <v>261</v>
      </c>
      <c r="J4" s="384" t="s">
        <v>262</v>
      </c>
      <c r="K4" s="384" t="s">
        <v>263</v>
      </c>
      <c r="L4" s="384" t="s">
        <v>264</v>
      </c>
      <c r="M4" s="384" t="s">
        <v>265</v>
      </c>
      <c r="N4" s="384" t="s">
        <v>266</v>
      </c>
      <c r="O4" s="384" t="s">
        <v>267</v>
      </c>
      <c r="P4" s="384" t="s">
        <v>268</v>
      </c>
      <c r="Q4" s="384" t="s">
        <v>269</v>
      </c>
      <c r="R4" s="384" t="s">
        <v>270</v>
      </c>
      <c r="S4" s="384" t="s">
        <v>271</v>
      </c>
      <c r="T4" s="384" t="s">
        <v>272</v>
      </c>
      <c r="U4" s="384" t="s">
        <v>273</v>
      </c>
      <c r="V4" s="384" t="s">
        <v>274</v>
      </c>
      <c r="W4" s="384" t="s">
        <v>283</v>
      </c>
      <c r="X4" s="384" t="s">
        <v>275</v>
      </c>
      <c r="Y4" s="384" t="s">
        <v>284</v>
      </c>
      <c r="Z4" s="384" t="s">
        <v>276</v>
      </c>
      <c r="AA4" s="384" t="s">
        <v>277</v>
      </c>
      <c r="AB4" s="384" t="s">
        <v>278</v>
      </c>
      <c r="AC4" s="384" t="s">
        <v>279</v>
      </c>
      <c r="AD4" s="384" t="s">
        <v>280</v>
      </c>
      <c r="AE4" s="366" t="s">
        <v>281</v>
      </c>
      <c r="AF4" s="366" t="s">
        <v>282</v>
      </c>
      <c r="AG4" s="675" t="s">
        <v>248</v>
      </c>
      <c r="AH4" s="690"/>
    </row>
    <row r="5" spans="1:34" x14ac:dyDescent="0.3">
      <c r="A5" s="367" t="s">
        <v>231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676"/>
      <c r="AH5" s="690"/>
    </row>
    <row r="6" spans="1:34" ht="15" collapsed="1" thickBot="1" x14ac:dyDescent="0.35">
      <c r="A6" s="368" t="s">
        <v>81</v>
      </c>
      <c r="B6" s="406">
        <f xml:space="preserve">
TRUNC(IF($A$4&lt;=12,SUMIFS('ON Data'!F:F,'ON Data'!$D:$D,$A$4,'ON Data'!$E:$E,1),SUMIFS('ON Data'!F:F,'ON Data'!$E:$E,1)/'ON Data'!$D$3),1)</f>
        <v>65.5</v>
      </c>
      <c r="C6" s="407">
        <f xml:space="preserve">
TRUNC(IF($A$4&lt;=12,SUMIFS('ON Data'!G:G,'ON Data'!$D:$D,$A$4,'ON Data'!$E:$E,1),SUMIFS('ON Data'!G:G,'ON Data'!$E:$E,1)/'ON Data'!$D$3),1)</f>
        <v>0</v>
      </c>
      <c r="D6" s="408">
        <f xml:space="preserve">
TRUNC(IF($A$4&lt;=12,SUMIFS('ON Data'!H:H,'ON Data'!$D:$D,$A$4,'ON Data'!$E:$E,1),SUMIFS('ON Data'!H:H,'ON Data'!$E:$E,1)/'ON Data'!$D$3),1)</f>
        <v>8.6</v>
      </c>
      <c r="E6" s="408">
        <f xml:space="preserve">
TRUNC(IF($A$4&lt;=12,SUMIFS('ON Data'!I:I,'ON Data'!$D:$D,$A$4,'ON Data'!$E:$E,1),SUMIFS('ON Data'!I:I,'ON Data'!$E:$E,1)/'ON Data'!$D$3),1)</f>
        <v>0</v>
      </c>
      <c r="F6" s="408">
        <f xml:space="preserve">
TRUNC(IF($A$4&lt;=12,SUMIFS('ON Data'!K:K,'ON Data'!$D:$D,$A$4,'ON Data'!$E:$E,1),SUMIFS('ON Data'!K:K,'ON Data'!$E:$E,1)/'ON Data'!$D$3),1)</f>
        <v>50.3</v>
      </c>
      <c r="G6" s="408">
        <f xml:space="preserve">
TRUNC(IF($A$4&lt;=12,SUMIFS('ON Data'!L:L,'ON Data'!$D:$D,$A$4,'ON Data'!$E:$E,1),SUMIFS('ON Data'!L:L,'ON Data'!$E:$E,1)/'ON Data'!$D$3),1)</f>
        <v>1.5</v>
      </c>
      <c r="H6" s="408">
        <f xml:space="preserve">
TRUNC(IF($A$4&lt;=12,SUMIFS('ON Data'!M:M,'ON Data'!$D:$D,$A$4,'ON Data'!$E:$E,1),SUMIFS('ON Data'!M:M,'ON Data'!$E:$E,1)/'ON Data'!$D$3),1)</f>
        <v>0</v>
      </c>
      <c r="I6" s="408">
        <f xml:space="preserve">
TRUNC(IF($A$4&lt;=12,SUMIFS('ON Data'!N:N,'ON Data'!$D:$D,$A$4,'ON Data'!$E:$E,1),SUMIFS('ON Data'!N:N,'ON Data'!$E:$E,1)/'ON Data'!$D$3),1)</f>
        <v>0</v>
      </c>
      <c r="J6" s="408">
        <f xml:space="preserve">
TRUNC(IF($A$4&lt;=12,SUMIFS('ON Data'!O:O,'ON Data'!$D:$D,$A$4,'ON Data'!$E:$E,1),SUMIFS('ON Data'!O:O,'ON Data'!$E:$E,1)/'ON Data'!$D$3),1)</f>
        <v>0</v>
      </c>
      <c r="K6" s="408">
        <f xml:space="preserve">
TRUNC(IF($A$4&lt;=12,SUMIFS('ON Data'!P:P,'ON Data'!$D:$D,$A$4,'ON Data'!$E:$E,1),SUMIFS('ON Data'!P:P,'ON Data'!$E:$E,1)/'ON Data'!$D$3),1)</f>
        <v>0</v>
      </c>
      <c r="L6" s="408">
        <f xml:space="preserve">
TRUNC(IF($A$4&lt;=12,SUMIFS('ON Data'!Q:Q,'ON Data'!$D:$D,$A$4,'ON Data'!$E:$E,1),SUMIFS('ON Data'!Q:Q,'ON Data'!$E:$E,1)/'ON Data'!$D$3),1)</f>
        <v>0</v>
      </c>
      <c r="M6" s="408">
        <f xml:space="preserve">
TRUNC(IF($A$4&lt;=12,SUMIFS('ON Data'!R:R,'ON Data'!$D:$D,$A$4,'ON Data'!$E:$E,1),SUMIFS('ON Data'!R:R,'ON Data'!$E:$E,1)/'ON Data'!$D$3),1)</f>
        <v>0</v>
      </c>
      <c r="N6" s="408">
        <f xml:space="preserve">
TRUNC(IF($A$4&lt;=12,SUMIFS('ON Data'!S:S,'ON Data'!$D:$D,$A$4,'ON Data'!$E:$E,1),SUMIFS('ON Data'!S:S,'ON Data'!$E:$E,1)/'ON Data'!$D$3),1)</f>
        <v>0</v>
      </c>
      <c r="O6" s="408">
        <f xml:space="preserve">
TRUNC(IF($A$4&lt;=12,SUMIFS('ON Data'!T:T,'ON Data'!$D:$D,$A$4,'ON Data'!$E:$E,1),SUMIFS('ON Data'!T:T,'ON Data'!$E:$E,1)/'ON Data'!$D$3),1)</f>
        <v>0</v>
      </c>
      <c r="P6" s="408">
        <f xml:space="preserve">
TRUNC(IF($A$4&lt;=12,SUMIFS('ON Data'!U:U,'ON Data'!$D:$D,$A$4,'ON Data'!$E:$E,1),SUMIFS('ON Data'!U:U,'ON Data'!$E:$E,1)/'ON Data'!$D$3),1)</f>
        <v>0</v>
      </c>
      <c r="Q6" s="408">
        <f xml:space="preserve">
TRUNC(IF($A$4&lt;=12,SUMIFS('ON Data'!V:V,'ON Data'!$D:$D,$A$4,'ON Data'!$E:$E,1),SUMIFS('ON Data'!V:V,'ON Data'!$E:$E,1)/'ON Data'!$D$3),1)</f>
        <v>0</v>
      </c>
      <c r="R6" s="408">
        <f xml:space="preserve">
TRUNC(IF($A$4&lt;=12,SUMIFS('ON Data'!W:W,'ON Data'!$D:$D,$A$4,'ON Data'!$E:$E,1),SUMIFS('ON Data'!W:W,'ON Data'!$E:$E,1)/'ON Data'!$D$3),1)</f>
        <v>0</v>
      </c>
      <c r="S6" s="408">
        <f xml:space="preserve">
TRUNC(IF($A$4&lt;=12,SUMIFS('ON Data'!X:X,'ON Data'!$D:$D,$A$4,'ON Data'!$E:$E,1),SUMIFS('ON Data'!X:X,'ON Data'!$E:$E,1)/'ON Data'!$D$3),1)</f>
        <v>0</v>
      </c>
      <c r="T6" s="408">
        <f xml:space="preserve">
TRUNC(IF($A$4&lt;=12,SUMIFS('ON Data'!Y:Y,'ON Data'!$D:$D,$A$4,'ON Data'!$E:$E,1),SUMIFS('ON Data'!Y:Y,'ON Data'!$E:$E,1)/'ON Data'!$D$3),1)</f>
        <v>0</v>
      </c>
      <c r="U6" s="408">
        <f xml:space="preserve">
TRUNC(IF($A$4&lt;=12,SUMIFS('ON Data'!Z:Z,'ON Data'!$D:$D,$A$4,'ON Data'!$E:$E,1),SUMIFS('ON Data'!Z:Z,'ON Data'!$E:$E,1)/'ON Data'!$D$3),1)</f>
        <v>0</v>
      </c>
      <c r="V6" s="408">
        <f xml:space="preserve">
TRUNC(IF($A$4&lt;=12,SUMIFS('ON Data'!AA:AA,'ON Data'!$D:$D,$A$4,'ON Data'!$E:$E,1),SUMIFS('ON Data'!AA:AA,'ON Data'!$E:$E,1)/'ON Data'!$D$3),1)</f>
        <v>0</v>
      </c>
      <c r="W6" s="408">
        <f xml:space="preserve">
TRUNC(IF($A$4&lt;=12,SUMIFS('ON Data'!AB:AB,'ON Data'!$D:$D,$A$4,'ON Data'!$E:$E,1),SUMIFS('ON Data'!AB:AB,'ON Data'!$E:$E,1)/'ON Data'!$D$3),1)</f>
        <v>0</v>
      </c>
      <c r="X6" s="408">
        <f xml:space="preserve">
TRUNC(IF($A$4&lt;=12,SUMIFS('ON Data'!AC:AC,'ON Data'!$D:$D,$A$4,'ON Data'!$E:$E,1),SUMIFS('ON Data'!AC:AC,'ON Data'!$E:$E,1)/'ON Data'!$D$3),1)</f>
        <v>0</v>
      </c>
      <c r="Y6" s="408">
        <f xml:space="preserve">
TRUNC(IF($A$4&lt;=12,SUMIFS('ON Data'!AD:AD,'ON Data'!$D:$D,$A$4,'ON Data'!$E:$E,1),SUMIFS('ON Data'!AD:AD,'ON Data'!$E:$E,1)/'ON Data'!$D$3),1)</f>
        <v>0</v>
      </c>
      <c r="Z6" s="408">
        <f xml:space="preserve">
TRUNC(IF($A$4&lt;=12,SUMIFS('ON Data'!AE:AE,'ON Data'!$D:$D,$A$4,'ON Data'!$E:$E,1),SUMIFS('ON Data'!AE:AE,'ON Data'!$E:$E,1)/'ON Data'!$D$3),1)</f>
        <v>0</v>
      </c>
      <c r="AA6" s="408">
        <f xml:space="preserve">
TRUNC(IF($A$4&lt;=12,SUMIFS('ON Data'!AF:AF,'ON Data'!$D:$D,$A$4,'ON Data'!$E:$E,1),SUMIFS('ON Data'!AF:AF,'ON Data'!$E:$E,1)/'ON Data'!$D$3),1)</f>
        <v>0</v>
      </c>
      <c r="AB6" s="408">
        <f xml:space="preserve">
TRUNC(IF($A$4&lt;=12,SUMIFS('ON Data'!AG:AG,'ON Data'!$D:$D,$A$4,'ON Data'!$E:$E,1),SUMIFS('ON Data'!AG:AG,'ON Data'!$E:$E,1)/'ON Data'!$D$3),1)</f>
        <v>0</v>
      </c>
      <c r="AC6" s="408">
        <f xml:space="preserve">
TRUNC(IF($A$4&lt;=12,SUMIFS('ON Data'!AH:AH,'ON Data'!$D:$D,$A$4,'ON Data'!$E:$E,1),SUMIFS('ON Data'!AH:AH,'ON Data'!$E:$E,1)/'ON Data'!$D$3),1)</f>
        <v>4</v>
      </c>
      <c r="AD6" s="408">
        <f xml:space="preserve">
TRUNC(IF($A$4&lt;=12,SUMIFS('ON Data'!AI:AI,'ON Data'!$D:$D,$A$4,'ON Data'!$E:$E,1),SUMIFS('ON Data'!AI:AI,'ON Data'!$E:$E,1)/'ON Data'!$D$3),1)</f>
        <v>0</v>
      </c>
      <c r="AE6" s="408">
        <f xml:space="preserve">
TRUNC(IF($A$4&lt;=12,SUMIFS('ON Data'!AJ:AJ,'ON Data'!$D:$D,$A$4,'ON Data'!$E:$E,1),SUMIFS('ON Data'!AJ:AJ,'ON Data'!$E:$E,1)/'ON Data'!$D$3),1)</f>
        <v>0</v>
      </c>
      <c r="AF6" s="408">
        <f xml:space="preserve">
TRUNC(IF($A$4&lt;=12,SUMIFS('ON Data'!AK:AK,'ON Data'!$D:$D,$A$4,'ON Data'!$E:$E,1),SUMIFS('ON Data'!AK:AK,'ON Data'!$E:$E,1)/'ON Data'!$D$3),1)</f>
        <v>0</v>
      </c>
      <c r="AG6" s="677">
        <f xml:space="preserve">
TRUNC(IF($A$4&lt;=12,SUMIFS('ON Data'!AM:AM,'ON Data'!$D:$D,$A$4,'ON Data'!$E:$E,1),SUMIFS('ON Data'!AM:AM,'ON Data'!$E:$E,1)/'ON Data'!$D$3),1)</f>
        <v>1</v>
      </c>
      <c r="AH6" s="690"/>
    </row>
    <row r="7" spans="1:34" ht="15" hidden="1" outlineLevel="1" thickBot="1" x14ac:dyDescent="0.35">
      <c r="A7" s="368" t="s">
        <v>118</v>
      </c>
      <c r="B7" s="406"/>
      <c r="C7" s="409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677"/>
      <c r="AH7" s="690"/>
    </row>
    <row r="8" spans="1:34" ht="15" hidden="1" outlineLevel="1" thickBot="1" x14ac:dyDescent="0.35">
      <c r="A8" s="368" t="s">
        <v>83</v>
      </c>
      <c r="B8" s="406"/>
      <c r="C8" s="409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677"/>
      <c r="AH8" s="690"/>
    </row>
    <row r="9" spans="1:34" ht="15" hidden="1" outlineLevel="1" thickBot="1" x14ac:dyDescent="0.35">
      <c r="A9" s="369" t="s">
        <v>56</v>
      </c>
      <c r="B9" s="410"/>
      <c r="C9" s="41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678"/>
      <c r="AH9" s="690"/>
    </row>
    <row r="10" spans="1:34" x14ac:dyDescent="0.3">
      <c r="A10" s="370" t="s">
        <v>232</v>
      </c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679"/>
      <c r="AH10" s="690"/>
    </row>
    <row r="11" spans="1:34" x14ac:dyDescent="0.3">
      <c r="A11" s="371" t="s">
        <v>233</v>
      </c>
      <c r="B11" s="388">
        <f xml:space="preserve">
IF($A$4&lt;=12,SUMIFS('ON Data'!F:F,'ON Data'!$D:$D,$A$4,'ON Data'!$E:$E,2),SUMIFS('ON Data'!F:F,'ON Data'!$E:$E,2))</f>
        <v>83749.52</v>
      </c>
      <c r="C11" s="389">
        <f xml:space="preserve">
IF($A$4&lt;=12,SUMIFS('ON Data'!G:G,'ON Data'!$D:$D,$A$4,'ON Data'!$E:$E,2),SUMIFS('ON Data'!G:G,'ON Data'!$E:$E,2))</f>
        <v>0</v>
      </c>
      <c r="D11" s="390">
        <f xml:space="preserve">
IF($A$4&lt;=12,SUMIFS('ON Data'!H:H,'ON Data'!$D:$D,$A$4,'ON Data'!$E:$E,2),SUMIFS('ON Data'!H:H,'ON Data'!$E:$E,2))</f>
        <v>11840</v>
      </c>
      <c r="E11" s="390">
        <f xml:space="preserve">
IF($A$4&lt;=12,SUMIFS('ON Data'!I:I,'ON Data'!$D:$D,$A$4,'ON Data'!$E:$E,2),SUMIFS('ON Data'!I:I,'ON Data'!$E:$E,2))</f>
        <v>0</v>
      </c>
      <c r="F11" s="390">
        <f xml:space="preserve">
IF($A$4&lt;=12,SUMIFS('ON Data'!K:K,'ON Data'!$D:$D,$A$4,'ON Data'!$E:$E,2),SUMIFS('ON Data'!K:K,'ON Data'!$E:$E,2))</f>
        <v>63082.26999999999</v>
      </c>
      <c r="G11" s="390">
        <f xml:space="preserve">
IF($A$4&lt;=12,SUMIFS('ON Data'!L:L,'ON Data'!$D:$D,$A$4,'ON Data'!$E:$E,2),SUMIFS('ON Data'!L:L,'ON Data'!$E:$E,2))</f>
        <v>1931.25</v>
      </c>
      <c r="H11" s="390">
        <f xml:space="preserve">
IF($A$4&lt;=12,SUMIFS('ON Data'!M:M,'ON Data'!$D:$D,$A$4,'ON Data'!$E:$E,2),SUMIFS('ON Data'!M:M,'ON Data'!$E:$E,2))</f>
        <v>0</v>
      </c>
      <c r="I11" s="390">
        <f xml:space="preserve">
IF($A$4&lt;=12,SUMIFS('ON Data'!N:N,'ON Data'!$D:$D,$A$4,'ON Data'!$E:$E,2),SUMIFS('ON Data'!N:N,'ON Data'!$E:$E,2))</f>
        <v>0</v>
      </c>
      <c r="J11" s="390">
        <f xml:space="preserve">
IF($A$4&lt;=12,SUMIFS('ON Data'!O:O,'ON Data'!$D:$D,$A$4,'ON Data'!$E:$E,2),SUMIFS('ON Data'!O:O,'ON Data'!$E:$E,2))</f>
        <v>0</v>
      </c>
      <c r="K11" s="390">
        <f xml:space="preserve">
IF($A$4&lt;=12,SUMIFS('ON Data'!P:P,'ON Data'!$D:$D,$A$4,'ON Data'!$E:$E,2),SUMIFS('ON Data'!P:P,'ON Data'!$E:$E,2))</f>
        <v>0</v>
      </c>
      <c r="L11" s="390">
        <f xml:space="preserve">
IF($A$4&lt;=12,SUMIFS('ON Data'!Q:Q,'ON Data'!$D:$D,$A$4,'ON Data'!$E:$E,2),SUMIFS('ON Data'!Q:Q,'ON Data'!$E:$E,2))</f>
        <v>0</v>
      </c>
      <c r="M11" s="390">
        <f xml:space="preserve">
IF($A$4&lt;=12,SUMIFS('ON Data'!R:R,'ON Data'!$D:$D,$A$4,'ON Data'!$E:$E,2),SUMIFS('ON Data'!R:R,'ON Data'!$E:$E,2))</f>
        <v>0</v>
      </c>
      <c r="N11" s="390">
        <f xml:space="preserve">
IF($A$4&lt;=12,SUMIFS('ON Data'!S:S,'ON Data'!$D:$D,$A$4,'ON Data'!$E:$E,2),SUMIFS('ON Data'!S:S,'ON Data'!$E:$E,2))</f>
        <v>0</v>
      </c>
      <c r="O11" s="390">
        <f xml:space="preserve">
IF($A$4&lt;=12,SUMIFS('ON Data'!T:T,'ON Data'!$D:$D,$A$4,'ON Data'!$E:$E,2),SUMIFS('ON Data'!T:T,'ON Data'!$E:$E,2))</f>
        <v>0</v>
      </c>
      <c r="P11" s="390">
        <f xml:space="preserve">
IF($A$4&lt;=12,SUMIFS('ON Data'!U:U,'ON Data'!$D:$D,$A$4,'ON Data'!$E:$E,2),SUMIFS('ON Data'!U:U,'ON Data'!$E:$E,2))</f>
        <v>0</v>
      </c>
      <c r="Q11" s="390">
        <f xml:space="preserve">
IF($A$4&lt;=12,SUMIFS('ON Data'!V:V,'ON Data'!$D:$D,$A$4,'ON Data'!$E:$E,2),SUMIFS('ON Data'!V:V,'ON Data'!$E:$E,2))</f>
        <v>0</v>
      </c>
      <c r="R11" s="390">
        <f xml:space="preserve">
IF($A$4&lt;=12,SUMIFS('ON Data'!W:W,'ON Data'!$D:$D,$A$4,'ON Data'!$E:$E,2),SUMIFS('ON Data'!W:W,'ON Data'!$E:$E,2))</f>
        <v>0</v>
      </c>
      <c r="S11" s="390">
        <f xml:space="preserve">
IF($A$4&lt;=12,SUMIFS('ON Data'!X:X,'ON Data'!$D:$D,$A$4,'ON Data'!$E:$E,2),SUMIFS('ON Data'!X:X,'ON Data'!$E:$E,2))</f>
        <v>0</v>
      </c>
      <c r="T11" s="390">
        <f xml:space="preserve">
IF($A$4&lt;=12,SUMIFS('ON Data'!Y:Y,'ON Data'!$D:$D,$A$4,'ON Data'!$E:$E,2),SUMIFS('ON Data'!Y:Y,'ON Data'!$E:$E,2))</f>
        <v>0</v>
      </c>
      <c r="U11" s="390">
        <f xml:space="preserve">
IF($A$4&lt;=12,SUMIFS('ON Data'!Z:Z,'ON Data'!$D:$D,$A$4,'ON Data'!$E:$E,2),SUMIFS('ON Data'!Z:Z,'ON Data'!$E:$E,2))</f>
        <v>0</v>
      </c>
      <c r="V11" s="390">
        <f xml:space="preserve">
IF($A$4&lt;=12,SUMIFS('ON Data'!AA:AA,'ON Data'!$D:$D,$A$4,'ON Data'!$E:$E,2),SUMIFS('ON Data'!AA:AA,'ON Data'!$E:$E,2))</f>
        <v>0</v>
      </c>
      <c r="W11" s="390">
        <f xml:space="preserve">
IF($A$4&lt;=12,SUMIFS('ON Data'!AB:AB,'ON Data'!$D:$D,$A$4,'ON Data'!$E:$E,2),SUMIFS('ON Data'!AB:AB,'ON Data'!$E:$E,2))</f>
        <v>0</v>
      </c>
      <c r="X11" s="390">
        <f xml:space="preserve">
IF($A$4&lt;=12,SUMIFS('ON Data'!AC:AC,'ON Data'!$D:$D,$A$4,'ON Data'!$E:$E,2),SUMIFS('ON Data'!AC:AC,'ON Data'!$E:$E,2))</f>
        <v>0</v>
      </c>
      <c r="Y11" s="390">
        <f xml:space="preserve">
IF($A$4&lt;=12,SUMIFS('ON Data'!AD:AD,'ON Data'!$D:$D,$A$4,'ON Data'!$E:$E,2),SUMIFS('ON Data'!AD:AD,'ON Data'!$E:$E,2))</f>
        <v>0</v>
      </c>
      <c r="Z11" s="390">
        <f xml:space="preserve">
IF($A$4&lt;=12,SUMIFS('ON Data'!AE:AE,'ON Data'!$D:$D,$A$4,'ON Data'!$E:$E,2),SUMIFS('ON Data'!AE:AE,'ON Data'!$E:$E,2))</f>
        <v>0</v>
      </c>
      <c r="AA11" s="390">
        <f xml:space="preserve">
IF($A$4&lt;=12,SUMIFS('ON Data'!AF:AF,'ON Data'!$D:$D,$A$4,'ON Data'!$E:$E,2),SUMIFS('ON Data'!AF:AF,'ON Data'!$E:$E,2))</f>
        <v>0</v>
      </c>
      <c r="AB11" s="390">
        <f xml:space="preserve">
IF($A$4&lt;=12,SUMIFS('ON Data'!AG:AG,'ON Data'!$D:$D,$A$4,'ON Data'!$E:$E,2),SUMIFS('ON Data'!AG:AG,'ON Data'!$E:$E,2))</f>
        <v>0</v>
      </c>
      <c r="AC11" s="390">
        <f xml:space="preserve">
IF($A$4&lt;=12,SUMIFS('ON Data'!AH:AH,'ON Data'!$D:$D,$A$4,'ON Data'!$E:$E,2),SUMIFS('ON Data'!AH:AH,'ON Data'!$E:$E,2))</f>
        <v>5528</v>
      </c>
      <c r="AD11" s="390">
        <f xml:space="preserve">
IF($A$4&lt;=12,SUMIFS('ON Data'!AI:AI,'ON Data'!$D:$D,$A$4,'ON Data'!$E:$E,2),SUMIFS('ON Data'!AI:AI,'ON Data'!$E:$E,2))</f>
        <v>0</v>
      </c>
      <c r="AE11" s="390">
        <f xml:space="preserve">
IF($A$4&lt;=12,SUMIFS('ON Data'!AJ:AJ,'ON Data'!$D:$D,$A$4,'ON Data'!$E:$E,2),SUMIFS('ON Data'!AJ:AJ,'ON Data'!$E:$E,2))</f>
        <v>0</v>
      </c>
      <c r="AF11" s="390">
        <f xml:space="preserve">
IF($A$4&lt;=12,SUMIFS('ON Data'!AK:AK,'ON Data'!$D:$D,$A$4,'ON Data'!$E:$E,2),SUMIFS('ON Data'!AK:AK,'ON Data'!$E:$E,2))</f>
        <v>0</v>
      </c>
      <c r="AG11" s="680">
        <f xml:space="preserve">
IF($A$4&lt;=12,SUMIFS('ON Data'!AM:AM,'ON Data'!$D:$D,$A$4,'ON Data'!$E:$E,2),SUMIFS('ON Data'!AM:AM,'ON Data'!$E:$E,2))</f>
        <v>1368</v>
      </c>
      <c r="AH11" s="690"/>
    </row>
    <row r="12" spans="1:34" x14ac:dyDescent="0.3">
      <c r="A12" s="371" t="s">
        <v>234</v>
      </c>
      <c r="B12" s="388">
        <f xml:space="preserve">
IF($A$4&lt;=12,SUMIFS('ON Data'!F:F,'ON Data'!$D:$D,$A$4,'ON Data'!$E:$E,3),SUMIFS('ON Data'!F:F,'ON Data'!$E:$E,3))</f>
        <v>2955</v>
      </c>
      <c r="C12" s="389">
        <f xml:space="preserve">
IF($A$4&lt;=12,SUMIFS('ON Data'!G:G,'ON Data'!$D:$D,$A$4,'ON Data'!$E:$E,3),SUMIFS('ON Data'!G:G,'ON Data'!$E:$E,3))</f>
        <v>0</v>
      </c>
      <c r="D12" s="390">
        <f xml:space="preserve">
IF($A$4&lt;=12,SUMIFS('ON Data'!H:H,'ON Data'!$D:$D,$A$4,'ON Data'!$E:$E,3),SUMIFS('ON Data'!H:H,'ON Data'!$E:$E,3))</f>
        <v>167</v>
      </c>
      <c r="E12" s="390">
        <f xml:space="preserve">
IF($A$4&lt;=12,SUMIFS('ON Data'!I:I,'ON Data'!$D:$D,$A$4,'ON Data'!$E:$E,3),SUMIFS('ON Data'!I:I,'ON Data'!$E:$E,3))</f>
        <v>0</v>
      </c>
      <c r="F12" s="390">
        <f xml:space="preserve">
IF($A$4&lt;=12,SUMIFS('ON Data'!K:K,'ON Data'!$D:$D,$A$4,'ON Data'!$E:$E,3),SUMIFS('ON Data'!K:K,'ON Data'!$E:$E,3))</f>
        <v>2644</v>
      </c>
      <c r="G12" s="390">
        <f xml:space="preserve">
IF($A$4&lt;=12,SUMIFS('ON Data'!L:L,'ON Data'!$D:$D,$A$4,'ON Data'!$E:$E,3),SUMIFS('ON Data'!L:L,'ON Data'!$E:$E,3))</f>
        <v>144</v>
      </c>
      <c r="H12" s="390">
        <f xml:space="preserve">
IF($A$4&lt;=12,SUMIFS('ON Data'!M:M,'ON Data'!$D:$D,$A$4,'ON Data'!$E:$E,3),SUMIFS('ON Data'!M:M,'ON Data'!$E:$E,3))</f>
        <v>0</v>
      </c>
      <c r="I12" s="390">
        <f xml:space="preserve">
IF($A$4&lt;=12,SUMIFS('ON Data'!N:N,'ON Data'!$D:$D,$A$4,'ON Data'!$E:$E,3),SUMIFS('ON Data'!N:N,'ON Data'!$E:$E,3))</f>
        <v>0</v>
      </c>
      <c r="J12" s="390">
        <f xml:space="preserve">
IF($A$4&lt;=12,SUMIFS('ON Data'!O:O,'ON Data'!$D:$D,$A$4,'ON Data'!$E:$E,3),SUMIFS('ON Data'!O:O,'ON Data'!$E:$E,3))</f>
        <v>0</v>
      </c>
      <c r="K12" s="390">
        <f xml:space="preserve">
IF($A$4&lt;=12,SUMIFS('ON Data'!P:P,'ON Data'!$D:$D,$A$4,'ON Data'!$E:$E,3),SUMIFS('ON Data'!P:P,'ON Data'!$E:$E,3))</f>
        <v>0</v>
      </c>
      <c r="L12" s="390">
        <f xml:space="preserve">
IF($A$4&lt;=12,SUMIFS('ON Data'!Q:Q,'ON Data'!$D:$D,$A$4,'ON Data'!$E:$E,3),SUMIFS('ON Data'!Q:Q,'ON Data'!$E:$E,3))</f>
        <v>0</v>
      </c>
      <c r="M12" s="390">
        <f xml:space="preserve">
IF($A$4&lt;=12,SUMIFS('ON Data'!R:R,'ON Data'!$D:$D,$A$4,'ON Data'!$E:$E,3),SUMIFS('ON Data'!R:R,'ON Data'!$E:$E,3))</f>
        <v>0</v>
      </c>
      <c r="N12" s="390">
        <f xml:space="preserve">
IF($A$4&lt;=12,SUMIFS('ON Data'!S:S,'ON Data'!$D:$D,$A$4,'ON Data'!$E:$E,3),SUMIFS('ON Data'!S:S,'ON Data'!$E:$E,3))</f>
        <v>0</v>
      </c>
      <c r="O12" s="390">
        <f xml:space="preserve">
IF($A$4&lt;=12,SUMIFS('ON Data'!T:T,'ON Data'!$D:$D,$A$4,'ON Data'!$E:$E,3),SUMIFS('ON Data'!T:T,'ON Data'!$E:$E,3))</f>
        <v>0</v>
      </c>
      <c r="P12" s="390">
        <f xml:space="preserve">
IF($A$4&lt;=12,SUMIFS('ON Data'!U:U,'ON Data'!$D:$D,$A$4,'ON Data'!$E:$E,3),SUMIFS('ON Data'!U:U,'ON Data'!$E:$E,3))</f>
        <v>0</v>
      </c>
      <c r="Q12" s="390">
        <f xml:space="preserve">
IF($A$4&lt;=12,SUMIFS('ON Data'!V:V,'ON Data'!$D:$D,$A$4,'ON Data'!$E:$E,3),SUMIFS('ON Data'!V:V,'ON Data'!$E:$E,3))</f>
        <v>0</v>
      </c>
      <c r="R12" s="390">
        <f xml:space="preserve">
IF($A$4&lt;=12,SUMIFS('ON Data'!W:W,'ON Data'!$D:$D,$A$4,'ON Data'!$E:$E,3),SUMIFS('ON Data'!W:W,'ON Data'!$E:$E,3))</f>
        <v>0</v>
      </c>
      <c r="S12" s="390">
        <f xml:space="preserve">
IF($A$4&lt;=12,SUMIFS('ON Data'!X:X,'ON Data'!$D:$D,$A$4,'ON Data'!$E:$E,3),SUMIFS('ON Data'!X:X,'ON Data'!$E:$E,3))</f>
        <v>0</v>
      </c>
      <c r="T12" s="390">
        <f xml:space="preserve">
IF($A$4&lt;=12,SUMIFS('ON Data'!Y:Y,'ON Data'!$D:$D,$A$4,'ON Data'!$E:$E,3),SUMIFS('ON Data'!Y:Y,'ON Data'!$E:$E,3))</f>
        <v>0</v>
      </c>
      <c r="U12" s="390">
        <f xml:space="preserve">
IF($A$4&lt;=12,SUMIFS('ON Data'!Z:Z,'ON Data'!$D:$D,$A$4,'ON Data'!$E:$E,3),SUMIFS('ON Data'!Z:Z,'ON Data'!$E:$E,3))</f>
        <v>0</v>
      </c>
      <c r="V12" s="390">
        <f xml:space="preserve">
IF($A$4&lt;=12,SUMIFS('ON Data'!AA:AA,'ON Data'!$D:$D,$A$4,'ON Data'!$E:$E,3),SUMIFS('ON Data'!AA:AA,'ON Data'!$E:$E,3))</f>
        <v>0</v>
      </c>
      <c r="W12" s="390">
        <f xml:space="preserve">
IF($A$4&lt;=12,SUMIFS('ON Data'!AB:AB,'ON Data'!$D:$D,$A$4,'ON Data'!$E:$E,3),SUMIFS('ON Data'!AB:AB,'ON Data'!$E:$E,3))</f>
        <v>0</v>
      </c>
      <c r="X12" s="390">
        <f xml:space="preserve">
IF($A$4&lt;=12,SUMIFS('ON Data'!AC:AC,'ON Data'!$D:$D,$A$4,'ON Data'!$E:$E,3),SUMIFS('ON Data'!AC:AC,'ON Data'!$E:$E,3))</f>
        <v>0</v>
      </c>
      <c r="Y12" s="390">
        <f xml:space="preserve">
IF($A$4&lt;=12,SUMIFS('ON Data'!AD:AD,'ON Data'!$D:$D,$A$4,'ON Data'!$E:$E,3),SUMIFS('ON Data'!AD:AD,'ON Data'!$E:$E,3))</f>
        <v>0</v>
      </c>
      <c r="Z12" s="390">
        <f xml:space="preserve">
IF($A$4&lt;=12,SUMIFS('ON Data'!AE:AE,'ON Data'!$D:$D,$A$4,'ON Data'!$E:$E,3),SUMIFS('ON Data'!AE:AE,'ON Data'!$E:$E,3))</f>
        <v>0</v>
      </c>
      <c r="AA12" s="390">
        <f xml:space="preserve">
IF($A$4&lt;=12,SUMIFS('ON Data'!AF:AF,'ON Data'!$D:$D,$A$4,'ON Data'!$E:$E,3),SUMIFS('ON Data'!AF:AF,'ON Data'!$E:$E,3))</f>
        <v>0</v>
      </c>
      <c r="AB12" s="390">
        <f xml:space="preserve">
IF($A$4&lt;=12,SUMIFS('ON Data'!AG:AG,'ON Data'!$D:$D,$A$4,'ON Data'!$E:$E,3),SUMIFS('ON Data'!AG:AG,'ON Data'!$E:$E,3))</f>
        <v>0</v>
      </c>
      <c r="AC12" s="390">
        <f xml:space="preserve">
IF($A$4&lt;=12,SUMIFS('ON Data'!AH:AH,'ON Data'!$D:$D,$A$4,'ON Data'!$E:$E,3),SUMIFS('ON Data'!AH:AH,'ON Data'!$E:$E,3))</f>
        <v>0</v>
      </c>
      <c r="AD12" s="390">
        <f xml:space="preserve">
IF($A$4&lt;=12,SUMIFS('ON Data'!AI:AI,'ON Data'!$D:$D,$A$4,'ON Data'!$E:$E,3),SUMIFS('ON Data'!AI:AI,'ON Data'!$E:$E,3))</f>
        <v>0</v>
      </c>
      <c r="AE12" s="390">
        <f xml:space="preserve">
IF($A$4&lt;=12,SUMIFS('ON Data'!AJ:AJ,'ON Data'!$D:$D,$A$4,'ON Data'!$E:$E,3),SUMIFS('ON Data'!AJ:AJ,'ON Data'!$E:$E,3))</f>
        <v>0</v>
      </c>
      <c r="AF12" s="390">
        <f xml:space="preserve">
IF($A$4&lt;=12,SUMIFS('ON Data'!AK:AK,'ON Data'!$D:$D,$A$4,'ON Data'!$E:$E,3),SUMIFS('ON Data'!AK:AK,'ON Data'!$E:$E,3))</f>
        <v>0</v>
      </c>
      <c r="AG12" s="680">
        <f xml:space="preserve">
IF($A$4&lt;=12,SUMIFS('ON Data'!AM:AM,'ON Data'!$D:$D,$A$4,'ON Data'!$E:$E,3),SUMIFS('ON Data'!AM:AM,'ON Data'!$E:$E,3))</f>
        <v>0</v>
      </c>
      <c r="AH12" s="690"/>
    </row>
    <row r="13" spans="1:34" x14ac:dyDescent="0.3">
      <c r="A13" s="371" t="s">
        <v>241</v>
      </c>
      <c r="B13" s="388">
        <f xml:space="preserve">
IF($A$4&lt;=12,SUMIFS('ON Data'!F:F,'ON Data'!$D:$D,$A$4,'ON Data'!$E:$E,4),SUMIFS('ON Data'!F:F,'ON Data'!$E:$E,4))</f>
        <v>3346</v>
      </c>
      <c r="C13" s="389">
        <f xml:space="preserve">
IF($A$4&lt;=12,SUMIFS('ON Data'!G:G,'ON Data'!$D:$D,$A$4,'ON Data'!$E:$E,4),SUMIFS('ON Data'!G:G,'ON Data'!$E:$E,4))</f>
        <v>0</v>
      </c>
      <c r="D13" s="390">
        <f xml:space="preserve">
IF($A$4&lt;=12,SUMIFS('ON Data'!H:H,'ON Data'!$D:$D,$A$4,'ON Data'!$E:$E,4),SUMIFS('ON Data'!H:H,'ON Data'!$E:$E,4))</f>
        <v>2067</v>
      </c>
      <c r="E13" s="390">
        <f xml:space="preserve">
IF($A$4&lt;=12,SUMIFS('ON Data'!I:I,'ON Data'!$D:$D,$A$4,'ON Data'!$E:$E,4),SUMIFS('ON Data'!I:I,'ON Data'!$E:$E,4))</f>
        <v>0</v>
      </c>
      <c r="F13" s="390">
        <f xml:space="preserve">
IF($A$4&lt;=12,SUMIFS('ON Data'!K:K,'ON Data'!$D:$D,$A$4,'ON Data'!$E:$E,4),SUMIFS('ON Data'!K:K,'ON Data'!$E:$E,4))</f>
        <v>1182</v>
      </c>
      <c r="G13" s="390">
        <f xml:space="preserve">
IF($A$4&lt;=12,SUMIFS('ON Data'!L:L,'ON Data'!$D:$D,$A$4,'ON Data'!$E:$E,4),SUMIFS('ON Data'!L:L,'ON Data'!$E:$E,4))</f>
        <v>75</v>
      </c>
      <c r="H13" s="390">
        <f xml:space="preserve">
IF($A$4&lt;=12,SUMIFS('ON Data'!M:M,'ON Data'!$D:$D,$A$4,'ON Data'!$E:$E,4),SUMIFS('ON Data'!M:M,'ON Data'!$E:$E,4))</f>
        <v>0</v>
      </c>
      <c r="I13" s="390">
        <f xml:space="preserve">
IF($A$4&lt;=12,SUMIFS('ON Data'!N:N,'ON Data'!$D:$D,$A$4,'ON Data'!$E:$E,4),SUMIFS('ON Data'!N:N,'ON Data'!$E:$E,4))</f>
        <v>0</v>
      </c>
      <c r="J13" s="390">
        <f xml:space="preserve">
IF($A$4&lt;=12,SUMIFS('ON Data'!O:O,'ON Data'!$D:$D,$A$4,'ON Data'!$E:$E,4),SUMIFS('ON Data'!O:O,'ON Data'!$E:$E,4))</f>
        <v>0</v>
      </c>
      <c r="K13" s="390">
        <f xml:space="preserve">
IF($A$4&lt;=12,SUMIFS('ON Data'!P:P,'ON Data'!$D:$D,$A$4,'ON Data'!$E:$E,4),SUMIFS('ON Data'!P:P,'ON Data'!$E:$E,4))</f>
        <v>0</v>
      </c>
      <c r="L13" s="390">
        <f xml:space="preserve">
IF($A$4&lt;=12,SUMIFS('ON Data'!Q:Q,'ON Data'!$D:$D,$A$4,'ON Data'!$E:$E,4),SUMIFS('ON Data'!Q:Q,'ON Data'!$E:$E,4))</f>
        <v>0</v>
      </c>
      <c r="M13" s="390">
        <f xml:space="preserve">
IF($A$4&lt;=12,SUMIFS('ON Data'!R:R,'ON Data'!$D:$D,$A$4,'ON Data'!$E:$E,4),SUMIFS('ON Data'!R:R,'ON Data'!$E:$E,4))</f>
        <v>0</v>
      </c>
      <c r="N13" s="390">
        <f xml:space="preserve">
IF($A$4&lt;=12,SUMIFS('ON Data'!S:S,'ON Data'!$D:$D,$A$4,'ON Data'!$E:$E,4),SUMIFS('ON Data'!S:S,'ON Data'!$E:$E,4))</f>
        <v>0</v>
      </c>
      <c r="O13" s="390">
        <f xml:space="preserve">
IF($A$4&lt;=12,SUMIFS('ON Data'!T:T,'ON Data'!$D:$D,$A$4,'ON Data'!$E:$E,4),SUMIFS('ON Data'!T:T,'ON Data'!$E:$E,4))</f>
        <v>0</v>
      </c>
      <c r="P13" s="390">
        <f xml:space="preserve">
IF($A$4&lt;=12,SUMIFS('ON Data'!U:U,'ON Data'!$D:$D,$A$4,'ON Data'!$E:$E,4),SUMIFS('ON Data'!U:U,'ON Data'!$E:$E,4))</f>
        <v>0</v>
      </c>
      <c r="Q13" s="390">
        <f xml:space="preserve">
IF($A$4&lt;=12,SUMIFS('ON Data'!V:V,'ON Data'!$D:$D,$A$4,'ON Data'!$E:$E,4),SUMIFS('ON Data'!V:V,'ON Data'!$E:$E,4))</f>
        <v>0</v>
      </c>
      <c r="R13" s="390">
        <f xml:space="preserve">
IF($A$4&lt;=12,SUMIFS('ON Data'!W:W,'ON Data'!$D:$D,$A$4,'ON Data'!$E:$E,4),SUMIFS('ON Data'!W:W,'ON Data'!$E:$E,4))</f>
        <v>0</v>
      </c>
      <c r="S13" s="390">
        <f xml:space="preserve">
IF($A$4&lt;=12,SUMIFS('ON Data'!X:X,'ON Data'!$D:$D,$A$4,'ON Data'!$E:$E,4),SUMIFS('ON Data'!X:X,'ON Data'!$E:$E,4))</f>
        <v>0</v>
      </c>
      <c r="T13" s="390">
        <f xml:space="preserve">
IF($A$4&lt;=12,SUMIFS('ON Data'!Y:Y,'ON Data'!$D:$D,$A$4,'ON Data'!$E:$E,4),SUMIFS('ON Data'!Y:Y,'ON Data'!$E:$E,4))</f>
        <v>0</v>
      </c>
      <c r="U13" s="390">
        <f xml:space="preserve">
IF($A$4&lt;=12,SUMIFS('ON Data'!Z:Z,'ON Data'!$D:$D,$A$4,'ON Data'!$E:$E,4),SUMIFS('ON Data'!Z:Z,'ON Data'!$E:$E,4))</f>
        <v>0</v>
      </c>
      <c r="V13" s="390">
        <f xml:space="preserve">
IF($A$4&lt;=12,SUMIFS('ON Data'!AA:AA,'ON Data'!$D:$D,$A$4,'ON Data'!$E:$E,4),SUMIFS('ON Data'!AA:AA,'ON Data'!$E:$E,4))</f>
        <v>0</v>
      </c>
      <c r="W13" s="390">
        <f xml:space="preserve">
IF($A$4&lt;=12,SUMIFS('ON Data'!AB:AB,'ON Data'!$D:$D,$A$4,'ON Data'!$E:$E,4),SUMIFS('ON Data'!AB:AB,'ON Data'!$E:$E,4))</f>
        <v>0</v>
      </c>
      <c r="X13" s="390">
        <f xml:space="preserve">
IF($A$4&lt;=12,SUMIFS('ON Data'!AC:AC,'ON Data'!$D:$D,$A$4,'ON Data'!$E:$E,4),SUMIFS('ON Data'!AC:AC,'ON Data'!$E:$E,4))</f>
        <v>0</v>
      </c>
      <c r="Y13" s="390">
        <f xml:space="preserve">
IF($A$4&lt;=12,SUMIFS('ON Data'!AD:AD,'ON Data'!$D:$D,$A$4,'ON Data'!$E:$E,4),SUMIFS('ON Data'!AD:AD,'ON Data'!$E:$E,4))</f>
        <v>0</v>
      </c>
      <c r="Z13" s="390">
        <f xml:space="preserve">
IF($A$4&lt;=12,SUMIFS('ON Data'!AE:AE,'ON Data'!$D:$D,$A$4,'ON Data'!$E:$E,4),SUMIFS('ON Data'!AE:AE,'ON Data'!$E:$E,4))</f>
        <v>0</v>
      </c>
      <c r="AA13" s="390">
        <f xml:space="preserve">
IF($A$4&lt;=12,SUMIFS('ON Data'!AF:AF,'ON Data'!$D:$D,$A$4,'ON Data'!$E:$E,4),SUMIFS('ON Data'!AF:AF,'ON Data'!$E:$E,4))</f>
        <v>0</v>
      </c>
      <c r="AB13" s="390">
        <f xml:space="preserve">
IF($A$4&lt;=12,SUMIFS('ON Data'!AG:AG,'ON Data'!$D:$D,$A$4,'ON Data'!$E:$E,4),SUMIFS('ON Data'!AG:AG,'ON Data'!$E:$E,4))</f>
        <v>0</v>
      </c>
      <c r="AC13" s="390">
        <f xml:space="preserve">
IF($A$4&lt;=12,SUMIFS('ON Data'!AH:AH,'ON Data'!$D:$D,$A$4,'ON Data'!$E:$E,4),SUMIFS('ON Data'!AH:AH,'ON Data'!$E:$E,4))</f>
        <v>22</v>
      </c>
      <c r="AD13" s="390">
        <f xml:space="preserve">
IF($A$4&lt;=12,SUMIFS('ON Data'!AI:AI,'ON Data'!$D:$D,$A$4,'ON Data'!$E:$E,4),SUMIFS('ON Data'!AI:AI,'ON Data'!$E:$E,4))</f>
        <v>0</v>
      </c>
      <c r="AE13" s="390">
        <f xml:space="preserve">
IF($A$4&lt;=12,SUMIFS('ON Data'!AJ:AJ,'ON Data'!$D:$D,$A$4,'ON Data'!$E:$E,4),SUMIFS('ON Data'!AJ:AJ,'ON Data'!$E:$E,4))</f>
        <v>0</v>
      </c>
      <c r="AF13" s="390">
        <f xml:space="preserve">
IF($A$4&lt;=12,SUMIFS('ON Data'!AK:AK,'ON Data'!$D:$D,$A$4,'ON Data'!$E:$E,4),SUMIFS('ON Data'!AK:AK,'ON Data'!$E:$E,4))</f>
        <v>0</v>
      </c>
      <c r="AG13" s="680">
        <f xml:space="preserve">
IF($A$4&lt;=12,SUMIFS('ON Data'!AM:AM,'ON Data'!$D:$D,$A$4,'ON Data'!$E:$E,4),SUMIFS('ON Data'!AM:AM,'ON Data'!$E:$E,4))</f>
        <v>0</v>
      </c>
      <c r="AH13" s="690"/>
    </row>
    <row r="14" spans="1:34" ht="15" thickBot="1" x14ac:dyDescent="0.35">
      <c r="A14" s="372" t="s">
        <v>235</v>
      </c>
      <c r="B14" s="391">
        <f xml:space="preserve">
IF($A$4&lt;=12,SUMIFS('ON Data'!F:F,'ON Data'!$D:$D,$A$4,'ON Data'!$E:$E,5),SUMIFS('ON Data'!F:F,'ON Data'!$E:$E,5))</f>
        <v>315</v>
      </c>
      <c r="C14" s="392">
        <f xml:space="preserve">
IF($A$4&lt;=12,SUMIFS('ON Data'!G:G,'ON Data'!$D:$D,$A$4,'ON Data'!$E:$E,5),SUMIFS('ON Data'!G:G,'ON Data'!$E:$E,5))</f>
        <v>315</v>
      </c>
      <c r="D14" s="393">
        <f xml:space="preserve">
IF($A$4&lt;=12,SUMIFS('ON Data'!H:H,'ON Data'!$D:$D,$A$4,'ON Data'!$E:$E,5),SUMIFS('ON Data'!H:H,'ON Data'!$E:$E,5))</f>
        <v>0</v>
      </c>
      <c r="E14" s="393">
        <f xml:space="preserve">
IF($A$4&lt;=12,SUMIFS('ON Data'!I:I,'ON Data'!$D:$D,$A$4,'ON Data'!$E:$E,5),SUMIFS('ON Data'!I:I,'ON Data'!$E:$E,5))</f>
        <v>0</v>
      </c>
      <c r="F14" s="393">
        <f xml:space="preserve">
IF($A$4&lt;=12,SUMIFS('ON Data'!K:K,'ON Data'!$D:$D,$A$4,'ON Data'!$E:$E,5),SUMIFS('ON Data'!K:K,'ON Data'!$E:$E,5))</f>
        <v>0</v>
      </c>
      <c r="G14" s="393">
        <f xml:space="preserve">
IF($A$4&lt;=12,SUMIFS('ON Data'!L:L,'ON Data'!$D:$D,$A$4,'ON Data'!$E:$E,5),SUMIFS('ON Data'!L:L,'ON Data'!$E:$E,5))</f>
        <v>0</v>
      </c>
      <c r="H14" s="393">
        <f xml:space="preserve">
IF($A$4&lt;=12,SUMIFS('ON Data'!M:M,'ON Data'!$D:$D,$A$4,'ON Data'!$E:$E,5),SUMIFS('ON Data'!M:M,'ON Data'!$E:$E,5))</f>
        <v>0</v>
      </c>
      <c r="I14" s="393">
        <f xml:space="preserve">
IF($A$4&lt;=12,SUMIFS('ON Data'!N:N,'ON Data'!$D:$D,$A$4,'ON Data'!$E:$E,5),SUMIFS('ON Data'!N:N,'ON Data'!$E:$E,5))</f>
        <v>0</v>
      </c>
      <c r="J14" s="393">
        <f xml:space="preserve">
IF($A$4&lt;=12,SUMIFS('ON Data'!O:O,'ON Data'!$D:$D,$A$4,'ON Data'!$E:$E,5),SUMIFS('ON Data'!O:O,'ON Data'!$E:$E,5))</f>
        <v>0</v>
      </c>
      <c r="K14" s="393">
        <f xml:space="preserve">
IF($A$4&lt;=12,SUMIFS('ON Data'!P:P,'ON Data'!$D:$D,$A$4,'ON Data'!$E:$E,5),SUMIFS('ON Data'!P:P,'ON Data'!$E:$E,5))</f>
        <v>0</v>
      </c>
      <c r="L14" s="393">
        <f xml:space="preserve">
IF($A$4&lt;=12,SUMIFS('ON Data'!Q:Q,'ON Data'!$D:$D,$A$4,'ON Data'!$E:$E,5),SUMIFS('ON Data'!Q:Q,'ON Data'!$E:$E,5))</f>
        <v>0</v>
      </c>
      <c r="M14" s="393">
        <f xml:space="preserve">
IF($A$4&lt;=12,SUMIFS('ON Data'!R:R,'ON Data'!$D:$D,$A$4,'ON Data'!$E:$E,5),SUMIFS('ON Data'!R:R,'ON Data'!$E:$E,5))</f>
        <v>0</v>
      </c>
      <c r="N14" s="393">
        <f xml:space="preserve">
IF($A$4&lt;=12,SUMIFS('ON Data'!S:S,'ON Data'!$D:$D,$A$4,'ON Data'!$E:$E,5),SUMIFS('ON Data'!S:S,'ON Data'!$E:$E,5))</f>
        <v>0</v>
      </c>
      <c r="O14" s="393">
        <f xml:space="preserve">
IF($A$4&lt;=12,SUMIFS('ON Data'!T:T,'ON Data'!$D:$D,$A$4,'ON Data'!$E:$E,5),SUMIFS('ON Data'!T:T,'ON Data'!$E:$E,5))</f>
        <v>0</v>
      </c>
      <c r="P14" s="393">
        <f xml:space="preserve">
IF($A$4&lt;=12,SUMIFS('ON Data'!U:U,'ON Data'!$D:$D,$A$4,'ON Data'!$E:$E,5),SUMIFS('ON Data'!U:U,'ON Data'!$E:$E,5))</f>
        <v>0</v>
      </c>
      <c r="Q14" s="393">
        <f xml:space="preserve">
IF($A$4&lt;=12,SUMIFS('ON Data'!V:V,'ON Data'!$D:$D,$A$4,'ON Data'!$E:$E,5),SUMIFS('ON Data'!V:V,'ON Data'!$E:$E,5))</f>
        <v>0</v>
      </c>
      <c r="R14" s="393">
        <f xml:space="preserve">
IF($A$4&lt;=12,SUMIFS('ON Data'!W:W,'ON Data'!$D:$D,$A$4,'ON Data'!$E:$E,5),SUMIFS('ON Data'!W:W,'ON Data'!$E:$E,5))</f>
        <v>0</v>
      </c>
      <c r="S14" s="393">
        <f xml:space="preserve">
IF($A$4&lt;=12,SUMIFS('ON Data'!X:X,'ON Data'!$D:$D,$A$4,'ON Data'!$E:$E,5),SUMIFS('ON Data'!X:X,'ON Data'!$E:$E,5))</f>
        <v>0</v>
      </c>
      <c r="T14" s="393">
        <f xml:space="preserve">
IF($A$4&lt;=12,SUMIFS('ON Data'!Y:Y,'ON Data'!$D:$D,$A$4,'ON Data'!$E:$E,5),SUMIFS('ON Data'!Y:Y,'ON Data'!$E:$E,5))</f>
        <v>0</v>
      </c>
      <c r="U14" s="393">
        <f xml:space="preserve">
IF($A$4&lt;=12,SUMIFS('ON Data'!Z:Z,'ON Data'!$D:$D,$A$4,'ON Data'!$E:$E,5),SUMIFS('ON Data'!Z:Z,'ON Data'!$E:$E,5))</f>
        <v>0</v>
      </c>
      <c r="V14" s="393">
        <f xml:space="preserve">
IF($A$4&lt;=12,SUMIFS('ON Data'!AA:AA,'ON Data'!$D:$D,$A$4,'ON Data'!$E:$E,5),SUMIFS('ON Data'!AA:AA,'ON Data'!$E:$E,5))</f>
        <v>0</v>
      </c>
      <c r="W14" s="393">
        <f xml:space="preserve">
IF($A$4&lt;=12,SUMIFS('ON Data'!AB:AB,'ON Data'!$D:$D,$A$4,'ON Data'!$E:$E,5),SUMIFS('ON Data'!AB:AB,'ON Data'!$E:$E,5))</f>
        <v>0</v>
      </c>
      <c r="X14" s="393">
        <f xml:space="preserve">
IF($A$4&lt;=12,SUMIFS('ON Data'!AC:AC,'ON Data'!$D:$D,$A$4,'ON Data'!$E:$E,5),SUMIFS('ON Data'!AC:AC,'ON Data'!$E:$E,5))</f>
        <v>0</v>
      </c>
      <c r="Y14" s="393">
        <f xml:space="preserve">
IF($A$4&lt;=12,SUMIFS('ON Data'!AD:AD,'ON Data'!$D:$D,$A$4,'ON Data'!$E:$E,5),SUMIFS('ON Data'!AD:AD,'ON Data'!$E:$E,5))</f>
        <v>0</v>
      </c>
      <c r="Z14" s="393">
        <f xml:space="preserve">
IF($A$4&lt;=12,SUMIFS('ON Data'!AE:AE,'ON Data'!$D:$D,$A$4,'ON Data'!$E:$E,5),SUMIFS('ON Data'!AE:AE,'ON Data'!$E:$E,5))</f>
        <v>0</v>
      </c>
      <c r="AA14" s="393">
        <f xml:space="preserve">
IF($A$4&lt;=12,SUMIFS('ON Data'!AF:AF,'ON Data'!$D:$D,$A$4,'ON Data'!$E:$E,5),SUMIFS('ON Data'!AF:AF,'ON Data'!$E:$E,5))</f>
        <v>0</v>
      </c>
      <c r="AB14" s="393">
        <f xml:space="preserve">
IF($A$4&lt;=12,SUMIFS('ON Data'!AG:AG,'ON Data'!$D:$D,$A$4,'ON Data'!$E:$E,5),SUMIFS('ON Data'!AG:AG,'ON Data'!$E:$E,5))</f>
        <v>0</v>
      </c>
      <c r="AC14" s="393">
        <f xml:space="preserve">
IF($A$4&lt;=12,SUMIFS('ON Data'!AH:AH,'ON Data'!$D:$D,$A$4,'ON Data'!$E:$E,5),SUMIFS('ON Data'!AH:AH,'ON Data'!$E:$E,5))</f>
        <v>0</v>
      </c>
      <c r="AD14" s="393">
        <f xml:space="preserve">
IF($A$4&lt;=12,SUMIFS('ON Data'!AI:AI,'ON Data'!$D:$D,$A$4,'ON Data'!$E:$E,5),SUMIFS('ON Data'!AI:AI,'ON Data'!$E:$E,5))</f>
        <v>0</v>
      </c>
      <c r="AE14" s="393">
        <f xml:space="preserve">
IF($A$4&lt;=12,SUMIFS('ON Data'!AJ:AJ,'ON Data'!$D:$D,$A$4,'ON Data'!$E:$E,5),SUMIFS('ON Data'!AJ:AJ,'ON Data'!$E:$E,5))</f>
        <v>0</v>
      </c>
      <c r="AF14" s="393">
        <f xml:space="preserve">
IF($A$4&lt;=12,SUMIFS('ON Data'!AK:AK,'ON Data'!$D:$D,$A$4,'ON Data'!$E:$E,5),SUMIFS('ON Data'!AK:AK,'ON Data'!$E:$E,5))</f>
        <v>0</v>
      </c>
      <c r="AG14" s="681">
        <f xml:space="preserve">
IF($A$4&lt;=12,SUMIFS('ON Data'!AM:AM,'ON Data'!$D:$D,$A$4,'ON Data'!$E:$E,5),SUMIFS('ON Data'!AM:AM,'ON Data'!$E:$E,5))</f>
        <v>0</v>
      </c>
      <c r="AH14" s="690"/>
    </row>
    <row r="15" spans="1:34" x14ac:dyDescent="0.3">
      <c r="A15" s="271" t="s">
        <v>245</v>
      </c>
      <c r="B15" s="394"/>
      <c r="C15" s="395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682"/>
      <c r="AH15" s="690"/>
    </row>
    <row r="16" spans="1:34" x14ac:dyDescent="0.3">
      <c r="A16" s="373" t="s">
        <v>236</v>
      </c>
      <c r="B16" s="388">
        <f xml:space="preserve">
IF($A$4&lt;=12,SUMIFS('ON Data'!F:F,'ON Data'!$D:$D,$A$4,'ON Data'!$E:$E,7),SUMIFS('ON Data'!F:F,'ON Data'!$E:$E,7))</f>
        <v>0</v>
      </c>
      <c r="C16" s="389">
        <f xml:space="preserve">
IF($A$4&lt;=12,SUMIFS('ON Data'!G:G,'ON Data'!$D:$D,$A$4,'ON Data'!$E:$E,7),SUMIFS('ON Data'!G:G,'ON Data'!$E:$E,7))</f>
        <v>0</v>
      </c>
      <c r="D16" s="390">
        <f xml:space="preserve">
IF($A$4&lt;=12,SUMIFS('ON Data'!H:H,'ON Data'!$D:$D,$A$4,'ON Data'!$E:$E,7),SUMIFS('ON Data'!H:H,'ON Data'!$E:$E,7))</f>
        <v>0</v>
      </c>
      <c r="E16" s="390">
        <f xml:space="preserve">
IF($A$4&lt;=12,SUMIFS('ON Data'!I:I,'ON Data'!$D:$D,$A$4,'ON Data'!$E:$E,7),SUMIFS('ON Data'!I:I,'ON Data'!$E:$E,7))</f>
        <v>0</v>
      </c>
      <c r="F16" s="390">
        <f xml:space="preserve">
IF($A$4&lt;=12,SUMIFS('ON Data'!K:K,'ON Data'!$D:$D,$A$4,'ON Data'!$E:$E,7),SUMIFS('ON Data'!K:K,'ON Data'!$E:$E,7))</f>
        <v>0</v>
      </c>
      <c r="G16" s="390">
        <f xml:space="preserve">
IF($A$4&lt;=12,SUMIFS('ON Data'!L:L,'ON Data'!$D:$D,$A$4,'ON Data'!$E:$E,7),SUMIFS('ON Data'!L:L,'ON Data'!$E:$E,7))</f>
        <v>0</v>
      </c>
      <c r="H16" s="390">
        <f xml:space="preserve">
IF($A$4&lt;=12,SUMIFS('ON Data'!M:M,'ON Data'!$D:$D,$A$4,'ON Data'!$E:$E,7),SUMIFS('ON Data'!M:M,'ON Data'!$E:$E,7))</f>
        <v>0</v>
      </c>
      <c r="I16" s="390">
        <f xml:space="preserve">
IF($A$4&lt;=12,SUMIFS('ON Data'!N:N,'ON Data'!$D:$D,$A$4,'ON Data'!$E:$E,7),SUMIFS('ON Data'!N:N,'ON Data'!$E:$E,7))</f>
        <v>0</v>
      </c>
      <c r="J16" s="390">
        <f xml:space="preserve">
IF($A$4&lt;=12,SUMIFS('ON Data'!O:O,'ON Data'!$D:$D,$A$4,'ON Data'!$E:$E,7),SUMIFS('ON Data'!O:O,'ON Data'!$E:$E,7))</f>
        <v>0</v>
      </c>
      <c r="K16" s="390">
        <f xml:space="preserve">
IF($A$4&lt;=12,SUMIFS('ON Data'!P:P,'ON Data'!$D:$D,$A$4,'ON Data'!$E:$E,7),SUMIFS('ON Data'!P:P,'ON Data'!$E:$E,7))</f>
        <v>0</v>
      </c>
      <c r="L16" s="390">
        <f xml:space="preserve">
IF($A$4&lt;=12,SUMIFS('ON Data'!Q:Q,'ON Data'!$D:$D,$A$4,'ON Data'!$E:$E,7),SUMIFS('ON Data'!Q:Q,'ON Data'!$E:$E,7))</f>
        <v>0</v>
      </c>
      <c r="M16" s="390">
        <f xml:space="preserve">
IF($A$4&lt;=12,SUMIFS('ON Data'!R:R,'ON Data'!$D:$D,$A$4,'ON Data'!$E:$E,7),SUMIFS('ON Data'!R:R,'ON Data'!$E:$E,7))</f>
        <v>0</v>
      </c>
      <c r="N16" s="390">
        <f xml:space="preserve">
IF($A$4&lt;=12,SUMIFS('ON Data'!S:S,'ON Data'!$D:$D,$A$4,'ON Data'!$E:$E,7),SUMIFS('ON Data'!S:S,'ON Data'!$E:$E,7))</f>
        <v>0</v>
      </c>
      <c r="O16" s="390">
        <f xml:space="preserve">
IF($A$4&lt;=12,SUMIFS('ON Data'!T:T,'ON Data'!$D:$D,$A$4,'ON Data'!$E:$E,7),SUMIFS('ON Data'!T:T,'ON Data'!$E:$E,7))</f>
        <v>0</v>
      </c>
      <c r="P16" s="390">
        <f xml:space="preserve">
IF($A$4&lt;=12,SUMIFS('ON Data'!U:U,'ON Data'!$D:$D,$A$4,'ON Data'!$E:$E,7),SUMIFS('ON Data'!U:U,'ON Data'!$E:$E,7))</f>
        <v>0</v>
      </c>
      <c r="Q16" s="390">
        <f xml:space="preserve">
IF($A$4&lt;=12,SUMIFS('ON Data'!V:V,'ON Data'!$D:$D,$A$4,'ON Data'!$E:$E,7),SUMIFS('ON Data'!V:V,'ON Data'!$E:$E,7))</f>
        <v>0</v>
      </c>
      <c r="R16" s="390">
        <f xml:space="preserve">
IF($A$4&lt;=12,SUMIFS('ON Data'!W:W,'ON Data'!$D:$D,$A$4,'ON Data'!$E:$E,7),SUMIFS('ON Data'!W:W,'ON Data'!$E:$E,7))</f>
        <v>0</v>
      </c>
      <c r="S16" s="390">
        <f xml:space="preserve">
IF($A$4&lt;=12,SUMIFS('ON Data'!X:X,'ON Data'!$D:$D,$A$4,'ON Data'!$E:$E,7),SUMIFS('ON Data'!X:X,'ON Data'!$E:$E,7))</f>
        <v>0</v>
      </c>
      <c r="T16" s="390">
        <f xml:space="preserve">
IF($A$4&lt;=12,SUMIFS('ON Data'!Y:Y,'ON Data'!$D:$D,$A$4,'ON Data'!$E:$E,7),SUMIFS('ON Data'!Y:Y,'ON Data'!$E:$E,7))</f>
        <v>0</v>
      </c>
      <c r="U16" s="390">
        <f xml:space="preserve">
IF($A$4&lt;=12,SUMIFS('ON Data'!Z:Z,'ON Data'!$D:$D,$A$4,'ON Data'!$E:$E,7),SUMIFS('ON Data'!Z:Z,'ON Data'!$E:$E,7))</f>
        <v>0</v>
      </c>
      <c r="V16" s="390">
        <f xml:space="preserve">
IF($A$4&lt;=12,SUMIFS('ON Data'!AA:AA,'ON Data'!$D:$D,$A$4,'ON Data'!$E:$E,7),SUMIFS('ON Data'!AA:AA,'ON Data'!$E:$E,7))</f>
        <v>0</v>
      </c>
      <c r="W16" s="390">
        <f xml:space="preserve">
IF($A$4&lt;=12,SUMIFS('ON Data'!AB:AB,'ON Data'!$D:$D,$A$4,'ON Data'!$E:$E,7),SUMIFS('ON Data'!AB:AB,'ON Data'!$E:$E,7))</f>
        <v>0</v>
      </c>
      <c r="X16" s="390">
        <f xml:space="preserve">
IF($A$4&lt;=12,SUMIFS('ON Data'!AC:AC,'ON Data'!$D:$D,$A$4,'ON Data'!$E:$E,7),SUMIFS('ON Data'!AC:AC,'ON Data'!$E:$E,7))</f>
        <v>0</v>
      </c>
      <c r="Y16" s="390">
        <f xml:space="preserve">
IF($A$4&lt;=12,SUMIFS('ON Data'!AD:AD,'ON Data'!$D:$D,$A$4,'ON Data'!$E:$E,7),SUMIFS('ON Data'!AD:AD,'ON Data'!$E:$E,7))</f>
        <v>0</v>
      </c>
      <c r="Z16" s="390">
        <f xml:space="preserve">
IF($A$4&lt;=12,SUMIFS('ON Data'!AE:AE,'ON Data'!$D:$D,$A$4,'ON Data'!$E:$E,7),SUMIFS('ON Data'!AE:AE,'ON Data'!$E:$E,7))</f>
        <v>0</v>
      </c>
      <c r="AA16" s="390">
        <f xml:space="preserve">
IF($A$4&lt;=12,SUMIFS('ON Data'!AF:AF,'ON Data'!$D:$D,$A$4,'ON Data'!$E:$E,7),SUMIFS('ON Data'!AF:AF,'ON Data'!$E:$E,7))</f>
        <v>0</v>
      </c>
      <c r="AB16" s="390">
        <f xml:space="preserve">
IF($A$4&lt;=12,SUMIFS('ON Data'!AG:AG,'ON Data'!$D:$D,$A$4,'ON Data'!$E:$E,7),SUMIFS('ON Data'!AG:AG,'ON Data'!$E:$E,7))</f>
        <v>0</v>
      </c>
      <c r="AC16" s="390">
        <f xml:space="preserve">
IF($A$4&lt;=12,SUMIFS('ON Data'!AH:AH,'ON Data'!$D:$D,$A$4,'ON Data'!$E:$E,7),SUMIFS('ON Data'!AH:AH,'ON Data'!$E:$E,7))</f>
        <v>0</v>
      </c>
      <c r="AD16" s="390">
        <f xml:space="preserve">
IF($A$4&lt;=12,SUMIFS('ON Data'!AI:AI,'ON Data'!$D:$D,$A$4,'ON Data'!$E:$E,7),SUMIFS('ON Data'!AI:AI,'ON Data'!$E:$E,7))</f>
        <v>0</v>
      </c>
      <c r="AE16" s="390">
        <f xml:space="preserve">
IF($A$4&lt;=12,SUMIFS('ON Data'!AJ:AJ,'ON Data'!$D:$D,$A$4,'ON Data'!$E:$E,7),SUMIFS('ON Data'!AJ:AJ,'ON Data'!$E:$E,7))</f>
        <v>0</v>
      </c>
      <c r="AF16" s="390">
        <f xml:space="preserve">
IF($A$4&lt;=12,SUMIFS('ON Data'!AK:AK,'ON Data'!$D:$D,$A$4,'ON Data'!$E:$E,7),SUMIFS('ON Data'!AK:AK,'ON Data'!$E:$E,7))</f>
        <v>0</v>
      </c>
      <c r="AG16" s="680">
        <f xml:space="preserve">
IF($A$4&lt;=12,SUMIFS('ON Data'!AM:AM,'ON Data'!$D:$D,$A$4,'ON Data'!$E:$E,7),SUMIFS('ON Data'!AM:AM,'ON Data'!$E:$E,7))</f>
        <v>0</v>
      </c>
      <c r="AH16" s="690"/>
    </row>
    <row r="17" spans="1:34" x14ac:dyDescent="0.3">
      <c r="A17" s="373" t="s">
        <v>237</v>
      </c>
      <c r="B17" s="388">
        <f xml:space="preserve">
IF($A$4&lt;=12,SUMIFS('ON Data'!F:F,'ON Data'!$D:$D,$A$4,'ON Data'!$E:$E,8),SUMIFS('ON Data'!F:F,'ON Data'!$E:$E,8))</f>
        <v>0</v>
      </c>
      <c r="C17" s="389">
        <f xml:space="preserve">
IF($A$4&lt;=12,SUMIFS('ON Data'!G:G,'ON Data'!$D:$D,$A$4,'ON Data'!$E:$E,8),SUMIFS('ON Data'!G:G,'ON Data'!$E:$E,8))</f>
        <v>0</v>
      </c>
      <c r="D17" s="390">
        <f xml:space="preserve">
IF($A$4&lt;=12,SUMIFS('ON Data'!H:H,'ON Data'!$D:$D,$A$4,'ON Data'!$E:$E,8),SUMIFS('ON Data'!H:H,'ON Data'!$E:$E,8))</f>
        <v>0</v>
      </c>
      <c r="E17" s="390">
        <f xml:space="preserve">
IF($A$4&lt;=12,SUMIFS('ON Data'!I:I,'ON Data'!$D:$D,$A$4,'ON Data'!$E:$E,8),SUMIFS('ON Data'!I:I,'ON Data'!$E:$E,8))</f>
        <v>0</v>
      </c>
      <c r="F17" s="390">
        <f xml:space="preserve">
IF($A$4&lt;=12,SUMIFS('ON Data'!K:K,'ON Data'!$D:$D,$A$4,'ON Data'!$E:$E,8),SUMIFS('ON Data'!K:K,'ON Data'!$E:$E,8))</f>
        <v>0</v>
      </c>
      <c r="G17" s="390">
        <f xml:space="preserve">
IF($A$4&lt;=12,SUMIFS('ON Data'!L:L,'ON Data'!$D:$D,$A$4,'ON Data'!$E:$E,8),SUMIFS('ON Data'!L:L,'ON Data'!$E:$E,8))</f>
        <v>0</v>
      </c>
      <c r="H17" s="390">
        <f xml:space="preserve">
IF($A$4&lt;=12,SUMIFS('ON Data'!M:M,'ON Data'!$D:$D,$A$4,'ON Data'!$E:$E,8),SUMIFS('ON Data'!M:M,'ON Data'!$E:$E,8))</f>
        <v>0</v>
      </c>
      <c r="I17" s="390">
        <f xml:space="preserve">
IF($A$4&lt;=12,SUMIFS('ON Data'!N:N,'ON Data'!$D:$D,$A$4,'ON Data'!$E:$E,8),SUMIFS('ON Data'!N:N,'ON Data'!$E:$E,8))</f>
        <v>0</v>
      </c>
      <c r="J17" s="390">
        <f xml:space="preserve">
IF($A$4&lt;=12,SUMIFS('ON Data'!O:O,'ON Data'!$D:$D,$A$4,'ON Data'!$E:$E,8),SUMIFS('ON Data'!O:O,'ON Data'!$E:$E,8))</f>
        <v>0</v>
      </c>
      <c r="K17" s="390">
        <f xml:space="preserve">
IF($A$4&lt;=12,SUMIFS('ON Data'!P:P,'ON Data'!$D:$D,$A$4,'ON Data'!$E:$E,8),SUMIFS('ON Data'!P:P,'ON Data'!$E:$E,8))</f>
        <v>0</v>
      </c>
      <c r="L17" s="390">
        <f xml:space="preserve">
IF($A$4&lt;=12,SUMIFS('ON Data'!Q:Q,'ON Data'!$D:$D,$A$4,'ON Data'!$E:$E,8),SUMIFS('ON Data'!Q:Q,'ON Data'!$E:$E,8))</f>
        <v>0</v>
      </c>
      <c r="M17" s="390">
        <f xml:space="preserve">
IF($A$4&lt;=12,SUMIFS('ON Data'!R:R,'ON Data'!$D:$D,$A$4,'ON Data'!$E:$E,8),SUMIFS('ON Data'!R:R,'ON Data'!$E:$E,8))</f>
        <v>0</v>
      </c>
      <c r="N17" s="390">
        <f xml:space="preserve">
IF($A$4&lt;=12,SUMIFS('ON Data'!S:S,'ON Data'!$D:$D,$A$4,'ON Data'!$E:$E,8),SUMIFS('ON Data'!S:S,'ON Data'!$E:$E,8))</f>
        <v>0</v>
      </c>
      <c r="O17" s="390">
        <f xml:space="preserve">
IF($A$4&lt;=12,SUMIFS('ON Data'!T:T,'ON Data'!$D:$D,$A$4,'ON Data'!$E:$E,8),SUMIFS('ON Data'!T:T,'ON Data'!$E:$E,8))</f>
        <v>0</v>
      </c>
      <c r="P17" s="390">
        <f xml:space="preserve">
IF($A$4&lt;=12,SUMIFS('ON Data'!U:U,'ON Data'!$D:$D,$A$4,'ON Data'!$E:$E,8),SUMIFS('ON Data'!U:U,'ON Data'!$E:$E,8))</f>
        <v>0</v>
      </c>
      <c r="Q17" s="390">
        <f xml:space="preserve">
IF($A$4&lt;=12,SUMIFS('ON Data'!V:V,'ON Data'!$D:$D,$A$4,'ON Data'!$E:$E,8),SUMIFS('ON Data'!V:V,'ON Data'!$E:$E,8))</f>
        <v>0</v>
      </c>
      <c r="R17" s="390">
        <f xml:space="preserve">
IF($A$4&lt;=12,SUMIFS('ON Data'!W:W,'ON Data'!$D:$D,$A$4,'ON Data'!$E:$E,8),SUMIFS('ON Data'!W:W,'ON Data'!$E:$E,8))</f>
        <v>0</v>
      </c>
      <c r="S17" s="390">
        <f xml:space="preserve">
IF($A$4&lt;=12,SUMIFS('ON Data'!X:X,'ON Data'!$D:$D,$A$4,'ON Data'!$E:$E,8),SUMIFS('ON Data'!X:X,'ON Data'!$E:$E,8))</f>
        <v>0</v>
      </c>
      <c r="T17" s="390">
        <f xml:space="preserve">
IF($A$4&lt;=12,SUMIFS('ON Data'!Y:Y,'ON Data'!$D:$D,$A$4,'ON Data'!$E:$E,8),SUMIFS('ON Data'!Y:Y,'ON Data'!$E:$E,8))</f>
        <v>0</v>
      </c>
      <c r="U17" s="390">
        <f xml:space="preserve">
IF($A$4&lt;=12,SUMIFS('ON Data'!Z:Z,'ON Data'!$D:$D,$A$4,'ON Data'!$E:$E,8),SUMIFS('ON Data'!Z:Z,'ON Data'!$E:$E,8))</f>
        <v>0</v>
      </c>
      <c r="V17" s="390">
        <f xml:space="preserve">
IF($A$4&lt;=12,SUMIFS('ON Data'!AA:AA,'ON Data'!$D:$D,$A$4,'ON Data'!$E:$E,8),SUMIFS('ON Data'!AA:AA,'ON Data'!$E:$E,8))</f>
        <v>0</v>
      </c>
      <c r="W17" s="390">
        <f xml:space="preserve">
IF($A$4&lt;=12,SUMIFS('ON Data'!AB:AB,'ON Data'!$D:$D,$A$4,'ON Data'!$E:$E,8),SUMIFS('ON Data'!AB:AB,'ON Data'!$E:$E,8))</f>
        <v>0</v>
      </c>
      <c r="X17" s="390">
        <f xml:space="preserve">
IF($A$4&lt;=12,SUMIFS('ON Data'!AC:AC,'ON Data'!$D:$D,$A$4,'ON Data'!$E:$E,8),SUMIFS('ON Data'!AC:AC,'ON Data'!$E:$E,8))</f>
        <v>0</v>
      </c>
      <c r="Y17" s="390">
        <f xml:space="preserve">
IF($A$4&lt;=12,SUMIFS('ON Data'!AD:AD,'ON Data'!$D:$D,$A$4,'ON Data'!$E:$E,8),SUMIFS('ON Data'!AD:AD,'ON Data'!$E:$E,8))</f>
        <v>0</v>
      </c>
      <c r="Z17" s="390">
        <f xml:space="preserve">
IF($A$4&lt;=12,SUMIFS('ON Data'!AE:AE,'ON Data'!$D:$D,$A$4,'ON Data'!$E:$E,8),SUMIFS('ON Data'!AE:AE,'ON Data'!$E:$E,8))</f>
        <v>0</v>
      </c>
      <c r="AA17" s="390">
        <f xml:space="preserve">
IF($A$4&lt;=12,SUMIFS('ON Data'!AF:AF,'ON Data'!$D:$D,$A$4,'ON Data'!$E:$E,8),SUMIFS('ON Data'!AF:AF,'ON Data'!$E:$E,8))</f>
        <v>0</v>
      </c>
      <c r="AB17" s="390">
        <f xml:space="preserve">
IF($A$4&lt;=12,SUMIFS('ON Data'!AG:AG,'ON Data'!$D:$D,$A$4,'ON Data'!$E:$E,8),SUMIFS('ON Data'!AG:AG,'ON Data'!$E:$E,8))</f>
        <v>0</v>
      </c>
      <c r="AC17" s="390">
        <f xml:space="preserve">
IF($A$4&lt;=12,SUMIFS('ON Data'!AH:AH,'ON Data'!$D:$D,$A$4,'ON Data'!$E:$E,8),SUMIFS('ON Data'!AH:AH,'ON Data'!$E:$E,8))</f>
        <v>0</v>
      </c>
      <c r="AD17" s="390">
        <f xml:space="preserve">
IF($A$4&lt;=12,SUMIFS('ON Data'!AI:AI,'ON Data'!$D:$D,$A$4,'ON Data'!$E:$E,8),SUMIFS('ON Data'!AI:AI,'ON Data'!$E:$E,8))</f>
        <v>0</v>
      </c>
      <c r="AE17" s="390">
        <f xml:space="preserve">
IF($A$4&lt;=12,SUMIFS('ON Data'!AJ:AJ,'ON Data'!$D:$D,$A$4,'ON Data'!$E:$E,8),SUMIFS('ON Data'!AJ:AJ,'ON Data'!$E:$E,8))</f>
        <v>0</v>
      </c>
      <c r="AF17" s="390">
        <f xml:space="preserve">
IF($A$4&lt;=12,SUMIFS('ON Data'!AK:AK,'ON Data'!$D:$D,$A$4,'ON Data'!$E:$E,8),SUMIFS('ON Data'!AK:AK,'ON Data'!$E:$E,8))</f>
        <v>0</v>
      </c>
      <c r="AG17" s="680">
        <f xml:space="preserve">
IF($A$4&lt;=12,SUMIFS('ON Data'!AM:AM,'ON Data'!$D:$D,$A$4,'ON Data'!$E:$E,8),SUMIFS('ON Data'!AM:AM,'ON Data'!$E:$E,8))</f>
        <v>0</v>
      </c>
      <c r="AH17" s="690"/>
    </row>
    <row r="18" spans="1:34" x14ac:dyDescent="0.3">
      <c r="A18" s="373" t="s">
        <v>238</v>
      </c>
      <c r="B18" s="388">
        <f xml:space="preserve">
B19-B16-B17</f>
        <v>1106622</v>
      </c>
      <c r="C18" s="389">
        <f t="shared" ref="C18" si="0" xml:space="preserve">
C19-C16-C17</f>
        <v>0</v>
      </c>
      <c r="D18" s="390">
        <f t="shared" ref="D18:AG18" si="1" xml:space="preserve">
D19-D16-D17</f>
        <v>433712</v>
      </c>
      <c r="E18" s="390">
        <f t="shared" si="1"/>
        <v>0</v>
      </c>
      <c r="F18" s="390">
        <f t="shared" si="1"/>
        <v>618222</v>
      </c>
      <c r="G18" s="390">
        <f t="shared" si="1"/>
        <v>13368</v>
      </c>
      <c r="H18" s="390">
        <f t="shared" si="1"/>
        <v>0</v>
      </c>
      <c r="I18" s="390">
        <f t="shared" si="1"/>
        <v>0</v>
      </c>
      <c r="J18" s="390">
        <f t="shared" si="1"/>
        <v>0</v>
      </c>
      <c r="K18" s="390">
        <f t="shared" si="1"/>
        <v>0</v>
      </c>
      <c r="L18" s="390">
        <f t="shared" si="1"/>
        <v>0</v>
      </c>
      <c r="M18" s="390">
        <f t="shared" si="1"/>
        <v>0</v>
      </c>
      <c r="N18" s="390">
        <f t="shared" si="1"/>
        <v>0</v>
      </c>
      <c r="O18" s="390">
        <f t="shared" si="1"/>
        <v>0</v>
      </c>
      <c r="P18" s="390">
        <f t="shared" si="1"/>
        <v>0</v>
      </c>
      <c r="Q18" s="390">
        <f t="shared" si="1"/>
        <v>0</v>
      </c>
      <c r="R18" s="390">
        <f t="shared" si="1"/>
        <v>0</v>
      </c>
      <c r="S18" s="390">
        <f t="shared" si="1"/>
        <v>0</v>
      </c>
      <c r="T18" s="390">
        <f t="shared" si="1"/>
        <v>0</v>
      </c>
      <c r="U18" s="390">
        <f t="shared" si="1"/>
        <v>0</v>
      </c>
      <c r="V18" s="390">
        <f t="shared" si="1"/>
        <v>0</v>
      </c>
      <c r="W18" s="390">
        <f t="shared" si="1"/>
        <v>0</v>
      </c>
      <c r="X18" s="390">
        <f t="shared" si="1"/>
        <v>0</v>
      </c>
      <c r="Y18" s="390">
        <f t="shared" si="1"/>
        <v>0</v>
      </c>
      <c r="Z18" s="390">
        <f t="shared" si="1"/>
        <v>0</v>
      </c>
      <c r="AA18" s="390">
        <f t="shared" si="1"/>
        <v>0</v>
      </c>
      <c r="AB18" s="390">
        <f t="shared" si="1"/>
        <v>0</v>
      </c>
      <c r="AC18" s="390">
        <f t="shared" si="1"/>
        <v>30144</v>
      </c>
      <c r="AD18" s="390">
        <f t="shared" si="1"/>
        <v>0</v>
      </c>
      <c r="AE18" s="390">
        <f t="shared" si="1"/>
        <v>0</v>
      </c>
      <c r="AF18" s="390">
        <f t="shared" si="1"/>
        <v>0</v>
      </c>
      <c r="AG18" s="680">
        <f t="shared" si="1"/>
        <v>11176</v>
      </c>
      <c r="AH18" s="690"/>
    </row>
    <row r="19" spans="1:34" ht="15" thickBot="1" x14ac:dyDescent="0.35">
      <c r="A19" s="374" t="s">
        <v>239</v>
      </c>
      <c r="B19" s="397">
        <f xml:space="preserve">
IF($A$4&lt;=12,SUMIFS('ON Data'!F:F,'ON Data'!$D:$D,$A$4,'ON Data'!$E:$E,9),SUMIFS('ON Data'!F:F,'ON Data'!$E:$E,9))</f>
        <v>1106622</v>
      </c>
      <c r="C19" s="398">
        <f xml:space="preserve">
IF($A$4&lt;=12,SUMIFS('ON Data'!G:G,'ON Data'!$D:$D,$A$4,'ON Data'!$E:$E,9),SUMIFS('ON Data'!G:G,'ON Data'!$E:$E,9))</f>
        <v>0</v>
      </c>
      <c r="D19" s="399">
        <f xml:space="preserve">
IF($A$4&lt;=12,SUMIFS('ON Data'!H:H,'ON Data'!$D:$D,$A$4,'ON Data'!$E:$E,9),SUMIFS('ON Data'!H:H,'ON Data'!$E:$E,9))</f>
        <v>433712</v>
      </c>
      <c r="E19" s="399">
        <f xml:space="preserve">
IF($A$4&lt;=12,SUMIFS('ON Data'!I:I,'ON Data'!$D:$D,$A$4,'ON Data'!$E:$E,9),SUMIFS('ON Data'!I:I,'ON Data'!$E:$E,9))</f>
        <v>0</v>
      </c>
      <c r="F19" s="399">
        <f xml:space="preserve">
IF($A$4&lt;=12,SUMIFS('ON Data'!K:K,'ON Data'!$D:$D,$A$4,'ON Data'!$E:$E,9),SUMIFS('ON Data'!K:K,'ON Data'!$E:$E,9))</f>
        <v>618222</v>
      </c>
      <c r="G19" s="399">
        <f xml:space="preserve">
IF($A$4&lt;=12,SUMIFS('ON Data'!L:L,'ON Data'!$D:$D,$A$4,'ON Data'!$E:$E,9),SUMIFS('ON Data'!L:L,'ON Data'!$E:$E,9))</f>
        <v>13368</v>
      </c>
      <c r="H19" s="399">
        <f xml:space="preserve">
IF($A$4&lt;=12,SUMIFS('ON Data'!M:M,'ON Data'!$D:$D,$A$4,'ON Data'!$E:$E,9),SUMIFS('ON Data'!M:M,'ON Data'!$E:$E,9))</f>
        <v>0</v>
      </c>
      <c r="I19" s="399">
        <f xml:space="preserve">
IF($A$4&lt;=12,SUMIFS('ON Data'!N:N,'ON Data'!$D:$D,$A$4,'ON Data'!$E:$E,9),SUMIFS('ON Data'!N:N,'ON Data'!$E:$E,9))</f>
        <v>0</v>
      </c>
      <c r="J19" s="399">
        <f xml:space="preserve">
IF($A$4&lt;=12,SUMIFS('ON Data'!O:O,'ON Data'!$D:$D,$A$4,'ON Data'!$E:$E,9),SUMIFS('ON Data'!O:O,'ON Data'!$E:$E,9))</f>
        <v>0</v>
      </c>
      <c r="K19" s="399">
        <f xml:space="preserve">
IF($A$4&lt;=12,SUMIFS('ON Data'!P:P,'ON Data'!$D:$D,$A$4,'ON Data'!$E:$E,9),SUMIFS('ON Data'!P:P,'ON Data'!$E:$E,9))</f>
        <v>0</v>
      </c>
      <c r="L19" s="399">
        <f xml:space="preserve">
IF($A$4&lt;=12,SUMIFS('ON Data'!Q:Q,'ON Data'!$D:$D,$A$4,'ON Data'!$E:$E,9),SUMIFS('ON Data'!Q:Q,'ON Data'!$E:$E,9))</f>
        <v>0</v>
      </c>
      <c r="M19" s="399">
        <f xml:space="preserve">
IF($A$4&lt;=12,SUMIFS('ON Data'!R:R,'ON Data'!$D:$D,$A$4,'ON Data'!$E:$E,9),SUMIFS('ON Data'!R:R,'ON Data'!$E:$E,9))</f>
        <v>0</v>
      </c>
      <c r="N19" s="399">
        <f xml:space="preserve">
IF($A$4&lt;=12,SUMIFS('ON Data'!S:S,'ON Data'!$D:$D,$A$4,'ON Data'!$E:$E,9),SUMIFS('ON Data'!S:S,'ON Data'!$E:$E,9))</f>
        <v>0</v>
      </c>
      <c r="O19" s="399">
        <f xml:space="preserve">
IF($A$4&lt;=12,SUMIFS('ON Data'!T:T,'ON Data'!$D:$D,$A$4,'ON Data'!$E:$E,9),SUMIFS('ON Data'!T:T,'ON Data'!$E:$E,9))</f>
        <v>0</v>
      </c>
      <c r="P19" s="399">
        <f xml:space="preserve">
IF($A$4&lt;=12,SUMIFS('ON Data'!U:U,'ON Data'!$D:$D,$A$4,'ON Data'!$E:$E,9),SUMIFS('ON Data'!U:U,'ON Data'!$E:$E,9))</f>
        <v>0</v>
      </c>
      <c r="Q19" s="399">
        <f xml:space="preserve">
IF($A$4&lt;=12,SUMIFS('ON Data'!V:V,'ON Data'!$D:$D,$A$4,'ON Data'!$E:$E,9),SUMIFS('ON Data'!V:V,'ON Data'!$E:$E,9))</f>
        <v>0</v>
      </c>
      <c r="R19" s="399">
        <f xml:space="preserve">
IF($A$4&lt;=12,SUMIFS('ON Data'!W:W,'ON Data'!$D:$D,$A$4,'ON Data'!$E:$E,9),SUMIFS('ON Data'!W:W,'ON Data'!$E:$E,9))</f>
        <v>0</v>
      </c>
      <c r="S19" s="399">
        <f xml:space="preserve">
IF($A$4&lt;=12,SUMIFS('ON Data'!X:X,'ON Data'!$D:$D,$A$4,'ON Data'!$E:$E,9),SUMIFS('ON Data'!X:X,'ON Data'!$E:$E,9))</f>
        <v>0</v>
      </c>
      <c r="T19" s="399">
        <f xml:space="preserve">
IF($A$4&lt;=12,SUMIFS('ON Data'!Y:Y,'ON Data'!$D:$D,$A$4,'ON Data'!$E:$E,9),SUMIFS('ON Data'!Y:Y,'ON Data'!$E:$E,9))</f>
        <v>0</v>
      </c>
      <c r="U19" s="399">
        <f xml:space="preserve">
IF($A$4&lt;=12,SUMIFS('ON Data'!Z:Z,'ON Data'!$D:$D,$A$4,'ON Data'!$E:$E,9),SUMIFS('ON Data'!Z:Z,'ON Data'!$E:$E,9))</f>
        <v>0</v>
      </c>
      <c r="V19" s="399">
        <f xml:space="preserve">
IF($A$4&lt;=12,SUMIFS('ON Data'!AA:AA,'ON Data'!$D:$D,$A$4,'ON Data'!$E:$E,9),SUMIFS('ON Data'!AA:AA,'ON Data'!$E:$E,9))</f>
        <v>0</v>
      </c>
      <c r="W19" s="399">
        <f xml:space="preserve">
IF($A$4&lt;=12,SUMIFS('ON Data'!AB:AB,'ON Data'!$D:$D,$A$4,'ON Data'!$E:$E,9),SUMIFS('ON Data'!AB:AB,'ON Data'!$E:$E,9))</f>
        <v>0</v>
      </c>
      <c r="X19" s="399">
        <f xml:space="preserve">
IF($A$4&lt;=12,SUMIFS('ON Data'!AC:AC,'ON Data'!$D:$D,$A$4,'ON Data'!$E:$E,9),SUMIFS('ON Data'!AC:AC,'ON Data'!$E:$E,9))</f>
        <v>0</v>
      </c>
      <c r="Y19" s="399">
        <f xml:space="preserve">
IF($A$4&lt;=12,SUMIFS('ON Data'!AD:AD,'ON Data'!$D:$D,$A$4,'ON Data'!$E:$E,9),SUMIFS('ON Data'!AD:AD,'ON Data'!$E:$E,9))</f>
        <v>0</v>
      </c>
      <c r="Z19" s="399">
        <f xml:space="preserve">
IF($A$4&lt;=12,SUMIFS('ON Data'!AE:AE,'ON Data'!$D:$D,$A$4,'ON Data'!$E:$E,9),SUMIFS('ON Data'!AE:AE,'ON Data'!$E:$E,9))</f>
        <v>0</v>
      </c>
      <c r="AA19" s="399">
        <f xml:space="preserve">
IF($A$4&lt;=12,SUMIFS('ON Data'!AF:AF,'ON Data'!$D:$D,$A$4,'ON Data'!$E:$E,9),SUMIFS('ON Data'!AF:AF,'ON Data'!$E:$E,9))</f>
        <v>0</v>
      </c>
      <c r="AB19" s="399">
        <f xml:space="preserve">
IF($A$4&lt;=12,SUMIFS('ON Data'!AG:AG,'ON Data'!$D:$D,$A$4,'ON Data'!$E:$E,9),SUMIFS('ON Data'!AG:AG,'ON Data'!$E:$E,9))</f>
        <v>0</v>
      </c>
      <c r="AC19" s="399">
        <f xml:space="preserve">
IF($A$4&lt;=12,SUMIFS('ON Data'!AH:AH,'ON Data'!$D:$D,$A$4,'ON Data'!$E:$E,9),SUMIFS('ON Data'!AH:AH,'ON Data'!$E:$E,9))</f>
        <v>30144</v>
      </c>
      <c r="AD19" s="399">
        <f xml:space="preserve">
IF($A$4&lt;=12,SUMIFS('ON Data'!AI:AI,'ON Data'!$D:$D,$A$4,'ON Data'!$E:$E,9),SUMIFS('ON Data'!AI:AI,'ON Data'!$E:$E,9))</f>
        <v>0</v>
      </c>
      <c r="AE19" s="399">
        <f xml:space="preserve">
IF($A$4&lt;=12,SUMIFS('ON Data'!AJ:AJ,'ON Data'!$D:$D,$A$4,'ON Data'!$E:$E,9),SUMIFS('ON Data'!AJ:AJ,'ON Data'!$E:$E,9))</f>
        <v>0</v>
      </c>
      <c r="AF19" s="399">
        <f xml:space="preserve">
IF($A$4&lt;=12,SUMIFS('ON Data'!AK:AK,'ON Data'!$D:$D,$A$4,'ON Data'!$E:$E,9),SUMIFS('ON Data'!AK:AK,'ON Data'!$E:$E,9))</f>
        <v>0</v>
      </c>
      <c r="AG19" s="683">
        <f xml:space="preserve">
IF($A$4&lt;=12,SUMIFS('ON Data'!AM:AM,'ON Data'!$D:$D,$A$4,'ON Data'!$E:$E,9),SUMIFS('ON Data'!AM:AM,'ON Data'!$E:$E,9))</f>
        <v>11176</v>
      </c>
      <c r="AH19" s="690"/>
    </row>
    <row r="20" spans="1:34" ht="15" collapsed="1" thickBot="1" x14ac:dyDescent="0.35">
      <c r="A20" s="375" t="s">
        <v>81</v>
      </c>
      <c r="B20" s="400">
        <f xml:space="preserve">
IF($A$4&lt;=12,SUMIFS('ON Data'!F:F,'ON Data'!$D:$D,$A$4,'ON Data'!$E:$E,6),SUMIFS('ON Data'!F:F,'ON Data'!$E:$E,6))</f>
        <v>22290080</v>
      </c>
      <c r="C20" s="401">
        <f xml:space="preserve">
IF($A$4&lt;=12,SUMIFS('ON Data'!G:G,'ON Data'!$D:$D,$A$4,'ON Data'!$E:$E,6),SUMIFS('ON Data'!G:G,'ON Data'!$E:$E,6))</f>
        <v>83340</v>
      </c>
      <c r="D20" s="402">
        <f xml:space="preserve">
IF($A$4&lt;=12,SUMIFS('ON Data'!H:H,'ON Data'!$D:$D,$A$4,'ON Data'!$E:$E,6),SUMIFS('ON Data'!H:H,'ON Data'!$E:$E,6))</f>
        <v>6354980</v>
      </c>
      <c r="E20" s="402">
        <f xml:space="preserve">
IF($A$4&lt;=12,SUMIFS('ON Data'!I:I,'ON Data'!$D:$D,$A$4,'ON Data'!$E:$E,6),SUMIFS('ON Data'!I:I,'ON Data'!$E:$E,6))</f>
        <v>0</v>
      </c>
      <c r="F20" s="402">
        <f xml:space="preserve">
IF($A$4&lt;=12,SUMIFS('ON Data'!K:K,'ON Data'!$D:$D,$A$4,'ON Data'!$E:$E,6),SUMIFS('ON Data'!K:K,'ON Data'!$E:$E,6))</f>
        <v>14726541</v>
      </c>
      <c r="G20" s="402">
        <f xml:space="preserve">
IF($A$4&lt;=12,SUMIFS('ON Data'!L:L,'ON Data'!$D:$D,$A$4,'ON Data'!$E:$E,6),SUMIFS('ON Data'!L:L,'ON Data'!$E:$E,6))</f>
        <v>359883</v>
      </c>
      <c r="H20" s="402">
        <f xml:space="preserve">
IF($A$4&lt;=12,SUMIFS('ON Data'!M:M,'ON Data'!$D:$D,$A$4,'ON Data'!$E:$E,6),SUMIFS('ON Data'!M:M,'ON Data'!$E:$E,6))</f>
        <v>0</v>
      </c>
      <c r="I20" s="402">
        <f xml:space="preserve">
IF($A$4&lt;=12,SUMIFS('ON Data'!N:N,'ON Data'!$D:$D,$A$4,'ON Data'!$E:$E,6),SUMIFS('ON Data'!N:N,'ON Data'!$E:$E,6))</f>
        <v>0</v>
      </c>
      <c r="J20" s="402">
        <f xml:space="preserve">
IF($A$4&lt;=12,SUMIFS('ON Data'!O:O,'ON Data'!$D:$D,$A$4,'ON Data'!$E:$E,6),SUMIFS('ON Data'!O:O,'ON Data'!$E:$E,6))</f>
        <v>0</v>
      </c>
      <c r="K20" s="402">
        <f xml:space="preserve">
IF($A$4&lt;=12,SUMIFS('ON Data'!P:P,'ON Data'!$D:$D,$A$4,'ON Data'!$E:$E,6),SUMIFS('ON Data'!P:P,'ON Data'!$E:$E,6))</f>
        <v>0</v>
      </c>
      <c r="L20" s="402">
        <f xml:space="preserve">
IF($A$4&lt;=12,SUMIFS('ON Data'!Q:Q,'ON Data'!$D:$D,$A$4,'ON Data'!$E:$E,6),SUMIFS('ON Data'!Q:Q,'ON Data'!$E:$E,6))</f>
        <v>0</v>
      </c>
      <c r="M20" s="402">
        <f xml:space="preserve">
IF($A$4&lt;=12,SUMIFS('ON Data'!R:R,'ON Data'!$D:$D,$A$4,'ON Data'!$E:$E,6),SUMIFS('ON Data'!R:R,'ON Data'!$E:$E,6))</f>
        <v>0</v>
      </c>
      <c r="N20" s="402">
        <f xml:space="preserve">
IF($A$4&lt;=12,SUMIFS('ON Data'!S:S,'ON Data'!$D:$D,$A$4,'ON Data'!$E:$E,6),SUMIFS('ON Data'!S:S,'ON Data'!$E:$E,6))</f>
        <v>0</v>
      </c>
      <c r="O20" s="402">
        <f xml:space="preserve">
IF($A$4&lt;=12,SUMIFS('ON Data'!T:T,'ON Data'!$D:$D,$A$4,'ON Data'!$E:$E,6),SUMIFS('ON Data'!T:T,'ON Data'!$E:$E,6))</f>
        <v>0</v>
      </c>
      <c r="P20" s="402">
        <f xml:space="preserve">
IF($A$4&lt;=12,SUMIFS('ON Data'!U:U,'ON Data'!$D:$D,$A$4,'ON Data'!$E:$E,6),SUMIFS('ON Data'!U:U,'ON Data'!$E:$E,6))</f>
        <v>0</v>
      </c>
      <c r="Q20" s="402">
        <f xml:space="preserve">
IF($A$4&lt;=12,SUMIFS('ON Data'!V:V,'ON Data'!$D:$D,$A$4,'ON Data'!$E:$E,6),SUMIFS('ON Data'!V:V,'ON Data'!$E:$E,6))</f>
        <v>0</v>
      </c>
      <c r="R20" s="402">
        <f xml:space="preserve">
IF($A$4&lt;=12,SUMIFS('ON Data'!W:W,'ON Data'!$D:$D,$A$4,'ON Data'!$E:$E,6),SUMIFS('ON Data'!W:W,'ON Data'!$E:$E,6))</f>
        <v>0</v>
      </c>
      <c r="S20" s="402">
        <f xml:space="preserve">
IF($A$4&lt;=12,SUMIFS('ON Data'!X:X,'ON Data'!$D:$D,$A$4,'ON Data'!$E:$E,6),SUMIFS('ON Data'!X:X,'ON Data'!$E:$E,6))</f>
        <v>0</v>
      </c>
      <c r="T20" s="402">
        <f xml:space="preserve">
IF($A$4&lt;=12,SUMIFS('ON Data'!Y:Y,'ON Data'!$D:$D,$A$4,'ON Data'!$E:$E,6),SUMIFS('ON Data'!Y:Y,'ON Data'!$E:$E,6))</f>
        <v>0</v>
      </c>
      <c r="U20" s="402">
        <f xml:space="preserve">
IF($A$4&lt;=12,SUMIFS('ON Data'!Z:Z,'ON Data'!$D:$D,$A$4,'ON Data'!$E:$E,6),SUMIFS('ON Data'!Z:Z,'ON Data'!$E:$E,6))</f>
        <v>0</v>
      </c>
      <c r="V20" s="402">
        <f xml:space="preserve">
IF($A$4&lt;=12,SUMIFS('ON Data'!AA:AA,'ON Data'!$D:$D,$A$4,'ON Data'!$E:$E,6),SUMIFS('ON Data'!AA:AA,'ON Data'!$E:$E,6))</f>
        <v>0</v>
      </c>
      <c r="W20" s="402">
        <f xml:space="preserve">
IF($A$4&lt;=12,SUMIFS('ON Data'!AB:AB,'ON Data'!$D:$D,$A$4,'ON Data'!$E:$E,6),SUMIFS('ON Data'!AB:AB,'ON Data'!$E:$E,6))</f>
        <v>0</v>
      </c>
      <c r="X20" s="402">
        <f xml:space="preserve">
IF($A$4&lt;=12,SUMIFS('ON Data'!AC:AC,'ON Data'!$D:$D,$A$4,'ON Data'!$E:$E,6),SUMIFS('ON Data'!AC:AC,'ON Data'!$E:$E,6))</f>
        <v>0</v>
      </c>
      <c r="Y20" s="402">
        <f xml:space="preserve">
IF($A$4&lt;=12,SUMIFS('ON Data'!AD:AD,'ON Data'!$D:$D,$A$4,'ON Data'!$E:$E,6),SUMIFS('ON Data'!AD:AD,'ON Data'!$E:$E,6))</f>
        <v>0</v>
      </c>
      <c r="Z20" s="402">
        <f xml:space="preserve">
IF($A$4&lt;=12,SUMIFS('ON Data'!AE:AE,'ON Data'!$D:$D,$A$4,'ON Data'!$E:$E,6),SUMIFS('ON Data'!AE:AE,'ON Data'!$E:$E,6))</f>
        <v>0</v>
      </c>
      <c r="AA20" s="402">
        <f xml:space="preserve">
IF($A$4&lt;=12,SUMIFS('ON Data'!AF:AF,'ON Data'!$D:$D,$A$4,'ON Data'!$E:$E,6),SUMIFS('ON Data'!AF:AF,'ON Data'!$E:$E,6))</f>
        <v>0</v>
      </c>
      <c r="AB20" s="402">
        <f xml:space="preserve">
IF($A$4&lt;=12,SUMIFS('ON Data'!AG:AG,'ON Data'!$D:$D,$A$4,'ON Data'!$E:$E,6),SUMIFS('ON Data'!AG:AG,'ON Data'!$E:$E,6))</f>
        <v>0</v>
      </c>
      <c r="AC20" s="402">
        <f xml:space="preserve">
IF($A$4&lt;=12,SUMIFS('ON Data'!AH:AH,'ON Data'!$D:$D,$A$4,'ON Data'!$E:$E,6),SUMIFS('ON Data'!AH:AH,'ON Data'!$E:$E,6))</f>
        <v>559003</v>
      </c>
      <c r="AD20" s="402">
        <f xml:space="preserve">
IF($A$4&lt;=12,SUMIFS('ON Data'!AI:AI,'ON Data'!$D:$D,$A$4,'ON Data'!$E:$E,6),SUMIFS('ON Data'!AI:AI,'ON Data'!$E:$E,6))</f>
        <v>0</v>
      </c>
      <c r="AE20" s="402">
        <f xml:space="preserve">
IF($A$4&lt;=12,SUMIFS('ON Data'!AJ:AJ,'ON Data'!$D:$D,$A$4,'ON Data'!$E:$E,6),SUMIFS('ON Data'!AJ:AJ,'ON Data'!$E:$E,6))</f>
        <v>0</v>
      </c>
      <c r="AF20" s="402">
        <f xml:space="preserve">
IF($A$4&lt;=12,SUMIFS('ON Data'!AK:AK,'ON Data'!$D:$D,$A$4,'ON Data'!$E:$E,6),SUMIFS('ON Data'!AK:AK,'ON Data'!$E:$E,6))</f>
        <v>0</v>
      </c>
      <c r="AG20" s="684">
        <f xml:space="preserve">
IF($A$4&lt;=12,SUMIFS('ON Data'!AM:AM,'ON Data'!$D:$D,$A$4,'ON Data'!$E:$E,6),SUMIFS('ON Data'!AM:AM,'ON Data'!$E:$E,6))</f>
        <v>206333</v>
      </c>
      <c r="AH20" s="690"/>
    </row>
    <row r="21" spans="1:34" ht="15" hidden="1" outlineLevel="1" thickBot="1" x14ac:dyDescent="0.35">
      <c r="A21" s="368" t="s">
        <v>118</v>
      </c>
      <c r="B21" s="388">
        <f xml:space="preserve">
IF($A$4&lt;=12,SUMIFS('ON Data'!F:F,'ON Data'!$D:$D,$A$4,'ON Data'!$E:$E,12),SUMIFS('ON Data'!F:F,'ON Data'!$E:$E,12))</f>
        <v>0</v>
      </c>
      <c r="C21" s="389">
        <f xml:space="preserve">
IF($A$4&lt;=12,SUMIFS('ON Data'!G:G,'ON Data'!$D:$D,$A$4,'ON Data'!$E:$E,12),SUMIFS('ON Data'!G:G,'ON Data'!$E:$E,12))</f>
        <v>0</v>
      </c>
      <c r="D21" s="390">
        <f xml:space="preserve">
IF($A$4&lt;=12,SUMIFS('ON Data'!H:H,'ON Data'!$D:$D,$A$4,'ON Data'!$E:$E,12),SUMIFS('ON Data'!H:H,'ON Data'!$E:$E,12))</f>
        <v>0</v>
      </c>
      <c r="E21" s="390">
        <f xml:space="preserve">
IF($A$4&lt;=12,SUMIFS('ON Data'!I:I,'ON Data'!$D:$D,$A$4,'ON Data'!$E:$E,12),SUMIFS('ON Data'!I:I,'ON Data'!$E:$E,12))</f>
        <v>0</v>
      </c>
      <c r="F21" s="390">
        <f xml:space="preserve">
IF($A$4&lt;=12,SUMIFS('ON Data'!K:K,'ON Data'!$D:$D,$A$4,'ON Data'!$E:$E,12),SUMIFS('ON Data'!K:K,'ON Data'!$E:$E,12))</f>
        <v>0</v>
      </c>
      <c r="G21" s="390">
        <f xml:space="preserve">
IF($A$4&lt;=12,SUMIFS('ON Data'!L:L,'ON Data'!$D:$D,$A$4,'ON Data'!$E:$E,12),SUMIFS('ON Data'!L:L,'ON Data'!$E:$E,12))</f>
        <v>0</v>
      </c>
      <c r="H21" s="390">
        <f xml:space="preserve">
IF($A$4&lt;=12,SUMIFS('ON Data'!M:M,'ON Data'!$D:$D,$A$4,'ON Data'!$E:$E,12),SUMIFS('ON Data'!M:M,'ON Data'!$E:$E,12))</f>
        <v>0</v>
      </c>
      <c r="I21" s="390">
        <f xml:space="preserve">
IF($A$4&lt;=12,SUMIFS('ON Data'!N:N,'ON Data'!$D:$D,$A$4,'ON Data'!$E:$E,12),SUMIFS('ON Data'!N:N,'ON Data'!$E:$E,12))</f>
        <v>0</v>
      </c>
      <c r="J21" s="390">
        <f xml:space="preserve">
IF($A$4&lt;=12,SUMIFS('ON Data'!O:O,'ON Data'!$D:$D,$A$4,'ON Data'!$E:$E,12),SUMIFS('ON Data'!O:O,'ON Data'!$E:$E,12))</f>
        <v>0</v>
      </c>
      <c r="K21" s="390">
        <f xml:space="preserve">
IF($A$4&lt;=12,SUMIFS('ON Data'!P:P,'ON Data'!$D:$D,$A$4,'ON Data'!$E:$E,12),SUMIFS('ON Data'!P:P,'ON Data'!$E:$E,12))</f>
        <v>0</v>
      </c>
      <c r="L21" s="390">
        <f xml:space="preserve">
IF($A$4&lt;=12,SUMIFS('ON Data'!Q:Q,'ON Data'!$D:$D,$A$4,'ON Data'!$E:$E,12),SUMIFS('ON Data'!Q:Q,'ON Data'!$E:$E,12))</f>
        <v>0</v>
      </c>
      <c r="M21" s="390">
        <f xml:space="preserve">
IF($A$4&lt;=12,SUMIFS('ON Data'!R:R,'ON Data'!$D:$D,$A$4,'ON Data'!$E:$E,12),SUMIFS('ON Data'!R:R,'ON Data'!$E:$E,12))</f>
        <v>0</v>
      </c>
      <c r="N21" s="390">
        <f xml:space="preserve">
IF($A$4&lt;=12,SUMIFS('ON Data'!S:S,'ON Data'!$D:$D,$A$4,'ON Data'!$E:$E,12),SUMIFS('ON Data'!S:S,'ON Data'!$E:$E,12))</f>
        <v>0</v>
      </c>
      <c r="O21" s="390">
        <f xml:space="preserve">
IF($A$4&lt;=12,SUMIFS('ON Data'!T:T,'ON Data'!$D:$D,$A$4,'ON Data'!$E:$E,12),SUMIFS('ON Data'!T:T,'ON Data'!$E:$E,12))</f>
        <v>0</v>
      </c>
      <c r="P21" s="390">
        <f xml:space="preserve">
IF($A$4&lt;=12,SUMIFS('ON Data'!U:U,'ON Data'!$D:$D,$A$4,'ON Data'!$E:$E,12),SUMIFS('ON Data'!U:U,'ON Data'!$E:$E,12))</f>
        <v>0</v>
      </c>
      <c r="Q21" s="390">
        <f xml:space="preserve">
IF($A$4&lt;=12,SUMIFS('ON Data'!V:V,'ON Data'!$D:$D,$A$4,'ON Data'!$E:$E,12),SUMIFS('ON Data'!V:V,'ON Data'!$E:$E,12))</f>
        <v>0</v>
      </c>
      <c r="R21" s="390">
        <f xml:space="preserve">
IF($A$4&lt;=12,SUMIFS('ON Data'!W:W,'ON Data'!$D:$D,$A$4,'ON Data'!$E:$E,12),SUMIFS('ON Data'!W:W,'ON Data'!$E:$E,12))</f>
        <v>0</v>
      </c>
      <c r="S21" s="390">
        <f xml:space="preserve">
IF($A$4&lt;=12,SUMIFS('ON Data'!X:X,'ON Data'!$D:$D,$A$4,'ON Data'!$E:$E,12),SUMIFS('ON Data'!X:X,'ON Data'!$E:$E,12))</f>
        <v>0</v>
      </c>
      <c r="T21" s="390">
        <f xml:space="preserve">
IF($A$4&lt;=12,SUMIFS('ON Data'!Y:Y,'ON Data'!$D:$D,$A$4,'ON Data'!$E:$E,12),SUMIFS('ON Data'!Y:Y,'ON Data'!$E:$E,12))</f>
        <v>0</v>
      </c>
      <c r="U21" s="390">
        <f xml:space="preserve">
IF($A$4&lt;=12,SUMIFS('ON Data'!Z:Z,'ON Data'!$D:$D,$A$4,'ON Data'!$E:$E,12),SUMIFS('ON Data'!Z:Z,'ON Data'!$E:$E,12))</f>
        <v>0</v>
      </c>
      <c r="V21" s="390">
        <f xml:space="preserve">
IF($A$4&lt;=12,SUMIFS('ON Data'!AA:AA,'ON Data'!$D:$D,$A$4,'ON Data'!$E:$E,12),SUMIFS('ON Data'!AA:AA,'ON Data'!$E:$E,12))</f>
        <v>0</v>
      </c>
      <c r="W21" s="390">
        <f xml:space="preserve">
IF($A$4&lt;=12,SUMIFS('ON Data'!AB:AB,'ON Data'!$D:$D,$A$4,'ON Data'!$E:$E,12),SUMIFS('ON Data'!AB:AB,'ON Data'!$E:$E,12))</f>
        <v>0</v>
      </c>
      <c r="X21" s="390">
        <f xml:space="preserve">
IF($A$4&lt;=12,SUMIFS('ON Data'!AC:AC,'ON Data'!$D:$D,$A$4,'ON Data'!$E:$E,12),SUMIFS('ON Data'!AC:AC,'ON Data'!$E:$E,12))</f>
        <v>0</v>
      </c>
      <c r="Y21" s="390">
        <f xml:space="preserve">
IF($A$4&lt;=12,SUMIFS('ON Data'!AD:AD,'ON Data'!$D:$D,$A$4,'ON Data'!$E:$E,12),SUMIFS('ON Data'!AD:AD,'ON Data'!$E:$E,12))</f>
        <v>0</v>
      </c>
      <c r="Z21" s="390">
        <f xml:space="preserve">
IF($A$4&lt;=12,SUMIFS('ON Data'!AE:AE,'ON Data'!$D:$D,$A$4,'ON Data'!$E:$E,12),SUMIFS('ON Data'!AE:AE,'ON Data'!$E:$E,12))</f>
        <v>0</v>
      </c>
      <c r="AA21" s="390">
        <f xml:space="preserve">
IF($A$4&lt;=12,SUMIFS('ON Data'!AF:AF,'ON Data'!$D:$D,$A$4,'ON Data'!$E:$E,12),SUMIFS('ON Data'!AF:AF,'ON Data'!$E:$E,12))</f>
        <v>0</v>
      </c>
      <c r="AB21" s="390">
        <f xml:space="preserve">
IF($A$4&lt;=12,SUMIFS('ON Data'!AG:AG,'ON Data'!$D:$D,$A$4,'ON Data'!$E:$E,12),SUMIFS('ON Data'!AG:AG,'ON Data'!$E:$E,12))</f>
        <v>0</v>
      </c>
      <c r="AC21" s="390">
        <f xml:space="preserve">
IF($A$4&lt;=12,SUMIFS('ON Data'!AH:AH,'ON Data'!$D:$D,$A$4,'ON Data'!$E:$E,12),SUMIFS('ON Data'!AH:AH,'ON Data'!$E:$E,12))</f>
        <v>0</v>
      </c>
      <c r="AD21" s="390">
        <f xml:space="preserve">
IF($A$4&lt;=12,SUMIFS('ON Data'!AI:AI,'ON Data'!$D:$D,$A$4,'ON Data'!$E:$E,12),SUMIFS('ON Data'!AI:AI,'ON Data'!$E:$E,12))</f>
        <v>0</v>
      </c>
      <c r="AE21" s="390">
        <f xml:space="preserve">
IF($A$4&lt;=12,SUMIFS('ON Data'!AJ:AJ,'ON Data'!$D:$D,$A$4,'ON Data'!$E:$E,12),SUMIFS('ON Data'!AJ:AJ,'ON Data'!$E:$E,12))</f>
        <v>0</v>
      </c>
      <c r="AF21" s="390">
        <f xml:space="preserve">
IF($A$4&lt;=12,SUMIFS('ON Data'!AK:AK,'ON Data'!$D:$D,$A$4,'ON Data'!$E:$E,12),SUMIFS('ON Data'!AK:AK,'ON Data'!$E:$E,12))</f>
        <v>0</v>
      </c>
      <c r="AG21" s="680">
        <f xml:space="preserve">
IF($A$4&lt;=12,SUMIFS('ON Data'!AM:AM,'ON Data'!$D:$D,$A$4,'ON Data'!$E:$E,12),SUMIFS('ON Data'!AM:AM,'ON Data'!$E:$E,12))</f>
        <v>0</v>
      </c>
      <c r="AH21" s="690"/>
    </row>
    <row r="22" spans="1:34" ht="15" hidden="1" outlineLevel="1" thickBot="1" x14ac:dyDescent="0.35">
      <c r="A22" s="368" t="s">
        <v>83</v>
      </c>
      <c r="B22" s="445" t="str">
        <f xml:space="preserve">
IF(OR(B21="",B21=0),"",B20/B21)</f>
        <v/>
      </c>
      <c r="C22" s="446" t="str">
        <f t="shared" ref="C22:AG22" si="2" xml:space="preserve">
IF(OR(C21="",C21=0),"",C20/C21)</f>
        <v/>
      </c>
      <c r="D22" s="447" t="str">
        <f t="shared" si="2"/>
        <v/>
      </c>
      <c r="E22" s="447" t="str">
        <f t="shared" si="2"/>
        <v/>
      </c>
      <c r="F22" s="447" t="str">
        <f t="shared" si="2"/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 t="str">
        <f t="shared" si="2"/>
        <v/>
      </c>
      <c r="M22" s="447" t="str">
        <f t="shared" si="2"/>
        <v/>
      </c>
      <c r="N22" s="447" t="str">
        <f t="shared" si="2"/>
        <v/>
      </c>
      <c r="O22" s="447" t="str">
        <f t="shared" si="2"/>
        <v/>
      </c>
      <c r="P22" s="447" t="str">
        <f t="shared" si="2"/>
        <v/>
      </c>
      <c r="Q22" s="447" t="str">
        <f t="shared" si="2"/>
        <v/>
      </c>
      <c r="R22" s="447" t="str">
        <f t="shared" si="2"/>
        <v/>
      </c>
      <c r="S22" s="447" t="str">
        <f t="shared" si="2"/>
        <v/>
      </c>
      <c r="T22" s="447" t="str">
        <f t="shared" si="2"/>
        <v/>
      </c>
      <c r="U22" s="447" t="str">
        <f t="shared" si="2"/>
        <v/>
      </c>
      <c r="V22" s="447" t="str">
        <f t="shared" si="2"/>
        <v/>
      </c>
      <c r="W22" s="447" t="str">
        <f t="shared" si="2"/>
        <v/>
      </c>
      <c r="X22" s="447" t="str">
        <f t="shared" si="2"/>
        <v/>
      </c>
      <c r="Y22" s="447" t="str">
        <f t="shared" si="2"/>
        <v/>
      </c>
      <c r="Z22" s="447" t="str">
        <f t="shared" si="2"/>
        <v/>
      </c>
      <c r="AA22" s="447" t="str">
        <f t="shared" si="2"/>
        <v/>
      </c>
      <c r="AB22" s="447" t="str">
        <f t="shared" si="2"/>
        <v/>
      </c>
      <c r="AC22" s="447" t="str">
        <f t="shared" si="2"/>
        <v/>
      </c>
      <c r="AD22" s="447" t="str">
        <f t="shared" si="2"/>
        <v/>
      </c>
      <c r="AE22" s="447" t="str">
        <f t="shared" si="2"/>
        <v/>
      </c>
      <c r="AF22" s="447" t="str">
        <f t="shared" si="2"/>
        <v/>
      </c>
      <c r="AG22" s="685" t="str">
        <f t="shared" si="2"/>
        <v/>
      </c>
      <c r="AH22" s="690"/>
    </row>
    <row r="23" spans="1:34" ht="15" hidden="1" outlineLevel="1" thickBot="1" x14ac:dyDescent="0.35">
      <c r="A23" s="376" t="s">
        <v>56</v>
      </c>
      <c r="B23" s="391">
        <f xml:space="preserve">
IF(B21="","",B20-B21)</f>
        <v>22290080</v>
      </c>
      <c r="C23" s="392">
        <f t="shared" ref="C23:AG23" si="3" xml:space="preserve">
IF(C21="","",C20-C21)</f>
        <v>83340</v>
      </c>
      <c r="D23" s="393">
        <f t="shared" si="3"/>
        <v>6354980</v>
      </c>
      <c r="E23" s="393">
        <f t="shared" si="3"/>
        <v>0</v>
      </c>
      <c r="F23" s="393">
        <f t="shared" si="3"/>
        <v>14726541</v>
      </c>
      <c r="G23" s="393">
        <f t="shared" si="3"/>
        <v>359883</v>
      </c>
      <c r="H23" s="393">
        <f t="shared" si="3"/>
        <v>0</v>
      </c>
      <c r="I23" s="393">
        <f t="shared" si="3"/>
        <v>0</v>
      </c>
      <c r="J23" s="393">
        <f t="shared" si="3"/>
        <v>0</v>
      </c>
      <c r="K23" s="393">
        <f t="shared" si="3"/>
        <v>0</v>
      </c>
      <c r="L23" s="393">
        <f t="shared" si="3"/>
        <v>0</v>
      </c>
      <c r="M23" s="393">
        <f t="shared" si="3"/>
        <v>0</v>
      </c>
      <c r="N23" s="393">
        <f t="shared" si="3"/>
        <v>0</v>
      </c>
      <c r="O23" s="393">
        <f t="shared" si="3"/>
        <v>0</v>
      </c>
      <c r="P23" s="393">
        <f t="shared" si="3"/>
        <v>0</v>
      </c>
      <c r="Q23" s="393">
        <f t="shared" si="3"/>
        <v>0</v>
      </c>
      <c r="R23" s="393">
        <f t="shared" si="3"/>
        <v>0</v>
      </c>
      <c r="S23" s="393">
        <f t="shared" si="3"/>
        <v>0</v>
      </c>
      <c r="T23" s="393">
        <f t="shared" si="3"/>
        <v>0</v>
      </c>
      <c r="U23" s="393">
        <f t="shared" si="3"/>
        <v>0</v>
      </c>
      <c r="V23" s="393">
        <f t="shared" si="3"/>
        <v>0</v>
      </c>
      <c r="W23" s="393">
        <f t="shared" si="3"/>
        <v>0</v>
      </c>
      <c r="X23" s="393">
        <f t="shared" si="3"/>
        <v>0</v>
      </c>
      <c r="Y23" s="393">
        <f t="shared" si="3"/>
        <v>0</v>
      </c>
      <c r="Z23" s="393">
        <f t="shared" si="3"/>
        <v>0</v>
      </c>
      <c r="AA23" s="393">
        <f t="shared" si="3"/>
        <v>0</v>
      </c>
      <c r="AB23" s="393">
        <f t="shared" si="3"/>
        <v>0</v>
      </c>
      <c r="AC23" s="393">
        <f t="shared" si="3"/>
        <v>559003</v>
      </c>
      <c r="AD23" s="393">
        <f t="shared" si="3"/>
        <v>0</v>
      </c>
      <c r="AE23" s="393">
        <f t="shared" si="3"/>
        <v>0</v>
      </c>
      <c r="AF23" s="393">
        <f t="shared" si="3"/>
        <v>0</v>
      </c>
      <c r="AG23" s="681">
        <f t="shared" si="3"/>
        <v>206333</v>
      </c>
      <c r="AH23" s="690"/>
    </row>
    <row r="24" spans="1:34" x14ac:dyDescent="0.3">
      <c r="A24" s="370" t="s">
        <v>240</v>
      </c>
      <c r="B24" s="417" t="s">
        <v>3</v>
      </c>
      <c r="C24" s="691" t="s">
        <v>251</v>
      </c>
      <c r="D24" s="665"/>
      <c r="E24" s="666"/>
      <c r="F24" s="666" t="s">
        <v>252</v>
      </c>
      <c r="G24" s="666"/>
      <c r="H24" s="666"/>
      <c r="I24" s="666"/>
      <c r="J24" s="666"/>
      <c r="K24" s="666"/>
      <c r="L24" s="666"/>
      <c r="M24" s="666"/>
      <c r="N24" s="666"/>
      <c r="O24" s="666"/>
      <c r="P24" s="666"/>
      <c r="Q24" s="666"/>
      <c r="R24" s="666"/>
      <c r="S24" s="666"/>
      <c r="T24" s="666"/>
      <c r="U24" s="666"/>
      <c r="V24" s="666"/>
      <c r="W24" s="666"/>
      <c r="X24" s="666"/>
      <c r="Y24" s="666"/>
      <c r="Z24" s="666"/>
      <c r="AA24" s="666"/>
      <c r="AB24" s="666"/>
      <c r="AC24" s="666"/>
      <c r="AD24" s="666"/>
      <c r="AE24" s="666"/>
      <c r="AF24" s="666"/>
      <c r="AG24" s="686" t="s">
        <v>253</v>
      </c>
      <c r="AH24" s="690"/>
    </row>
    <row r="25" spans="1:34" x14ac:dyDescent="0.3">
      <c r="A25" s="371" t="s">
        <v>81</v>
      </c>
      <c r="B25" s="388">
        <f xml:space="preserve">
SUM(C25:AG25)</f>
        <v>43823</v>
      </c>
      <c r="C25" s="692">
        <f xml:space="preserve">
IF($A$4&lt;=12,SUMIFS('ON Data'!H:H,'ON Data'!$D:$D,$A$4,'ON Data'!$E:$E,10),SUMIFS('ON Data'!H:H,'ON Data'!$E:$E,10))</f>
        <v>14400</v>
      </c>
      <c r="D25" s="667"/>
      <c r="E25" s="668"/>
      <c r="F25" s="668">
        <f xml:space="preserve">
IF($A$4&lt;=12,SUMIFS('ON Data'!K:K,'ON Data'!$D:$D,$A$4,'ON Data'!$E:$E,10),SUMIFS('ON Data'!K:K,'ON Data'!$E:$E,10))</f>
        <v>29423</v>
      </c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87">
        <f xml:space="preserve">
IF($A$4&lt;=12,SUMIFS('ON Data'!AM:AM,'ON Data'!$D:$D,$A$4,'ON Data'!$E:$E,10),SUMIFS('ON Data'!AM:AM,'ON Data'!$E:$E,10))</f>
        <v>0</v>
      </c>
      <c r="AH25" s="690"/>
    </row>
    <row r="26" spans="1:34" x14ac:dyDescent="0.3">
      <c r="A26" s="377" t="s">
        <v>250</v>
      </c>
      <c r="B26" s="397">
        <f xml:space="preserve">
SUM(C26:AG26)</f>
        <v>40228.5</v>
      </c>
      <c r="C26" s="692">
        <f xml:space="preserve">
IF($A$4&lt;=12,SUMIFS('ON Data'!H:H,'ON Data'!$D:$D,$A$4,'ON Data'!$E:$E,11),SUMIFS('ON Data'!H:H,'ON Data'!$E:$E,11))</f>
        <v>25228.500000000004</v>
      </c>
      <c r="D26" s="667"/>
      <c r="E26" s="668"/>
      <c r="F26" s="669">
        <f xml:space="preserve">
IF($A$4&lt;=12,SUMIFS('ON Data'!K:K,'ON Data'!$D:$D,$A$4,'ON Data'!$E:$E,11),SUMIFS('ON Data'!K:K,'ON Data'!$E:$E,11))</f>
        <v>14999.999999999998</v>
      </c>
      <c r="G26" s="669"/>
      <c r="H26" s="669"/>
      <c r="I26" s="669"/>
      <c r="J26" s="669"/>
      <c r="K26" s="669"/>
      <c r="L26" s="669"/>
      <c r="M26" s="669"/>
      <c r="N26" s="669"/>
      <c r="O26" s="669"/>
      <c r="P26" s="669"/>
      <c r="Q26" s="669"/>
      <c r="R26" s="669"/>
      <c r="S26" s="669"/>
      <c r="T26" s="669"/>
      <c r="U26" s="669"/>
      <c r="V26" s="669"/>
      <c r="W26" s="669"/>
      <c r="X26" s="669"/>
      <c r="Y26" s="669"/>
      <c r="Z26" s="669"/>
      <c r="AA26" s="669"/>
      <c r="AB26" s="669"/>
      <c r="AC26" s="669"/>
      <c r="AD26" s="669"/>
      <c r="AE26" s="669"/>
      <c r="AF26" s="669"/>
      <c r="AG26" s="687">
        <f xml:space="preserve">
IF($A$4&lt;=12,SUMIFS('ON Data'!AM:AM,'ON Data'!$D:$D,$A$4,'ON Data'!$E:$E,11),SUMIFS('ON Data'!AM:AM,'ON Data'!$E:$E,11))</f>
        <v>0</v>
      </c>
      <c r="AH26" s="690"/>
    </row>
    <row r="27" spans="1:34" x14ac:dyDescent="0.3">
      <c r="A27" s="377" t="s">
        <v>83</v>
      </c>
      <c r="B27" s="418">
        <f xml:space="preserve">
IF(B26=0,0,B25/B26)</f>
        <v>1.0893520762643401</v>
      </c>
      <c r="C27" s="693">
        <f xml:space="preserve">
IF(C26=0,0,C25/C26)</f>
        <v>0.57078304298709781</v>
      </c>
      <c r="D27" s="670"/>
      <c r="E27" s="671"/>
      <c r="F27" s="671">
        <f xml:space="preserve">
IF(F26=0,0,F25/F26)</f>
        <v>1.9615333333333336</v>
      </c>
      <c r="G27" s="671"/>
      <c r="H27" s="671"/>
      <c r="I27" s="671"/>
      <c r="J27" s="671"/>
      <c r="K27" s="671"/>
      <c r="L27" s="671"/>
      <c r="M27" s="671"/>
      <c r="N27" s="671"/>
      <c r="O27" s="671"/>
      <c r="P27" s="671"/>
      <c r="Q27" s="671"/>
      <c r="R27" s="671"/>
      <c r="S27" s="671"/>
      <c r="T27" s="671"/>
      <c r="U27" s="671"/>
      <c r="V27" s="671"/>
      <c r="W27" s="671"/>
      <c r="X27" s="671"/>
      <c r="Y27" s="671"/>
      <c r="Z27" s="671"/>
      <c r="AA27" s="671"/>
      <c r="AB27" s="671"/>
      <c r="AC27" s="671"/>
      <c r="AD27" s="671"/>
      <c r="AE27" s="671"/>
      <c r="AF27" s="671"/>
      <c r="AG27" s="688">
        <f xml:space="preserve">
IF(AG26=0,0,AG25/AG26)</f>
        <v>0</v>
      </c>
      <c r="AH27" s="690"/>
    </row>
    <row r="28" spans="1:34" ht="15" thickBot="1" x14ac:dyDescent="0.35">
      <c r="A28" s="377" t="s">
        <v>249</v>
      </c>
      <c r="B28" s="397">
        <f xml:space="preserve">
SUM(C28:AG28)</f>
        <v>-3594.4999999999982</v>
      </c>
      <c r="C28" s="694">
        <f xml:space="preserve">
C26-C25</f>
        <v>10828.500000000004</v>
      </c>
      <c r="D28" s="672"/>
      <c r="E28" s="673"/>
      <c r="F28" s="673">
        <f xml:space="preserve">
F26-F25</f>
        <v>-14423.000000000002</v>
      </c>
      <c r="G28" s="673"/>
      <c r="H28" s="673"/>
      <c r="I28" s="673"/>
      <c r="J28" s="673"/>
      <c r="K28" s="673"/>
      <c r="L28" s="673"/>
      <c r="M28" s="673"/>
      <c r="N28" s="673"/>
      <c r="O28" s="673"/>
      <c r="P28" s="673"/>
      <c r="Q28" s="673"/>
      <c r="R28" s="673"/>
      <c r="S28" s="673"/>
      <c r="T28" s="673"/>
      <c r="U28" s="673"/>
      <c r="V28" s="673"/>
      <c r="W28" s="673"/>
      <c r="X28" s="673"/>
      <c r="Y28" s="673"/>
      <c r="Z28" s="673"/>
      <c r="AA28" s="673"/>
      <c r="AB28" s="673"/>
      <c r="AC28" s="673"/>
      <c r="AD28" s="673"/>
      <c r="AE28" s="673"/>
      <c r="AF28" s="673"/>
      <c r="AG28" s="689">
        <f xml:space="preserve">
AG26-AG25</f>
        <v>0</v>
      </c>
      <c r="AH28" s="690"/>
    </row>
    <row r="29" spans="1:34" x14ac:dyDescent="0.3">
      <c r="A29" s="378"/>
      <c r="B29" s="378"/>
      <c r="C29" s="379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8"/>
      <c r="AF29" s="378"/>
      <c r="AG29" s="378"/>
    </row>
    <row r="30" spans="1:34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59"/>
    </row>
    <row r="31" spans="1:34" x14ac:dyDescent="0.3">
      <c r="A31" s="211" t="s">
        <v>247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59"/>
    </row>
    <row r="32" spans="1:34" ht="14.4" customHeight="1" x14ac:dyDescent="0.3">
      <c r="A32" s="414" t="s">
        <v>244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</row>
    <row r="33" spans="1:1" x14ac:dyDescent="0.3">
      <c r="A33" s="416" t="s">
        <v>254</v>
      </c>
    </row>
    <row r="34" spans="1:1" x14ac:dyDescent="0.3">
      <c r="A34" s="416" t="s">
        <v>255</v>
      </c>
    </row>
    <row r="35" spans="1:1" x14ac:dyDescent="0.3">
      <c r="A35" s="416" t="s">
        <v>256</v>
      </c>
    </row>
    <row r="36" spans="1:1" x14ac:dyDescent="0.3">
      <c r="A36" s="416" t="s">
        <v>257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1" priority="4" operator="greaterThan">
      <formula>1</formula>
    </cfRule>
  </conditionalFormatting>
  <conditionalFormatting sqref="C28 AG28 F28">
    <cfRule type="cellIs" dxfId="20" priority="3" operator="lessThan">
      <formula>0</formula>
    </cfRule>
  </conditionalFormatting>
  <conditionalFormatting sqref="B22:AG22">
    <cfRule type="cellIs" dxfId="19" priority="2" operator="greaterThan">
      <formula>1</formula>
    </cfRule>
  </conditionalFormatting>
  <conditionalFormatting sqref="B23:AG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9"/>
  <sheetViews>
    <sheetView showGridLines="0" showRowColHeaders="0" workbookViewId="0"/>
  </sheetViews>
  <sheetFormatPr defaultRowHeight="14.4" x14ac:dyDescent="0.3"/>
  <cols>
    <col min="1" max="16384" width="8.88671875" style="357"/>
  </cols>
  <sheetData>
    <row r="1" spans="1:40" x14ac:dyDescent="0.3">
      <c r="A1" s="357" t="s">
        <v>1725</v>
      </c>
    </row>
    <row r="2" spans="1:40" x14ac:dyDescent="0.3">
      <c r="A2" s="361" t="s">
        <v>305</v>
      </c>
    </row>
    <row r="3" spans="1:40" x14ac:dyDescent="0.3">
      <c r="A3" s="357" t="s">
        <v>214</v>
      </c>
      <c r="B3" s="382">
        <v>2014</v>
      </c>
      <c r="D3" s="358">
        <f>MAX(D5:D1048576)</f>
        <v>9</v>
      </c>
      <c r="F3" s="358">
        <f>SUMIF($E5:$E1048576,"&lt;10",F5:F1048576)</f>
        <v>23487657.02</v>
      </c>
      <c r="G3" s="358">
        <f t="shared" ref="G3:AN3" si="0">SUMIF($E5:$E1048576,"&lt;10",G5:G1048576)</f>
        <v>83655</v>
      </c>
      <c r="H3" s="358">
        <f t="shared" si="0"/>
        <v>6802843.5</v>
      </c>
      <c r="I3" s="358">
        <f t="shared" si="0"/>
        <v>0</v>
      </c>
      <c r="J3" s="358">
        <f t="shared" si="0"/>
        <v>0</v>
      </c>
      <c r="K3" s="358">
        <f t="shared" si="0"/>
        <v>15412124.770000001</v>
      </c>
      <c r="L3" s="358">
        <f t="shared" si="0"/>
        <v>375414.75</v>
      </c>
      <c r="M3" s="358">
        <f t="shared" si="0"/>
        <v>0</v>
      </c>
      <c r="N3" s="358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8">
        <f t="shared" si="0"/>
        <v>0</v>
      </c>
      <c r="T3" s="358">
        <f t="shared" si="0"/>
        <v>0</v>
      </c>
      <c r="U3" s="358">
        <f t="shared" si="0"/>
        <v>0</v>
      </c>
      <c r="V3" s="358">
        <f t="shared" si="0"/>
        <v>0</v>
      </c>
      <c r="W3" s="358">
        <f t="shared" si="0"/>
        <v>0</v>
      </c>
      <c r="X3" s="358">
        <f t="shared" si="0"/>
        <v>0</v>
      </c>
      <c r="Y3" s="358">
        <f t="shared" si="0"/>
        <v>0</v>
      </c>
      <c r="Z3" s="358">
        <f t="shared" si="0"/>
        <v>0</v>
      </c>
      <c r="AA3" s="358">
        <f t="shared" si="0"/>
        <v>0</v>
      </c>
      <c r="AB3" s="358">
        <f t="shared" si="0"/>
        <v>0</v>
      </c>
      <c r="AC3" s="358">
        <f t="shared" si="0"/>
        <v>0</v>
      </c>
      <c r="AD3" s="358">
        <f t="shared" si="0"/>
        <v>0</v>
      </c>
      <c r="AE3" s="358">
        <f t="shared" si="0"/>
        <v>0</v>
      </c>
      <c r="AF3" s="358">
        <f t="shared" si="0"/>
        <v>0</v>
      </c>
      <c r="AG3" s="358">
        <f t="shared" si="0"/>
        <v>0</v>
      </c>
      <c r="AH3" s="358">
        <f t="shared" si="0"/>
        <v>594733</v>
      </c>
      <c r="AI3" s="358">
        <f t="shared" si="0"/>
        <v>0</v>
      </c>
      <c r="AJ3" s="358">
        <f t="shared" si="0"/>
        <v>0</v>
      </c>
      <c r="AK3" s="358">
        <f t="shared" si="0"/>
        <v>0</v>
      </c>
      <c r="AL3" s="358">
        <f t="shared" si="0"/>
        <v>0</v>
      </c>
      <c r="AM3" s="358">
        <f t="shared" si="0"/>
        <v>218886</v>
      </c>
      <c r="AN3" s="358">
        <f t="shared" si="0"/>
        <v>0</v>
      </c>
    </row>
    <row r="4" spans="1:40" x14ac:dyDescent="0.3">
      <c r="A4" s="357" t="s">
        <v>215</v>
      </c>
      <c r="B4" s="382">
        <v>1</v>
      </c>
      <c r="C4" s="359" t="s">
        <v>5</v>
      </c>
      <c r="D4" s="360" t="s">
        <v>55</v>
      </c>
      <c r="E4" s="360" t="s">
        <v>209</v>
      </c>
      <c r="F4" s="360" t="s">
        <v>3</v>
      </c>
      <c r="G4" s="360" t="s">
        <v>210</v>
      </c>
      <c r="H4" s="360" t="s">
        <v>211</v>
      </c>
      <c r="I4" s="360" t="s">
        <v>212</v>
      </c>
      <c r="J4" s="360" t="s">
        <v>213</v>
      </c>
      <c r="K4" s="360">
        <v>305</v>
      </c>
      <c r="L4" s="360">
        <v>306</v>
      </c>
      <c r="M4" s="360">
        <v>408</v>
      </c>
      <c r="N4" s="360">
        <v>409</v>
      </c>
      <c r="O4" s="360">
        <v>410</v>
      </c>
      <c r="P4" s="360">
        <v>415</v>
      </c>
      <c r="Q4" s="360">
        <v>416</v>
      </c>
      <c r="R4" s="360">
        <v>418</v>
      </c>
      <c r="S4" s="360">
        <v>419</v>
      </c>
      <c r="T4" s="360">
        <v>420</v>
      </c>
      <c r="U4" s="360">
        <v>421</v>
      </c>
      <c r="V4" s="360">
        <v>522</v>
      </c>
      <c r="W4" s="360">
        <v>523</v>
      </c>
      <c r="X4" s="360">
        <v>524</v>
      </c>
      <c r="Y4" s="360">
        <v>525</v>
      </c>
      <c r="Z4" s="360">
        <v>526</v>
      </c>
      <c r="AA4" s="360">
        <v>527</v>
      </c>
      <c r="AB4" s="360">
        <v>528</v>
      </c>
      <c r="AC4" s="360">
        <v>629</v>
      </c>
      <c r="AD4" s="360">
        <v>630</v>
      </c>
      <c r="AE4" s="360">
        <v>636</v>
      </c>
      <c r="AF4" s="360">
        <v>637</v>
      </c>
      <c r="AG4" s="360">
        <v>640</v>
      </c>
      <c r="AH4" s="360">
        <v>642</v>
      </c>
      <c r="AI4" s="360">
        <v>743</v>
      </c>
      <c r="AJ4" s="360">
        <v>745</v>
      </c>
      <c r="AK4" s="360">
        <v>746</v>
      </c>
      <c r="AL4" s="360">
        <v>747</v>
      </c>
      <c r="AM4" s="360">
        <v>930</v>
      </c>
      <c r="AN4" s="360">
        <v>940</v>
      </c>
    </row>
    <row r="5" spans="1:40" x14ac:dyDescent="0.3">
      <c r="A5" s="357" t="s">
        <v>216</v>
      </c>
      <c r="B5" s="382">
        <v>2</v>
      </c>
      <c r="C5" s="357">
        <v>9</v>
      </c>
      <c r="D5" s="357">
        <v>1</v>
      </c>
      <c r="E5" s="357">
        <v>1</v>
      </c>
      <c r="F5" s="357">
        <v>67.25</v>
      </c>
      <c r="G5" s="357">
        <v>0</v>
      </c>
      <c r="H5" s="357">
        <v>8.5</v>
      </c>
      <c r="I5" s="357">
        <v>0</v>
      </c>
      <c r="J5" s="357">
        <v>0</v>
      </c>
      <c r="K5" s="357">
        <v>52.25</v>
      </c>
      <c r="L5" s="357">
        <v>1.5</v>
      </c>
      <c r="M5" s="357">
        <v>0</v>
      </c>
      <c r="N5" s="357">
        <v>0</v>
      </c>
      <c r="O5" s="357">
        <v>0</v>
      </c>
      <c r="P5" s="357">
        <v>0</v>
      </c>
      <c r="Q5" s="357">
        <v>0</v>
      </c>
      <c r="R5" s="357">
        <v>0</v>
      </c>
      <c r="S5" s="357">
        <v>0</v>
      </c>
      <c r="T5" s="357">
        <v>0</v>
      </c>
      <c r="U5" s="357">
        <v>0</v>
      </c>
      <c r="V5" s="357">
        <v>0</v>
      </c>
      <c r="W5" s="357">
        <v>0</v>
      </c>
      <c r="X5" s="357">
        <v>0</v>
      </c>
      <c r="Y5" s="357">
        <v>0</v>
      </c>
      <c r="Z5" s="357">
        <v>0</v>
      </c>
      <c r="AA5" s="357">
        <v>0</v>
      </c>
      <c r="AB5" s="357">
        <v>0</v>
      </c>
      <c r="AC5" s="357">
        <v>0</v>
      </c>
      <c r="AD5" s="357">
        <v>0</v>
      </c>
      <c r="AE5" s="357">
        <v>0</v>
      </c>
      <c r="AF5" s="357">
        <v>0</v>
      </c>
      <c r="AG5" s="357">
        <v>0</v>
      </c>
      <c r="AH5" s="357">
        <v>4</v>
      </c>
      <c r="AI5" s="357">
        <v>0</v>
      </c>
      <c r="AJ5" s="357">
        <v>0</v>
      </c>
      <c r="AK5" s="357">
        <v>0</v>
      </c>
      <c r="AL5" s="357">
        <v>0</v>
      </c>
      <c r="AM5" s="357">
        <v>1</v>
      </c>
      <c r="AN5" s="357">
        <v>0</v>
      </c>
    </row>
    <row r="6" spans="1:40" x14ac:dyDescent="0.3">
      <c r="A6" s="357" t="s">
        <v>217</v>
      </c>
      <c r="B6" s="382">
        <v>3</v>
      </c>
      <c r="C6" s="357">
        <v>9</v>
      </c>
      <c r="D6" s="357">
        <v>1</v>
      </c>
      <c r="E6" s="357">
        <v>2</v>
      </c>
      <c r="F6" s="357">
        <v>11056.63</v>
      </c>
      <c r="G6" s="357">
        <v>0</v>
      </c>
      <c r="H6" s="357">
        <v>1516</v>
      </c>
      <c r="I6" s="357">
        <v>0</v>
      </c>
      <c r="J6" s="357">
        <v>0</v>
      </c>
      <c r="K6" s="357">
        <v>8401.8799999999992</v>
      </c>
      <c r="L6" s="357">
        <v>258.75</v>
      </c>
      <c r="M6" s="357">
        <v>0</v>
      </c>
      <c r="N6" s="357">
        <v>0</v>
      </c>
      <c r="O6" s="357">
        <v>0</v>
      </c>
      <c r="P6" s="357">
        <v>0</v>
      </c>
      <c r="Q6" s="357">
        <v>0</v>
      </c>
      <c r="R6" s="357">
        <v>0</v>
      </c>
      <c r="S6" s="357">
        <v>0</v>
      </c>
      <c r="T6" s="357">
        <v>0</v>
      </c>
      <c r="U6" s="357">
        <v>0</v>
      </c>
      <c r="V6" s="357">
        <v>0</v>
      </c>
      <c r="W6" s="357">
        <v>0</v>
      </c>
      <c r="X6" s="357">
        <v>0</v>
      </c>
      <c r="Y6" s="357">
        <v>0</v>
      </c>
      <c r="Z6" s="357">
        <v>0</v>
      </c>
      <c r="AA6" s="357">
        <v>0</v>
      </c>
      <c r="AB6" s="357">
        <v>0</v>
      </c>
      <c r="AC6" s="357">
        <v>0</v>
      </c>
      <c r="AD6" s="357">
        <v>0</v>
      </c>
      <c r="AE6" s="357">
        <v>0</v>
      </c>
      <c r="AF6" s="357">
        <v>0</v>
      </c>
      <c r="AG6" s="357">
        <v>0</v>
      </c>
      <c r="AH6" s="357">
        <v>704</v>
      </c>
      <c r="AI6" s="357">
        <v>0</v>
      </c>
      <c r="AJ6" s="357">
        <v>0</v>
      </c>
      <c r="AK6" s="357">
        <v>0</v>
      </c>
      <c r="AL6" s="357">
        <v>0</v>
      </c>
      <c r="AM6" s="357">
        <v>176</v>
      </c>
      <c r="AN6" s="357">
        <v>0</v>
      </c>
    </row>
    <row r="7" spans="1:40" x14ac:dyDescent="0.3">
      <c r="A7" s="357" t="s">
        <v>218</v>
      </c>
      <c r="B7" s="382">
        <v>4</v>
      </c>
      <c r="C7" s="357">
        <v>9</v>
      </c>
      <c r="D7" s="357">
        <v>1</v>
      </c>
      <c r="E7" s="357">
        <v>3</v>
      </c>
      <c r="F7" s="357">
        <v>36</v>
      </c>
      <c r="G7" s="357">
        <v>0</v>
      </c>
      <c r="H7" s="357">
        <v>36</v>
      </c>
      <c r="I7" s="357">
        <v>0</v>
      </c>
      <c r="J7" s="357">
        <v>0</v>
      </c>
      <c r="K7" s="357">
        <v>0</v>
      </c>
      <c r="L7" s="357">
        <v>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357">
        <v>0</v>
      </c>
      <c r="Y7" s="357">
        <v>0</v>
      </c>
      <c r="Z7" s="357">
        <v>0</v>
      </c>
      <c r="AA7" s="357">
        <v>0</v>
      </c>
      <c r="AB7" s="357">
        <v>0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357">
        <v>0</v>
      </c>
      <c r="AK7" s="357">
        <v>0</v>
      </c>
      <c r="AL7" s="357">
        <v>0</v>
      </c>
      <c r="AM7" s="357">
        <v>0</v>
      </c>
      <c r="AN7" s="357">
        <v>0</v>
      </c>
    </row>
    <row r="8" spans="1:40" x14ac:dyDescent="0.3">
      <c r="A8" s="357" t="s">
        <v>219</v>
      </c>
      <c r="B8" s="382">
        <v>5</v>
      </c>
      <c r="C8" s="357">
        <v>9</v>
      </c>
      <c r="D8" s="357">
        <v>1</v>
      </c>
      <c r="E8" s="357">
        <v>4</v>
      </c>
      <c r="F8" s="357">
        <v>226</v>
      </c>
      <c r="G8" s="357">
        <v>0</v>
      </c>
      <c r="H8" s="357">
        <v>216</v>
      </c>
      <c r="I8" s="357">
        <v>0</v>
      </c>
      <c r="J8" s="357">
        <v>0</v>
      </c>
      <c r="K8" s="357">
        <v>0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357">
        <v>0</v>
      </c>
      <c r="Y8" s="357">
        <v>0</v>
      </c>
      <c r="Z8" s="357">
        <v>0</v>
      </c>
      <c r="AA8" s="357">
        <v>0</v>
      </c>
      <c r="AB8" s="357">
        <v>0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10</v>
      </c>
      <c r="AI8" s="357">
        <v>0</v>
      </c>
      <c r="AJ8" s="357">
        <v>0</v>
      </c>
      <c r="AK8" s="357">
        <v>0</v>
      </c>
      <c r="AL8" s="357">
        <v>0</v>
      </c>
      <c r="AM8" s="357">
        <v>0</v>
      </c>
      <c r="AN8" s="357">
        <v>0</v>
      </c>
    </row>
    <row r="9" spans="1:40" x14ac:dyDescent="0.3">
      <c r="A9" s="357" t="s">
        <v>220</v>
      </c>
      <c r="B9" s="382">
        <v>6</v>
      </c>
      <c r="C9" s="357">
        <v>9</v>
      </c>
      <c r="D9" s="357">
        <v>1</v>
      </c>
      <c r="E9" s="357">
        <v>5</v>
      </c>
      <c r="F9" s="357">
        <v>36</v>
      </c>
      <c r="G9" s="357">
        <v>36</v>
      </c>
      <c r="H9" s="357">
        <v>0</v>
      </c>
      <c r="I9" s="357">
        <v>0</v>
      </c>
      <c r="J9" s="357">
        <v>0</v>
      </c>
      <c r="K9" s="357">
        <v>0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357">
        <v>0</v>
      </c>
      <c r="Y9" s="357">
        <v>0</v>
      </c>
      <c r="Z9" s="357">
        <v>0</v>
      </c>
      <c r="AA9" s="357">
        <v>0</v>
      </c>
      <c r="AB9" s="357">
        <v>0</v>
      </c>
      <c r="AC9" s="357">
        <v>0</v>
      </c>
      <c r="AD9" s="357">
        <v>0</v>
      </c>
      <c r="AE9" s="357">
        <v>0</v>
      </c>
      <c r="AF9" s="357">
        <v>0</v>
      </c>
      <c r="AG9" s="357">
        <v>0</v>
      </c>
      <c r="AH9" s="357">
        <v>0</v>
      </c>
      <c r="AI9" s="357">
        <v>0</v>
      </c>
      <c r="AJ9" s="357">
        <v>0</v>
      </c>
      <c r="AK9" s="357">
        <v>0</v>
      </c>
      <c r="AL9" s="357">
        <v>0</v>
      </c>
      <c r="AM9" s="357">
        <v>0</v>
      </c>
      <c r="AN9" s="357">
        <v>0</v>
      </c>
    </row>
    <row r="10" spans="1:40" x14ac:dyDescent="0.3">
      <c r="A10" s="357" t="s">
        <v>221</v>
      </c>
      <c r="B10" s="382">
        <v>7</v>
      </c>
      <c r="C10" s="357">
        <v>9</v>
      </c>
      <c r="D10" s="357">
        <v>1</v>
      </c>
      <c r="E10" s="357">
        <v>6</v>
      </c>
      <c r="F10" s="357">
        <v>2323475</v>
      </c>
      <c r="G10" s="357">
        <v>9120</v>
      </c>
      <c r="H10" s="357">
        <v>654787</v>
      </c>
      <c r="I10" s="357">
        <v>0</v>
      </c>
      <c r="J10" s="357">
        <v>0</v>
      </c>
      <c r="K10" s="357">
        <v>1541608</v>
      </c>
      <c r="L10" s="357">
        <v>35093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357">
        <v>0</v>
      </c>
      <c r="Y10" s="357">
        <v>0</v>
      </c>
      <c r="Z10" s="357">
        <v>0</v>
      </c>
      <c r="AA10" s="357">
        <v>0</v>
      </c>
      <c r="AB10" s="357">
        <v>0</v>
      </c>
      <c r="AC10" s="357">
        <v>0</v>
      </c>
      <c r="AD10" s="357">
        <v>0</v>
      </c>
      <c r="AE10" s="357">
        <v>0</v>
      </c>
      <c r="AF10" s="357">
        <v>0</v>
      </c>
      <c r="AG10" s="357">
        <v>0</v>
      </c>
      <c r="AH10" s="357">
        <v>60921</v>
      </c>
      <c r="AI10" s="357">
        <v>0</v>
      </c>
      <c r="AJ10" s="357">
        <v>0</v>
      </c>
      <c r="AK10" s="357">
        <v>0</v>
      </c>
      <c r="AL10" s="357">
        <v>0</v>
      </c>
      <c r="AM10" s="357">
        <v>21946</v>
      </c>
      <c r="AN10" s="357">
        <v>0</v>
      </c>
    </row>
    <row r="11" spans="1:40" x14ac:dyDescent="0.3">
      <c r="A11" s="357" t="s">
        <v>222</v>
      </c>
      <c r="B11" s="382">
        <v>8</v>
      </c>
      <c r="C11" s="357">
        <v>9</v>
      </c>
      <c r="D11" s="357">
        <v>1</v>
      </c>
      <c r="E11" s="357">
        <v>10</v>
      </c>
      <c r="F11" s="357">
        <v>3931</v>
      </c>
      <c r="G11" s="357">
        <v>0</v>
      </c>
      <c r="H11" s="357">
        <v>0</v>
      </c>
      <c r="I11" s="357">
        <v>0</v>
      </c>
      <c r="J11" s="357">
        <v>0</v>
      </c>
      <c r="K11" s="357">
        <v>3931</v>
      </c>
      <c r="L11" s="357">
        <v>0</v>
      </c>
      <c r="M11" s="357">
        <v>0</v>
      </c>
      <c r="N11" s="357">
        <v>0</v>
      </c>
      <c r="O11" s="357">
        <v>0</v>
      </c>
      <c r="P11" s="357">
        <v>0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0</v>
      </c>
      <c r="AB11" s="357">
        <v>0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357">
        <v>0</v>
      </c>
      <c r="AK11" s="357">
        <v>0</v>
      </c>
      <c r="AL11" s="357">
        <v>0</v>
      </c>
      <c r="AM11" s="357">
        <v>0</v>
      </c>
      <c r="AN11" s="357">
        <v>0</v>
      </c>
    </row>
    <row r="12" spans="1:40" x14ac:dyDescent="0.3">
      <c r="A12" s="357" t="s">
        <v>223</v>
      </c>
      <c r="B12" s="382">
        <v>9</v>
      </c>
      <c r="C12" s="357">
        <v>9</v>
      </c>
      <c r="D12" s="357">
        <v>1</v>
      </c>
      <c r="E12" s="357">
        <v>11</v>
      </c>
      <c r="F12" s="357">
        <v>4469.833333333333</v>
      </c>
      <c r="G12" s="357">
        <v>0</v>
      </c>
      <c r="H12" s="357">
        <v>2803.1666666666665</v>
      </c>
      <c r="I12" s="357">
        <v>0</v>
      </c>
      <c r="J12" s="357">
        <v>0</v>
      </c>
      <c r="K12" s="357">
        <v>1666.6666666666667</v>
      </c>
      <c r="L12" s="357">
        <v>0</v>
      </c>
      <c r="M12" s="357">
        <v>0</v>
      </c>
      <c r="N12" s="357">
        <v>0</v>
      </c>
      <c r="O12" s="357">
        <v>0</v>
      </c>
      <c r="P12" s="357">
        <v>0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357">
        <v>0</v>
      </c>
      <c r="Y12" s="357">
        <v>0</v>
      </c>
      <c r="Z12" s="357">
        <v>0</v>
      </c>
      <c r="AA12" s="357">
        <v>0</v>
      </c>
      <c r="AB12" s="357">
        <v>0</v>
      </c>
      <c r="AC12" s="357">
        <v>0</v>
      </c>
      <c r="AD12" s="357">
        <v>0</v>
      </c>
      <c r="AE12" s="357">
        <v>0</v>
      </c>
      <c r="AF12" s="357">
        <v>0</v>
      </c>
      <c r="AG12" s="357">
        <v>0</v>
      </c>
      <c r="AH12" s="357">
        <v>0</v>
      </c>
      <c r="AI12" s="357">
        <v>0</v>
      </c>
      <c r="AJ12" s="357">
        <v>0</v>
      </c>
      <c r="AK12" s="357">
        <v>0</v>
      </c>
      <c r="AL12" s="357">
        <v>0</v>
      </c>
      <c r="AM12" s="357">
        <v>0</v>
      </c>
      <c r="AN12" s="357">
        <v>0</v>
      </c>
    </row>
    <row r="13" spans="1:40" x14ac:dyDescent="0.3">
      <c r="A13" s="357" t="s">
        <v>224</v>
      </c>
      <c r="B13" s="382">
        <v>10</v>
      </c>
      <c r="C13" s="357">
        <v>9</v>
      </c>
      <c r="D13" s="357">
        <v>2</v>
      </c>
      <c r="E13" s="357">
        <v>1</v>
      </c>
      <c r="F13" s="357">
        <v>66.75</v>
      </c>
      <c r="G13" s="357">
        <v>0</v>
      </c>
      <c r="H13" s="357">
        <v>8.5</v>
      </c>
      <c r="I13" s="357">
        <v>0</v>
      </c>
      <c r="J13" s="357">
        <v>0</v>
      </c>
      <c r="K13" s="357">
        <v>51.75</v>
      </c>
      <c r="L13" s="357">
        <v>1.5</v>
      </c>
      <c r="M13" s="357">
        <v>0</v>
      </c>
      <c r="N13" s="357">
        <v>0</v>
      </c>
      <c r="O13" s="357">
        <v>0</v>
      </c>
      <c r="P13" s="357">
        <v>0</v>
      </c>
      <c r="Q13" s="357">
        <v>0</v>
      </c>
      <c r="R13" s="357">
        <v>0</v>
      </c>
      <c r="S13" s="357">
        <v>0</v>
      </c>
      <c r="T13" s="357">
        <v>0</v>
      </c>
      <c r="U13" s="357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0</v>
      </c>
      <c r="AB13" s="357">
        <v>0</v>
      </c>
      <c r="AC13" s="357">
        <v>0</v>
      </c>
      <c r="AD13" s="357">
        <v>0</v>
      </c>
      <c r="AE13" s="357">
        <v>0</v>
      </c>
      <c r="AF13" s="357">
        <v>0</v>
      </c>
      <c r="AG13" s="357">
        <v>0</v>
      </c>
      <c r="AH13" s="357">
        <v>4</v>
      </c>
      <c r="AI13" s="357">
        <v>0</v>
      </c>
      <c r="AJ13" s="357">
        <v>0</v>
      </c>
      <c r="AK13" s="357">
        <v>0</v>
      </c>
      <c r="AL13" s="357">
        <v>0</v>
      </c>
      <c r="AM13" s="357">
        <v>1</v>
      </c>
      <c r="AN13" s="357">
        <v>0</v>
      </c>
    </row>
    <row r="14" spans="1:40" x14ac:dyDescent="0.3">
      <c r="A14" s="357" t="s">
        <v>225</v>
      </c>
      <c r="B14" s="382">
        <v>11</v>
      </c>
      <c r="C14" s="357">
        <v>9</v>
      </c>
      <c r="D14" s="357">
        <v>2</v>
      </c>
      <c r="E14" s="357">
        <v>2</v>
      </c>
      <c r="F14" s="357">
        <v>8716.75</v>
      </c>
      <c r="G14" s="357">
        <v>0</v>
      </c>
      <c r="H14" s="357">
        <v>1344</v>
      </c>
      <c r="I14" s="357">
        <v>0</v>
      </c>
      <c r="J14" s="357">
        <v>0</v>
      </c>
      <c r="K14" s="357">
        <v>6421</v>
      </c>
      <c r="L14" s="357">
        <v>183.75</v>
      </c>
      <c r="M14" s="357">
        <v>0</v>
      </c>
      <c r="N14" s="357">
        <v>0</v>
      </c>
      <c r="O14" s="357">
        <v>0</v>
      </c>
      <c r="P14" s="357">
        <v>0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  <c r="W14" s="357">
        <v>0</v>
      </c>
      <c r="X14" s="357">
        <v>0</v>
      </c>
      <c r="Y14" s="357">
        <v>0</v>
      </c>
      <c r="Z14" s="357">
        <v>0</v>
      </c>
      <c r="AA14" s="357">
        <v>0</v>
      </c>
      <c r="AB14" s="357">
        <v>0</v>
      </c>
      <c r="AC14" s="357">
        <v>0</v>
      </c>
      <c r="AD14" s="357">
        <v>0</v>
      </c>
      <c r="AE14" s="357">
        <v>0</v>
      </c>
      <c r="AF14" s="357">
        <v>0</v>
      </c>
      <c r="AG14" s="357">
        <v>0</v>
      </c>
      <c r="AH14" s="357">
        <v>608</v>
      </c>
      <c r="AI14" s="357">
        <v>0</v>
      </c>
      <c r="AJ14" s="357">
        <v>0</v>
      </c>
      <c r="AK14" s="357">
        <v>0</v>
      </c>
      <c r="AL14" s="357">
        <v>0</v>
      </c>
      <c r="AM14" s="357">
        <v>160</v>
      </c>
      <c r="AN14" s="357">
        <v>0</v>
      </c>
    </row>
    <row r="15" spans="1:40" x14ac:dyDescent="0.3">
      <c r="A15" s="357" t="s">
        <v>226</v>
      </c>
      <c r="B15" s="382">
        <v>12</v>
      </c>
      <c r="C15" s="357">
        <v>9</v>
      </c>
      <c r="D15" s="357">
        <v>2</v>
      </c>
      <c r="E15" s="357">
        <v>3</v>
      </c>
      <c r="F15" s="357">
        <v>48</v>
      </c>
      <c r="G15" s="357">
        <v>0</v>
      </c>
      <c r="H15" s="357">
        <v>36</v>
      </c>
      <c r="I15" s="357">
        <v>0</v>
      </c>
      <c r="J15" s="357">
        <v>0</v>
      </c>
      <c r="K15" s="357">
        <v>12</v>
      </c>
      <c r="L15" s="357">
        <v>0</v>
      </c>
      <c r="M15" s="357">
        <v>0</v>
      </c>
      <c r="N15" s="357">
        <v>0</v>
      </c>
      <c r="O15" s="357">
        <v>0</v>
      </c>
      <c r="P15" s="357">
        <v>0</v>
      </c>
      <c r="Q15" s="357">
        <v>0</v>
      </c>
      <c r="R15" s="357">
        <v>0</v>
      </c>
      <c r="S15" s="357">
        <v>0</v>
      </c>
      <c r="T15" s="357">
        <v>0</v>
      </c>
      <c r="U15" s="357">
        <v>0</v>
      </c>
      <c r="V15" s="357">
        <v>0</v>
      </c>
      <c r="W15" s="357">
        <v>0</v>
      </c>
      <c r="X15" s="357">
        <v>0</v>
      </c>
      <c r="Y15" s="357">
        <v>0</v>
      </c>
      <c r="Z15" s="357">
        <v>0</v>
      </c>
      <c r="AA15" s="357">
        <v>0</v>
      </c>
      <c r="AB15" s="357">
        <v>0</v>
      </c>
      <c r="AC15" s="357">
        <v>0</v>
      </c>
      <c r="AD15" s="357">
        <v>0</v>
      </c>
      <c r="AE15" s="357">
        <v>0</v>
      </c>
      <c r="AF15" s="357">
        <v>0</v>
      </c>
      <c r="AG15" s="357">
        <v>0</v>
      </c>
      <c r="AH15" s="357">
        <v>0</v>
      </c>
      <c r="AI15" s="357">
        <v>0</v>
      </c>
      <c r="AJ15" s="357">
        <v>0</v>
      </c>
      <c r="AK15" s="357">
        <v>0</v>
      </c>
      <c r="AL15" s="357">
        <v>0</v>
      </c>
      <c r="AM15" s="357">
        <v>0</v>
      </c>
      <c r="AN15" s="357">
        <v>0</v>
      </c>
    </row>
    <row r="16" spans="1:40" x14ac:dyDescent="0.3">
      <c r="A16" s="357" t="s">
        <v>214</v>
      </c>
      <c r="B16" s="382">
        <v>2014</v>
      </c>
      <c r="C16" s="357">
        <v>9</v>
      </c>
      <c r="D16" s="357">
        <v>2</v>
      </c>
      <c r="E16" s="357">
        <v>4</v>
      </c>
      <c r="F16" s="357">
        <v>216</v>
      </c>
      <c r="G16" s="357">
        <v>0</v>
      </c>
      <c r="H16" s="357">
        <v>216</v>
      </c>
      <c r="I16" s="357">
        <v>0</v>
      </c>
      <c r="J16" s="357">
        <v>0</v>
      </c>
      <c r="K16" s="357">
        <v>0</v>
      </c>
      <c r="L16" s="357">
        <v>0</v>
      </c>
      <c r="M16" s="357">
        <v>0</v>
      </c>
      <c r="N16" s="357">
        <v>0</v>
      </c>
      <c r="O16" s="357">
        <v>0</v>
      </c>
      <c r="P16" s="357">
        <v>0</v>
      </c>
      <c r="Q16" s="357">
        <v>0</v>
      </c>
      <c r="R16" s="357">
        <v>0</v>
      </c>
      <c r="S16" s="357">
        <v>0</v>
      </c>
      <c r="T16" s="357">
        <v>0</v>
      </c>
      <c r="U16" s="357">
        <v>0</v>
      </c>
      <c r="V16" s="357">
        <v>0</v>
      </c>
      <c r="W16" s="357">
        <v>0</v>
      </c>
      <c r="X16" s="357">
        <v>0</v>
      </c>
      <c r="Y16" s="357">
        <v>0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7">
        <v>0</v>
      </c>
      <c r="AG16" s="357">
        <v>0</v>
      </c>
      <c r="AH16" s="357">
        <v>0</v>
      </c>
      <c r="AI16" s="357">
        <v>0</v>
      </c>
      <c r="AJ16" s="357">
        <v>0</v>
      </c>
      <c r="AK16" s="357">
        <v>0</v>
      </c>
      <c r="AL16" s="357">
        <v>0</v>
      </c>
      <c r="AM16" s="357">
        <v>0</v>
      </c>
      <c r="AN16" s="357">
        <v>0</v>
      </c>
    </row>
    <row r="17" spans="3:40" x14ac:dyDescent="0.3">
      <c r="C17" s="357">
        <v>9</v>
      </c>
      <c r="D17" s="357">
        <v>2</v>
      </c>
      <c r="E17" s="357">
        <v>5</v>
      </c>
      <c r="F17" s="357">
        <v>12</v>
      </c>
      <c r="G17" s="357">
        <v>12</v>
      </c>
      <c r="H17" s="357">
        <v>0</v>
      </c>
      <c r="I17" s="357">
        <v>0</v>
      </c>
      <c r="J17" s="357">
        <v>0</v>
      </c>
      <c r="K17" s="357">
        <v>0</v>
      </c>
      <c r="L17" s="357">
        <v>0</v>
      </c>
      <c r="M17" s="357">
        <v>0</v>
      </c>
      <c r="N17" s="357">
        <v>0</v>
      </c>
      <c r="O17" s="357">
        <v>0</v>
      </c>
      <c r="P17" s="357">
        <v>0</v>
      </c>
      <c r="Q17" s="357">
        <v>0</v>
      </c>
      <c r="R17" s="357">
        <v>0</v>
      </c>
      <c r="S17" s="357">
        <v>0</v>
      </c>
      <c r="T17" s="357">
        <v>0</v>
      </c>
      <c r="U17" s="357">
        <v>0</v>
      </c>
      <c r="V17" s="357">
        <v>0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  <c r="AC17" s="357">
        <v>0</v>
      </c>
      <c r="AD17" s="357">
        <v>0</v>
      </c>
      <c r="AE17" s="357">
        <v>0</v>
      </c>
      <c r="AF17" s="357">
        <v>0</v>
      </c>
      <c r="AG17" s="357">
        <v>0</v>
      </c>
      <c r="AH17" s="357">
        <v>0</v>
      </c>
      <c r="AI17" s="357">
        <v>0</v>
      </c>
      <c r="AJ17" s="357">
        <v>0</v>
      </c>
      <c r="AK17" s="357">
        <v>0</v>
      </c>
      <c r="AL17" s="357">
        <v>0</v>
      </c>
      <c r="AM17" s="357">
        <v>0</v>
      </c>
      <c r="AN17" s="357">
        <v>0</v>
      </c>
    </row>
    <row r="18" spans="3:40" x14ac:dyDescent="0.3">
      <c r="C18" s="357">
        <v>9</v>
      </c>
      <c r="D18" s="357">
        <v>2</v>
      </c>
      <c r="E18" s="357">
        <v>6</v>
      </c>
      <c r="F18" s="357">
        <v>2274692</v>
      </c>
      <c r="G18" s="357">
        <v>3000</v>
      </c>
      <c r="H18" s="357">
        <v>645143</v>
      </c>
      <c r="I18" s="357">
        <v>0</v>
      </c>
      <c r="J18" s="357">
        <v>0</v>
      </c>
      <c r="K18" s="357">
        <v>1513411</v>
      </c>
      <c r="L18" s="357">
        <v>33962</v>
      </c>
      <c r="M18" s="357">
        <v>0</v>
      </c>
      <c r="N18" s="357">
        <v>0</v>
      </c>
      <c r="O18" s="357">
        <v>0</v>
      </c>
      <c r="P18" s="357">
        <v>0</v>
      </c>
      <c r="Q18" s="357">
        <v>0</v>
      </c>
      <c r="R18" s="357">
        <v>0</v>
      </c>
      <c r="S18" s="357">
        <v>0</v>
      </c>
      <c r="T18" s="357">
        <v>0</v>
      </c>
      <c r="U18" s="357">
        <v>0</v>
      </c>
      <c r="V18" s="357">
        <v>0</v>
      </c>
      <c r="W18" s="357">
        <v>0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57">
        <v>0</v>
      </c>
      <c r="AD18" s="357">
        <v>0</v>
      </c>
      <c r="AE18" s="357">
        <v>0</v>
      </c>
      <c r="AF18" s="357">
        <v>0</v>
      </c>
      <c r="AG18" s="357">
        <v>0</v>
      </c>
      <c r="AH18" s="357">
        <v>57616</v>
      </c>
      <c r="AI18" s="357">
        <v>0</v>
      </c>
      <c r="AJ18" s="357">
        <v>0</v>
      </c>
      <c r="AK18" s="357">
        <v>0</v>
      </c>
      <c r="AL18" s="357">
        <v>0</v>
      </c>
      <c r="AM18" s="357">
        <v>21560</v>
      </c>
      <c r="AN18" s="357">
        <v>0</v>
      </c>
    </row>
    <row r="19" spans="3:40" x14ac:dyDescent="0.3">
      <c r="C19" s="357">
        <v>9</v>
      </c>
      <c r="D19" s="357">
        <v>2</v>
      </c>
      <c r="E19" s="357">
        <v>10</v>
      </c>
      <c r="F19" s="357">
        <v>1000</v>
      </c>
      <c r="G19" s="357">
        <v>0</v>
      </c>
      <c r="H19" s="357">
        <v>0</v>
      </c>
      <c r="I19" s="357">
        <v>0</v>
      </c>
      <c r="J19" s="357">
        <v>0</v>
      </c>
      <c r="K19" s="357">
        <v>1000</v>
      </c>
      <c r="L19" s="357">
        <v>0</v>
      </c>
      <c r="M19" s="357">
        <v>0</v>
      </c>
      <c r="N19" s="357">
        <v>0</v>
      </c>
      <c r="O19" s="357">
        <v>0</v>
      </c>
      <c r="P19" s="357">
        <v>0</v>
      </c>
      <c r="Q19" s="357">
        <v>0</v>
      </c>
      <c r="R19" s="357">
        <v>0</v>
      </c>
      <c r="S19" s="357">
        <v>0</v>
      </c>
      <c r="T19" s="357">
        <v>0</v>
      </c>
      <c r="U19" s="357">
        <v>0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57">
        <v>0</v>
      </c>
      <c r="AD19" s="357">
        <v>0</v>
      </c>
      <c r="AE19" s="357">
        <v>0</v>
      </c>
      <c r="AF19" s="357">
        <v>0</v>
      </c>
      <c r="AG19" s="357">
        <v>0</v>
      </c>
      <c r="AH19" s="357">
        <v>0</v>
      </c>
      <c r="AI19" s="357">
        <v>0</v>
      </c>
      <c r="AJ19" s="357">
        <v>0</v>
      </c>
      <c r="AK19" s="357">
        <v>0</v>
      </c>
      <c r="AL19" s="357">
        <v>0</v>
      </c>
      <c r="AM19" s="357">
        <v>0</v>
      </c>
      <c r="AN19" s="357">
        <v>0</v>
      </c>
    </row>
    <row r="20" spans="3:40" x14ac:dyDescent="0.3">
      <c r="C20" s="357">
        <v>9</v>
      </c>
      <c r="D20" s="357">
        <v>2</v>
      </c>
      <c r="E20" s="357">
        <v>11</v>
      </c>
      <c r="F20" s="357">
        <v>4469.833333333333</v>
      </c>
      <c r="G20" s="357">
        <v>0</v>
      </c>
      <c r="H20" s="357">
        <v>2803.1666666666665</v>
      </c>
      <c r="I20" s="357">
        <v>0</v>
      </c>
      <c r="J20" s="357">
        <v>0</v>
      </c>
      <c r="K20" s="357">
        <v>1666.6666666666667</v>
      </c>
      <c r="L20" s="357">
        <v>0</v>
      </c>
      <c r="M20" s="357">
        <v>0</v>
      </c>
      <c r="N20" s="357">
        <v>0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0</v>
      </c>
      <c r="V20" s="357">
        <v>0</v>
      </c>
      <c r="W20" s="357">
        <v>0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57">
        <v>0</v>
      </c>
      <c r="AD20" s="357">
        <v>0</v>
      </c>
      <c r="AE20" s="357">
        <v>0</v>
      </c>
      <c r="AF20" s="357">
        <v>0</v>
      </c>
      <c r="AG20" s="357">
        <v>0</v>
      </c>
      <c r="AH20" s="357">
        <v>0</v>
      </c>
      <c r="AI20" s="357">
        <v>0</v>
      </c>
      <c r="AJ20" s="357">
        <v>0</v>
      </c>
      <c r="AK20" s="357">
        <v>0</v>
      </c>
      <c r="AL20" s="357">
        <v>0</v>
      </c>
      <c r="AM20" s="357">
        <v>0</v>
      </c>
      <c r="AN20" s="357">
        <v>0</v>
      </c>
    </row>
    <row r="21" spans="3:40" x14ac:dyDescent="0.3">
      <c r="C21" s="357">
        <v>9</v>
      </c>
      <c r="D21" s="357">
        <v>3</v>
      </c>
      <c r="E21" s="357">
        <v>1</v>
      </c>
      <c r="F21" s="357">
        <v>65.25</v>
      </c>
      <c r="G21" s="357">
        <v>0</v>
      </c>
      <c r="H21" s="357">
        <v>8.5</v>
      </c>
      <c r="I21" s="357">
        <v>0</v>
      </c>
      <c r="J21" s="357">
        <v>0</v>
      </c>
      <c r="K21" s="357">
        <v>50.25</v>
      </c>
      <c r="L21" s="357">
        <v>1.5</v>
      </c>
      <c r="M21" s="357">
        <v>0</v>
      </c>
      <c r="N21" s="357">
        <v>0</v>
      </c>
      <c r="O21" s="357">
        <v>0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0</v>
      </c>
      <c r="V21" s="357">
        <v>0</v>
      </c>
      <c r="W21" s="357">
        <v>0</v>
      </c>
      <c r="X21" s="357">
        <v>0</v>
      </c>
      <c r="Y21" s="357">
        <v>0</v>
      </c>
      <c r="Z21" s="357">
        <v>0</v>
      </c>
      <c r="AA21" s="357">
        <v>0</v>
      </c>
      <c r="AB21" s="357">
        <v>0</v>
      </c>
      <c r="AC21" s="357">
        <v>0</v>
      </c>
      <c r="AD21" s="357">
        <v>0</v>
      </c>
      <c r="AE21" s="357">
        <v>0</v>
      </c>
      <c r="AF21" s="357">
        <v>0</v>
      </c>
      <c r="AG21" s="357">
        <v>0</v>
      </c>
      <c r="AH21" s="357">
        <v>4</v>
      </c>
      <c r="AI21" s="357">
        <v>0</v>
      </c>
      <c r="AJ21" s="357">
        <v>0</v>
      </c>
      <c r="AK21" s="357">
        <v>0</v>
      </c>
      <c r="AL21" s="357">
        <v>0</v>
      </c>
      <c r="AM21" s="357">
        <v>1</v>
      </c>
      <c r="AN21" s="357">
        <v>0</v>
      </c>
    </row>
    <row r="22" spans="3:40" x14ac:dyDescent="0.3">
      <c r="C22" s="357">
        <v>9</v>
      </c>
      <c r="D22" s="357">
        <v>3</v>
      </c>
      <c r="E22" s="357">
        <v>2</v>
      </c>
      <c r="F22" s="357">
        <v>9549.25</v>
      </c>
      <c r="G22" s="357">
        <v>0</v>
      </c>
      <c r="H22" s="357">
        <v>1404</v>
      </c>
      <c r="I22" s="357">
        <v>0</v>
      </c>
      <c r="J22" s="357">
        <v>0</v>
      </c>
      <c r="K22" s="357">
        <v>7189</v>
      </c>
      <c r="L22" s="357">
        <v>236.25</v>
      </c>
      <c r="M22" s="357">
        <v>0</v>
      </c>
      <c r="N22" s="357">
        <v>0</v>
      </c>
      <c r="O22" s="357">
        <v>0</v>
      </c>
      <c r="P22" s="357">
        <v>0</v>
      </c>
      <c r="Q22" s="357">
        <v>0</v>
      </c>
      <c r="R22" s="357">
        <v>0</v>
      </c>
      <c r="S22" s="357">
        <v>0</v>
      </c>
      <c r="T22" s="357">
        <v>0</v>
      </c>
      <c r="U22" s="357">
        <v>0</v>
      </c>
      <c r="V22" s="357">
        <v>0</v>
      </c>
      <c r="W22" s="357">
        <v>0</v>
      </c>
      <c r="X22" s="357">
        <v>0</v>
      </c>
      <c r="Y22" s="357">
        <v>0</v>
      </c>
      <c r="Z22" s="357">
        <v>0</v>
      </c>
      <c r="AA22" s="357">
        <v>0</v>
      </c>
      <c r="AB22" s="357">
        <v>0</v>
      </c>
      <c r="AC22" s="357">
        <v>0</v>
      </c>
      <c r="AD22" s="357">
        <v>0</v>
      </c>
      <c r="AE22" s="357">
        <v>0</v>
      </c>
      <c r="AF22" s="357">
        <v>0</v>
      </c>
      <c r="AG22" s="357">
        <v>0</v>
      </c>
      <c r="AH22" s="357">
        <v>560</v>
      </c>
      <c r="AI22" s="357">
        <v>0</v>
      </c>
      <c r="AJ22" s="357">
        <v>0</v>
      </c>
      <c r="AK22" s="357">
        <v>0</v>
      </c>
      <c r="AL22" s="357">
        <v>0</v>
      </c>
      <c r="AM22" s="357">
        <v>160</v>
      </c>
      <c r="AN22" s="357">
        <v>0</v>
      </c>
    </row>
    <row r="23" spans="3:40" x14ac:dyDescent="0.3">
      <c r="C23" s="357">
        <v>9</v>
      </c>
      <c r="D23" s="357">
        <v>3</v>
      </c>
      <c r="E23" s="357">
        <v>3</v>
      </c>
      <c r="F23" s="357">
        <v>332</v>
      </c>
      <c r="G23" s="357">
        <v>0</v>
      </c>
      <c r="H23" s="357">
        <v>36</v>
      </c>
      <c r="I23" s="357">
        <v>0</v>
      </c>
      <c r="J23" s="357">
        <v>0</v>
      </c>
      <c r="K23" s="357">
        <v>276</v>
      </c>
      <c r="L23" s="357">
        <v>20</v>
      </c>
      <c r="M23" s="357">
        <v>0</v>
      </c>
      <c r="N23" s="357">
        <v>0</v>
      </c>
      <c r="O23" s="357">
        <v>0</v>
      </c>
      <c r="P23" s="357">
        <v>0</v>
      </c>
      <c r="Q23" s="357">
        <v>0</v>
      </c>
      <c r="R23" s="357">
        <v>0</v>
      </c>
      <c r="S23" s="357">
        <v>0</v>
      </c>
      <c r="T23" s="357">
        <v>0</v>
      </c>
      <c r="U23" s="357">
        <v>0</v>
      </c>
      <c r="V23" s="357">
        <v>0</v>
      </c>
      <c r="W23" s="357">
        <v>0</v>
      </c>
      <c r="X23" s="357">
        <v>0</v>
      </c>
      <c r="Y23" s="357">
        <v>0</v>
      </c>
      <c r="Z23" s="357">
        <v>0</v>
      </c>
      <c r="AA23" s="357">
        <v>0</v>
      </c>
      <c r="AB23" s="357">
        <v>0</v>
      </c>
      <c r="AC23" s="357">
        <v>0</v>
      </c>
      <c r="AD23" s="357">
        <v>0</v>
      </c>
      <c r="AE23" s="357">
        <v>0</v>
      </c>
      <c r="AF23" s="357">
        <v>0</v>
      </c>
      <c r="AG23" s="357">
        <v>0</v>
      </c>
      <c r="AH23" s="357">
        <v>0</v>
      </c>
      <c r="AI23" s="357">
        <v>0</v>
      </c>
      <c r="AJ23" s="357">
        <v>0</v>
      </c>
      <c r="AK23" s="357">
        <v>0</v>
      </c>
      <c r="AL23" s="357">
        <v>0</v>
      </c>
      <c r="AM23" s="357">
        <v>0</v>
      </c>
      <c r="AN23" s="357">
        <v>0</v>
      </c>
    </row>
    <row r="24" spans="3:40" x14ac:dyDescent="0.3">
      <c r="C24" s="357">
        <v>9</v>
      </c>
      <c r="D24" s="357">
        <v>3</v>
      </c>
      <c r="E24" s="357">
        <v>4</v>
      </c>
      <c r="F24" s="357">
        <v>220</v>
      </c>
      <c r="G24" s="357">
        <v>0</v>
      </c>
      <c r="H24" s="357">
        <v>220</v>
      </c>
      <c r="I24" s="357">
        <v>0</v>
      </c>
      <c r="J24" s="357">
        <v>0</v>
      </c>
      <c r="K24" s="357">
        <v>0</v>
      </c>
      <c r="L24" s="357">
        <v>0</v>
      </c>
      <c r="M24" s="357">
        <v>0</v>
      </c>
      <c r="N24" s="357">
        <v>0</v>
      </c>
      <c r="O24" s="357">
        <v>0</v>
      </c>
      <c r="P24" s="357">
        <v>0</v>
      </c>
      <c r="Q24" s="357">
        <v>0</v>
      </c>
      <c r="R24" s="357">
        <v>0</v>
      </c>
      <c r="S24" s="357">
        <v>0</v>
      </c>
      <c r="T24" s="357">
        <v>0</v>
      </c>
      <c r="U24" s="357">
        <v>0</v>
      </c>
      <c r="V24" s="357">
        <v>0</v>
      </c>
      <c r="W24" s="357">
        <v>0</v>
      </c>
      <c r="X24" s="357">
        <v>0</v>
      </c>
      <c r="Y24" s="357">
        <v>0</v>
      </c>
      <c r="Z24" s="357">
        <v>0</v>
      </c>
      <c r="AA24" s="357">
        <v>0</v>
      </c>
      <c r="AB24" s="357">
        <v>0</v>
      </c>
      <c r="AC24" s="357">
        <v>0</v>
      </c>
      <c r="AD24" s="357">
        <v>0</v>
      </c>
      <c r="AE24" s="357">
        <v>0</v>
      </c>
      <c r="AF24" s="357">
        <v>0</v>
      </c>
      <c r="AG24" s="357">
        <v>0</v>
      </c>
      <c r="AH24" s="357">
        <v>0</v>
      </c>
      <c r="AI24" s="357">
        <v>0</v>
      </c>
      <c r="AJ24" s="357">
        <v>0</v>
      </c>
      <c r="AK24" s="357">
        <v>0</v>
      </c>
      <c r="AL24" s="357">
        <v>0</v>
      </c>
      <c r="AM24" s="357">
        <v>0</v>
      </c>
      <c r="AN24" s="357">
        <v>0</v>
      </c>
    </row>
    <row r="25" spans="3:40" x14ac:dyDescent="0.3">
      <c r="C25" s="357">
        <v>9</v>
      </c>
      <c r="D25" s="357">
        <v>3</v>
      </c>
      <c r="E25" s="357">
        <v>5</v>
      </c>
      <c r="F25" s="357">
        <v>36</v>
      </c>
      <c r="G25" s="357">
        <v>36</v>
      </c>
      <c r="H25" s="357">
        <v>0</v>
      </c>
      <c r="I25" s="357">
        <v>0</v>
      </c>
      <c r="J25" s="357">
        <v>0</v>
      </c>
      <c r="K25" s="357">
        <v>0</v>
      </c>
      <c r="L25" s="357">
        <v>0</v>
      </c>
      <c r="M25" s="357">
        <v>0</v>
      </c>
      <c r="N25" s="357">
        <v>0</v>
      </c>
      <c r="O25" s="357">
        <v>0</v>
      </c>
      <c r="P25" s="357">
        <v>0</v>
      </c>
      <c r="Q25" s="357">
        <v>0</v>
      </c>
      <c r="R25" s="357">
        <v>0</v>
      </c>
      <c r="S25" s="357">
        <v>0</v>
      </c>
      <c r="T25" s="357">
        <v>0</v>
      </c>
      <c r="U25" s="357">
        <v>0</v>
      </c>
      <c r="V25" s="357">
        <v>0</v>
      </c>
      <c r="W25" s="357">
        <v>0</v>
      </c>
      <c r="X25" s="357">
        <v>0</v>
      </c>
      <c r="Y25" s="357">
        <v>0</v>
      </c>
      <c r="Z25" s="357">
        <v>0</v>
      </c>
      <c r="AA25" s="357">
        <v>0</v>
      </c>
      <c r="AB25" s="357">
        <v>0</v>
      </c>
      <c r="AC25" s="357">
        <v>0</v>
      </c>
      <c r="AD25" s="357">
        <v>0</v>
      </c>
      <c r="AE25" s="357">
        <v>0</v>
      </c>
      <c r="AF25" s="357">
        <v>0</v>
      </c>
      <c r="AG25" s="357">
        <v>0</v>
      </c>
      <c r="AH25" s="357">
        <v>0</v>
      </c>
      <c r="AI25" s="357">
        <v>0</v>
      </c>
      <c r="AJ25" s="357">
        <v>0</v>
      </c>
      <c r="AK25" s="357">
        <v>0</v>
      </c>
      <c r="AL25" s="357">
        <v>0</v>
      </c>
      <c r="AM25" s="357">
        <v>0</v>
      </c>
      <c r="AN25" s="357">
        <v>0</v>
      </c>
    </row>
    <row r="26" spans="3:40" x14ac:dyDescent="0.3">
      <c r="C26" s="357">
        <v>9</v>
      </c>
      <c r="D26" s="357">
        <v>3</v>
      </c>
      <c r="E26" s="357">
        <v>6</v>
      </c>
      <c r="F26" s="357">
        <v>2318289</v>
      </c>
      <c r="G26" s="357">
        <v>9120</v>
      </c>
      <c r="H26" s="357">
        <v>686053</v>
      </c>
      <c r="I26" s="357">
        <v>0</v>
      </c>
      <c r="J26" s="357">
        <v>0</v>
      </c>
      <c r="K26" s="357">
        <v>1503994</v>
      </c>
      <c r="L26" s="357">
        <v>37688</v>
      </c>
      <c r="M26" s="357">
        <v>0</v>
      </c>
      <c r="N26" s="357">
        <v>0</v>
      </c>
      <c r="O26" s="357">
        <v>0</v>
      </c>
      <c r="P26" s="357">
        <v>0</v>
      </c>
      <c r="Q26" s="357">
        <v>0</v>
      </c>
      <c r="R26" s="357">
        <v>0</v>
      </c>
      <c r="S26" s="357">
        <v>0</v>
      </c>
      <c r="T26" s="357">
        <v>0</v>
      </c>
      <c r="U26" s="357">
        <v>0</v>
      </c>
      <c r="V26" s="357">
        <v>0</v>
      </c>
      <c r="W26" s="357">
        <v>0</v>
      </c>
      <c r="X26" s="357">
        <v>0</v>
      </c>
      <c r="Y26" s="357">
        <v>0</v>
      </c>
      <c r="Z26" s="357">
        <v>0</v>
      </c>
      <c r="AA26" s="357">
        <v>0</v>
      </c>
      <c r="AB26" s="357">
        <v>0</v>
      </c>
      <c r="AC26" s="357">
        <v>0</v>
      </c>
      <c r="AD26" s="357">
        <v>0</v>
      </c>
      <c r="AE26" s="357">
        <v>0</v>
      </c>
      <c r="AF26" s="357">
        <v>0</v>
      </c>
      <c r="AG26" s="357">
        <v>0</v>
      </c>
      <c r="AH26" s="357">
        <v>59577</v>
      </c>
      <c r="AI26" s="357">
        <v>0</v>
      </c>
      <c r="AJ26" s="357">
        <v>0</v>
      </c>
      <c r="AK26" s="357">
        <v>0</v>
      </c>
      <c r="AL26" s="357">
        <v>0</v>
      </c>
      <c r="AM26" s="357">
        <v>21857</v>
      </c>
      <c r="AN26" s="357">
        <v>0</v>
      </c>
    </row>
    <row r="27" spans="3:40" x14ac:dyDescent="0.3">
      <c r="C27" s="357">
        <v>9</v>
      </c>
      <c r="D27" s="357">
        <v>3</v>
      </c>
      <c r="E27" s="357">
        <v>9</v>
      </c>
      <c r="F27" s="357">
        <v>46040</v>
      </c>
      <c r="G27" s="357">
        <v>0</v>
      </c>
      <c r="H27" s="357">
        <v>28000</v>
      </c>
      <c r="I27" s="357">
        <v>0</v>
      </c>
      <c r="J27" s="357">
        <v>0</v>
      </c>
      <c r="K27" s="357">
        <v>18040</v>
      </c>
      <c r="L27" s="357">
        <v>0</v>
      </c>
      <c r="M27" s="357">
        <v>0</v>
      </c>
      <c r="N27" s="357">
        <v>0</v>
      </c>
      <c r="O27" s="357">
        <v>0</v>
      </c>
      <c r="P27" s="357">
        <v>0</v>
      </c>
      <c r="Q27" s="357">
        <v>0</v>
      </c>
      <c r="R27" s="357">
        <v>0</v>
      </c>
      <c r="S27" s="357">
        <v>0</v>
      </c>
      <c r="T27" s="357">
        <v>0</v>
      </c>
      <c r="U27" s="357">
        <v>0</v>
      </c>
      <c r="V27" s="357">
        <v>0</v>
      </c>
      <c r="W27" s="357">
        <v>0</v>
      </c>
      <c r="X27" s="357">
        <v>0</v>
      </c>
      <c r="Y27" s="357">
        <v>0</v>
      </c>
      <c r="Z27" s="357">
        <v>0</v>
      </c>
      <c r="AA27" s="357">
        <v>0</v>
      </c>
      <c r="AB27" s="357">
        <v>0</v>
      </c>
      <c r="AC27" s="357">
        <v>0</v>
      </c>
      <c r="AD27" s="357">
        <v>0</v>
      </c>
      <c r="AE27" s="357">
        <v>0</v>
      </c>
      <c r="AF27" s="357">
        <v>0</v>
      </c>
      <c r="AG27" s="357">
        <v>0</v>
      </c>
      <c r="AH27" s="357">
        <v>0</v>
      </c>
      <c r="AI27" s="357">
        <v>0</v>
      </c>
      <c r="AJ27" s="357">
        <v>0</v>
      </c>
      <c r="AK27" s="357">
        <v>0</v>
      </c>
      <c r="AL27" s="357">
        <v>0</v>
      </c>
      <c r="AM27" s="357">
        <v>0</v>
      </c>
      <c r="AN27" s="357">
        <v>0</v>
      </c>
    </row>
    <row r="28" spans="3:40" x14ac:dyDescent="0.3">
      <c r="C28" s="357">
        <v>9</v>
      </c>
      <c r="D28" s="357">
        <v>3</v>
      </c>
      <c r="E28" s="357">
        <v>10</v>
      </c>
      <c r="F28" s="357">
        <v>8232</v>
      </c>
      <c r="G28" s="357">
        <v>0</v>
      </c>
      <c r="H28" s="357">
        <v>0</v>
      </c>
      <c r="I28" s="357">
        <v>0</v>
      </c>
      <c r="J28" s="357">
        <v>0</v>
      </c>
      <c r="K28" s="357">
        <v>8232</v>
      </c>
      <c r="L28" s="357">
        <v>0</v>
      </c>
      <c r="M28" s="357">
        <v>0</v>
      </c>
      <c r="N28" s="357">
        <v>0</v>
      </c>
      <c r="O28" s="357">
        <v>0</v>
      </c>
      <c r="P28" s="357">
        <v>0</v>
      </c>
      <c r="Q28" s="357">
        <v>0</v>
      </c>
      <c r="R28" s="357">
        <v>0</v>
      </c>
      <c r="S28" s="357">
        <v>0</v>
      </c>
      <c r="T28" s="357">
        <v>0</v>
      </c>
      <c r="U28" s="357">
        <v>0</v>
      </c>
      <c r="V28" s="357">
        <v>0</v>
      </c>
      <c r="W28" s="357">
        <v>0</v>
      </c>
      <c r="X28" s="357">
        <v>0</v>
      </c>
      <c r="Y28" s="357">
        <v>0</v>
      </c>
      <c r="Z28" s="357">
        <v>0</v>
      </c>
      <c r="AA28" s="357">
        <v>0</v>
      </c>
      <c r="AB28" s="357">
        <v>0</v>
      </c>
      <c r="AC28" s="357">
        <v>0</v>
      </c>
      <c r="AD28" s="357">
        <v>0</v>
      </c>
      <c r="AE28" s="357">
        <v>0</v>
      </c>
      <c r="AF28" s="357">
        <v>0</v>
      </c>
      <c r="AG28" s="357">
        <v>0</v>
      </c>
      <c r="AH28" s="357">
        <v>0</v>
      </c>
      <c r="AI28" s="357">
        <v>0</v>
      </c>
      <c r="AJ28" s="357">
        <v>0</v>
      </c>
      <c r="AK28" s="357">
        <v>0</v>
      </c>
      <c r="AL28" s="357">
        <v>0</v>
      </c>
      <c r="AM28" s="357">
        <v>0</v>
      </c>
      <c r="AN28" s="357">
        <v>0</v>
      </c>
    </row>
    <row r="29" spans="3:40" x14ac:dyDescent="0.3">
      <c r="C29" s="357">
        <v>9</v>
      </c>
      <c r="D29" s="357">
        <v>3</v>
      </c>
      <c r="E29" s="357">
        <v>11</v>
      </c>
      <c r="F29" s="357">
        <v>4469.833333333333</v>
      </c>
      <c r="G29" s="357">
        <v>0</v>
      </c>
      <c r="H29" s="357">
        <v>2803.1666666666665</v>
      </c>
      <c r="I29" s="357">
        <v>0</v>
      </c>
      <c r="J29" s="357">
        <v>0</v>
      </c>
      <c r="K29" s="357">
        <v>1666.6666666666667</v>
      </c>
      <c r="L29" s="357">
        <v>0</v>
      </c>
      <c r="M29" s="357">
        <v>0</v>
      </c>
      <c r="N29" s="357">
        <v>0</v>
      </c>
      <c r="O29" s="357">
        <v>0</v>
      </c>
      <c r="P29" s="357">
        <v>0</v>
      </c>
      <c r="Q29" s="357">
        <v>0</v>
      </c>
      <c r="R29" s="357">
        <v>0</v>
      </c>
      <c r="S29" s="357">
        <v>0</v>
      </c>
      <c r="T29" s="357">
        <v>0</v>
      </c>
      <c r="U29" s="357">
        <v>0</v>
      </c>
      <c r="V29" s="357">
        <v>0</v>
      </c>
      <c r="W29" s="357">
        <v>0</v>
      </c>
      <c r="X29" s="357">
        <v>0</v>
      </c>
      <c r="Y29" s="357">
        <v>0</v>
      </c>
      <c r="Z29" s="357">
        <v>0</v>
      </c>
      <c r="AA29" s="357">
        <v>0</v>
      </c>
      <c r="AB29" s="357">
        <v>0</v>
      </c>
      <c r="AC29" s="357">
        <v>0</v>
      </c>
      <c r="AD29" s="357">
        <v>0</v>
      </c>
      <c r="AE29" s="357">
        <v>0</v>
      </c>
      <c r="AF29" s="357">
        <v>0</v>
      </c>
      <c r="AG29" s="357">
        <v>0</v>
      </c>
      <c r="AH29" s="357">
        <v>0</v>
      </c>
      <c r="AI29" s="357">
        <v>0</v>
      </c>
      <c r="AJ29" s="357">
        <v>0</v>
      </c>
      <c r="AK29" s="357">
        <v>0</v>
      </c>
      <c r="AL29" s="357">
        <v>0</v>
      </c>
      <c r="AM29" s="357">
        <v>0</v>
      </c>
      <c r="AN29" s="357">
        <v>0</v>
      </c>
    </row>
    <row r="30" spans="3:40" x14ac:dyDescent="0.3">
      <c r="C30" s="357">
        <v>9</v>
      </c>
      <c r="D30" s="357">
        <v>4</v>
      </c>
      <c r="E30" s="357">
        <v>1</v>
      </c>
      <c r="F30" s="357">
        <v>64.25</v>
      </c>
      <c r="G30" s="357">
        <v>0</v>
      </c>
      <c r="H30" s="357">
        <v>8.5</v>
      </c>
      <c r="I30" s="357">
        <v>0</v>
      </c>
      <c r="J30" s="357">
        <v>0</v>
      </c>
      <c r="K30" s="357">
        <v>49.25</v>
      </c>
      <c r="L30" s="357">
        <v>1.5</v>
      </c>
      <c r="M30" s="357">
        <v>0</v>
      </c>
      <c r="N30" s="357">
        <v>0</v>
      </c>
      <c r="O30" s="357">
        <v>0</v>
      </c>
      <c r="P30" s="357">
        <v>0</v>
      </c>
      <c r="Q30" s="357">
        <v>0</v>
      </c>
      <c r="R30" s="357">
        <v>0</v>
      </c>
      <c r="S30" s="357">
        <v>0</v>
      </c>
      <c r="T30" s="357">
        <v>0</v>
      </c>
      <c r="U30" s="357">
        <v>0</v>
      </c>
      <c r="V30" s="357">
        <v>0</v>
      </c>
      <c r="W30" s="357">
        <v>0</v>
      </c>
      <c r="X30" s="357">
        <v>0</v>
      </c>
      <c r="Y30" s="357">
        <v>0</v>
      </c>
      <c r="Z30" s="357">
        <v>0</v>
      </c>
      <c r="AA30" s="357">
        <v>0</v>
      </c>
      <c r="AB30" s="357">
        <v>0</v>
      </c>
      <c r="AC30" s="357">
        <v>0</v>
      </c>
      <c r="AD30" s="357">
        <v>0</v>
      </c>
      <c r="AE30" s="357">
        <v>0</v>
      </c>
      <c r="AF30" s="357">
        <v>0</v>
      </c>
      <c r="AG30" s="357">
        <v>0</v>
      </c>
      <c r="AH30" s="357">
        <v>4</v>
      </c>
      <c r="AI30" s="357">
        <v>0</v>
      </c>
      <c r="AJ30" s="357">
        <v>0</v>
      </c>
      <c r="AK30" s="357">
        <v>0</v>
      </c>
      <c r="AL30" s="357">
        <v>0</v>
      </c>
      <c r="AM30" s="357">
        <v>1</v>
      </c>
      <c r="AN30" s="357">
        <v>0</v>
      </c>
    </row>
    <row r="31" spans="3:40" x14ac:dyDescent="0.3">
      <c r="C31" s="357">
        <v>9</v>
      </c>
      <c r="D31" s="357">
        <v>4</v>
      </c>
      <c r="E31" s="357">
        <v>2</v>
      </c>
      <c r="F31" s="357">
        <v>10008.75</v>
      </c>
      <c r="G31" s="357">
        <v>0</v>
      </c>
      <c r="H31" s="357">
        <v>1360</v>
      </c>
      <c r="I31" s="357">
        <v>0</v>
      </c>
      <c r="J31" s="357">
        <v>0</v>
      </c>
      <c r="K31" s="357">
        <v>7545.25</v>
      </c>
      <c r="L31" s="357">
        <v>247.5</v>
      </c>
      <c r="M31" s="357">
        <v>0</v>
      </c>
      <c r="N31" s="357">
        <v>0</v>
      </c>
      <c r="O31" s="357">
        <v>0</v>
      </c>
      <c r="P31" s="357">
        <v>0</v>
      </c>
      <c r="Q31" s="357">
        <v>0</v>
      </c>
      <c r="R31" s="357">
        <v>0</v>
      </c>
      <c r="S31" s="357">
        <v>0</v>
      </c>
      <c r="T31" s="357">
        <v>0</v>
      </c>
      <c r="U31" s="357">
        <v>0</v>
      </c>
      <c r="V31" s="357">
        <v>0</v>
      </c>
      <c r="W31" s="357">
        <v>0</v>
      </c>
      <c r="X31" s="357">
        <v>0</v>
      </c>
      <c r="Y31" s="357">
        <v>0</v>
      </c>
      <c r="Z31" s="357">
        <v>0</v>
      </c>
      <c r="AA31" s="357">
        <v>0</v>
      </c>
      <c r="AB31" s="357">
        <v>0</v>
      </c>
      <c r="AC31" s="357">
        <v>0</v>
      </c>
      <c r="AD31" s="357">
        <v>0</v>
      </c>
      <c r="AE31" s="357">
        <v>0</v>
      </c>
      <c r="AF31" s="357">
        <v>0</v>
      </c>
      <c r="AG31" s="357">
        <v>0</v>
      </c>
      <c r="AH31" s="357">
        <v>688</v>
      </c>
      <c r="AI31" s="357">
        <v>0</v>
      </c>
      <c r="AJ31" s="357">
        <v>0</v>
      </c>
      <c r="AK31" s="357">
        <v>0</v>
      </c>
      <c r="AL31" s="357">
        <v>0</v>
      </c>
      <c r="AM31" s="357">
        <v>168</v>
      </c>
      <c r="AN31" s="357">
        <v>0</v>
      </c>
    </row>
    <row r="32" spans="3:40" x14ac:dyDescent="0.3">
      <c r="C32" s="357">
        <v>9</v>
      </c>
      <c r="D32" s="357">
        <v>4</v>
      </c>
      <c r="E32" s="357">
        <v>3</v>
      </c>
      <c r="F32" s="357">
        <v>152</v>
      </c>
      <c r="G32" s="357">
        <v>0</v>
      </c>
      <c r="H32" s="357">
        <v>12</v>
      </c>
      <c r="I32" s="357">
        <v>0</v>
      </c>
      <c r="J32" s="357">
        <v>0</v>
      </c>
      <c r="K32" s="357">
        <v>122</v>
      </c>
      <c r="L32" s="357">
        <v>18</v>
      </c>
      <c r="M32" s="357">
        <v>0</v>
      </c>
      <c r="N32" s="357">
        <v>0</v>
      </c>
      <c r="O32" s="357">
        <v>0</v>
      </c>
      <c r="P32" s="357">
        <v>0</v>
      </c>
      <c r="Q32" s="357">
        <v>0</v>
      </c>
      <c r="R32" s="357">
        <v>0</v>
      </c>
      <c r="S32" s="357">
        <v>0</v>
      </c>
      <c r="T32" s="357">
        <v>0</v>
      </c>
      <c r="U32" s="357">
        <v>0</v>
      </c>
      <c r="V32" s="357">
        <v>0</v>
      </c>
      <c r="W32" s="357">
        <v>0</v>
      </c>
      <c r="X32" s="357">
        <v>0</v>
      </c>
      <c r="Y32" s="357">
        <v>0</v>
      </c>
      <c r="Z32" s="357">
        <v>0</v>
      </c>
      <c r="AA32" s="357">
        <v>0</v>
      </c>
      <c r="AB32" s="357">
        <v>0</v>
      </c>
      <c r="AC32" s="357">
        <v>0</v>
      </c>
      <c r="AD32" s="357">
        <v>0</v>
      </c>
      <c r="AE32" s="357">
        <v>0</v>
      </c>
      <c r="AF32" s="357">
        <v>0</v>
      </c>
      <c r="AG32" s="357">
        <v>0</v>
      </c>
      <c r="AH32" s="357">
        <v>0</v>
      </c>
      <c r="AI32" s="357">
        <v>0</v>
      </c>
      <c r="AJ32" s="357">
        <v>0</v>
      </c>
      <c r="AK32" s="357">
        <v>0</v>
      </c>
      <c r="AL32" s="357">
        <v>0</v>
      </c>
      <c r="AM32" s="357">
        <v>0</v>
      </c>
      <c r="AN32" s="357">
        <v>0</v>
      </c>
    </row>
    <row r="33" spans="3:40" x14ac:dyDescent="0.3">
      <c r="C33" s="357">
        <v>9</v>
      </c>
      <c r="D33" s="357">
        <v>4</v>
      </c>
      <c r="E33" s="357">
        <v>4</v>
      </c>
      <c r="F33" s="357">
        <v>230</v>
      </c>
      <c r="G33" s="357">
        <v>0</v>
      </c>
      <c r="H33" s="357">
        <v>218</v>
      </c>
      <c r="I33" s="357">
        <v>0</v>
      </c>
      <c r="J33" s="357">
        <v>0</v>
      </c>
      <c r="K33" s="357">
        <v>0</v>
      </c>
      <c r="L33" s="357">
        <v>0</v>
      </c>
      <c r="M33" s="357">
        <v>0</v>
      </c>
      <c r="N33" s="357">
        <v>0</v>
      </c>
      <c r="O33" s="357">
        <v>0</v>
      </c>
      <c r="P33" s="357">
        <v>0</v>
      </c>
      <c r="Q33" s="357">
        <v>0</v>
      </c>
      <c r="R33" s="357">
        <v>0</v>
      </c>
      <c r="S33" s="357">
        <v>0</v>
      </c>
      <c r="T33" s="357">
        <v>0</v>
      </c>
      <c r="U33" s="357">
        <v>0</v>
      </c>
      <c r="V33" s="357">
        <v>0</v>
      </c>
      <c r="W33" s="357">
        <v>0</v>
      </c>
      <c r="X33" s="357">
        <v>0</v>
      </c>
      <c r="Y33" s="357">
        <v>0</v>
      </c>
      <c r="Z33" s="357">
        <v>0</v>
      </c>
      <c r="AA33" s="357">
        <v>0</v>
      </c>
      <c r="AB33" s="357">
        <v>0</v>
      </c>
      <c r="AC33" s="357">
        <v>0</v>
      </c>
      <c r="AD33" s="357">
        <v>0</v>
      </c>
      <c r="AE33" s="357">
        <v>0</v>
      </c>
      <c r="AF33" s="357">
        <v>0</v>
      </c>
      <c r="AG33" s="357">
        <v>0</v>
      </c>
      <c r="AH33" s="357">
        <v>12</v>
      </c>
      <c r="AI33" s="357">
        <v>0</v>
      </c>
      <c r="AJ33" s="357">
        <v>0</v>
      </c>
      <c r="AK33" s="357">
        <v>0</v>
      </c>
      <c r="AL33" s="357">
        <v>0</v>
      </c>
      <c r="AM33" s="357">
        <v>0</v>
      </c>
      <c r="AN33" s="357">
        <v>0</v>
      </c>
    </row>
    <row r="34" spans="3:40" x14ac:dyDescent="0.3">
      <c r="C34" s="357">
        <v>9</v>
      </c>
      <c r="D34" s="357">
        <v>4</v>
      </c>
      <c r="E34" s="357">
        <v>5</v>
      </c>
      <c r="F34" s="357">
        <v>39</v>
      </c>
      <c r="G34" s="357">
        <v>39</v>
      </c>
      <c r="H34" s="357">
        <v>0</v>
      </c>
      <c r="I34" s="357">
        <v>0</v>
      </c>
      <c r="J34" s="357">
        <v>0</v>
      </c>
      <c r="K34" s="357">
        <v>0</v>
      </c>
      <c r="L34" s="357">
        <v>0</v>
      </c>
      <c r="M34" s="357">
        <v>0</v>
      </c>
      <c r="N34" s="357">
        <v>0</v>
      </c>
      <c r="O34" s="357">
        <v>0</v>
      </c>
      <c r="P34" s="357">
        <v>0</v>
      </c>
      <c r="Q34" s="357">
        <v>0</v>
      </c>
      <c r="R34" s="357">
        <v>0</v>
      </c>
      <c r="S34" s="357">
        <v>0</v>
      </c>
      <c r="T34" s="357">
        <v>0</v>
      </c>
      <c r="U34" s="357">
        <v>0</v>
      </c>
      <c r="V34" s="357">
        <v>0</v>
      </c>
      <c r="W34" s="357">
        <v>0</v>
      </c>
      <c r="X34" s="357">
        <v>0</v>
      </c>
      <c r="Y34" s="357">
        <v>0</v>
      </c>
      <c r="Z34" s="357">
        <v>0</v>
      </c>
      <c r="AA34" s="357">
        <v>0</v>
      </c>
      <c r="AB34" s="357">
        <v>0</v>
      </c>
      <c r="AC34" s="357">
        <v>0</v>
      </c>
      <c r="AD34" s="357">
        <v>0</v>
      </c>
      <c r="AE34" s="357">
        <v>0</v>
      </c>
      <c r="AF34" s="357">
        <v>0</v>
      </c>
      <c r="AG34" s="357">
        <v>0</v>
      </c>
      <c r="AH34" s="357">
        <v>0</v>
      </c>
      <c r="AI34" s="357">
        <v>0</v>
      </c>
      <c r="AJ34" s="357">
        <v>0</v>
      </c>
      <c r="AK34" s="357">
        <v>0</v>
      </c>
      <c r="AL34" s="357">
        <v>0</v>
      </c>
      <c r="AM34" s="357">
        <v>0</v>
      </c>
      <c r="AN34" s="357">
        <v>0</v>
      </c>
    </row>
    <row r="35" spans="3:40" x14ac:dyDescent="0.3">
      <c r="C35" s="357">
        <v>9</v>
      </c>
      <c r="D35" s="357">
        <v>4</v>
      </c>
      <c r="E35" s="357">
        <v>6</v>
      </c>
      <c r="F35" s="357">
        <v>2237013</v>
      </c>
      <c r="G35" s="357">
        <v>13620</v>
      </c>
      <c r="H35" s="357">
        <v>644227</v>
      </c>
      <c r="I35" s="357">
        <v>0</v>
      </c>
      <c r="J35" s="357">
        <v>0</v>
      </c>
      <c r="K35" s="357">
        <v>1461232</v>
      </c>
      <c r="L35" s="357">
        <v>37023</v>
      </c>
      <c r="M35" s="357">
        <v>0</v>
      </c>
      <c r="N35" s="357">
        <v>0</v>
      </c>
      <c r="O35" s="357">
        <v>0</v>
      </c>
      <c r="P35" s="357">
        <v>0</v>
      </c>
      <c r="Q35" s="357">
        <v>0</v>
      </c>
      <c r="R35" s="357">
        <v>0</v>
      </c>
      <c r="S35" s="357">
        <v>0</v>
      </c>
      <c r="T35" s="357">
        <v>0</v>
      </c>
      <c r="U35" s="357">
        <v>0</v>
      </c>
      <c r="V35" s="357">
        <v>0</v>
      </c>
      <c r="W35" s="357">
        <v>0</v>
      </c>
      <c r="X35" s="357">
        <v>0</v>
      </c>
      <c r="Y35" s="357">
        <v>0</v>
      </c>
      <c r="Z35" s="357">
        <v>0</v>
      </c>
      <c r="AA35" s="357">
        <v>0</v>
      </c>
      <c r="AB35" s="357">
        <v>0</v>
      </c>
      <c r="AC35" s="357">
        <v>0</v>
      </c>
      <c r="AD35" s="357">
        <v>0</v>
      </c>
      <c r="AE35" s="357">
        <v>0</v>
      </c>
      <c r="AF35" s="357">
        <v>0</v>
      </c>
      <c r="AG35" s="357">
        <v>0</v>
      </c>
      <c r="AH35" s="357">
        <v>59268</v>
      </c>
      <c r="AI35" s="357">
        <v>0</v>
      </c>
      <c r="AJ35" s="357">
        <v>0</v>
      </c>
      <c r="AK35" s="357">
        <v>0</v>
      </c>
      <c r="AL35" s="357">
        <v>0</v>
      </c>
      <c r="AM35" s="357">
        <v>21643</v>
      </c>
      <c r="AN35" s="357">
        <v>0</v>
      </c>
    </row>
    <row r="36" spans="3:40" x14ac:dyDescent="0.3">
      <c r="C36" s="357">
        <v>9</v>
      </c>
      <c r="D36" s="357">
        <v>4</v>
      </c>
      <c r="E36" s="357">
        <v>9</v>
      </c>
      <c r="F36" s="357">
        <v>8996</v>
      </c>
      <c r="G36" s="357">
        <v>0</v>
      </c>
      <c r="H36" s="357">
        <v>0</v>
      </c>
      <c r="I36" s="357">
        <v>0</v>
      </c>
      <c r="J36" s="357">
        <v>0</v>
      </c>
      <c r="K36" s="357">
        <v>8996</v>
      </c>
      <c r="L36" s="357">
        <v>0</v>
      </c>
      <c r="M36" s="357">
        <v>0</v>
      </c>
      <c r="N36" s="357">
        <v>0</v>
      </c>
      <c r="O36" s="357">
        <v>0</v>
      </c>
      <c r="P36" s="357">
        <v>0</v>
      </c>
      <c r="Q36" s="357">
        <v>0</v>
      </c>
      <c r="R36" s="357">
        <v>0</v>
      </c>
      <c r="S36" s="357">
        <v>0</v>
      </c>
      <c r="T36" s="357">
        <v>0</v>
      </c>
      <c r="U36" s="357">
        <v>0</v>
      </c>
      <c r="V36" s="357">
        <v>0</v>
      </c>
      <c r="W36" s="357">
        <v>0</v>
      </c>
      <c r="X36" s="357">
        <v>0</v>
      </c>
      <c r="Y36" s="357">
        <v>0</v>
      </c>
      <c r="Z36" s="357">
        <v>0</v>
      </c>
      <c r="AA36" s="357">
        <v>0</v>
      </c>
      <c r="AB36" s="357">
        <v>0</v>
      </c>
      <c r="AC36" s="357">
        <v>0</v>
      </c>
      <c r="AD36" s="357">
        <v>0</v>
      </c>
      <c r="AE36" s="357">
        <v>0</v>
      </c>
      <c r="AF36" s="357">
        <v>0</v>
      </c>
      <c r="AG36" s="357">
        <v>0</v>
      </c>
      <c r="AH36" s="357">
        <v>0</v>
      </c>
      <c r="AI36" s="357">
        <v>0</v>
      </c>
      <c r="AJ36" s="357">
        <v>0</v>
      </c>
      <c r="AK36" s="357">
        <v>0</v>
      </c>
      <c r="AL36" s="357">
        <v>0</v>
      </c>
      <c r="AM36" s="357">
        <v>0</v>
      </c>
      <c r="AN36" s="357">
        <v>0</v>
      </c>
    </row>
    <row r="37" spans="3:40" x14ac:dyDescent="0.3">
      <c r="C37" s="357">
        <v>9</v>
      </c>
      <c r="D37" s="357">
        <v>4</v>
      </c>
      <c r="E37" s="357">
        <v>10</v>
      </c>
      <c r="F37" s="357">
        <v>13600</v>
      </c>
      <c r="G37" s="357">
        <v>0</v>
      </c>
      <c r="H37" s="357">
        <v>13600</v>
      </c>
      <c r="I37" s="357">
        <v>0</v>
      </c>
      <c r="J37" s="357">
        <v>0</v>
      </c>
      <c r="K37" s="357">
        <v>0</v>
      </c>
      <c r="L37" s="357">
        <v>0</v>
      </c>
      <c r="M37" s="357">
        <v>0</v>
      </c>
      <c r="N37" s="357">
        <v>0</v>
      </c>
      <c r="O37" s="357">
        <v>0</v>
      </c>
      <c r="P37" s="357">
        <v>0</v>
      </c>
      <c r="Q37" s="357">
        <v>0</v>
      </c>
      <c r="R37" s="357">
        <v>0</v>
      </c>
      <c r="S37" s="357">
        <v>0</v>
      </c>
      <c r="T37" s="357">
        <v>0</v>
      </c>
      <c r="U37" s="357">
        <v>0</v>
      </c>
      <c r="V37" s="357">
        <v>0</v>
      </c>
      <c r="W37" s="357">
        <v>0</v>
      </c>
      <c r="X37" s="357">
        <v>0</v>
      </c>
      <c r="Y37" s="357">
        <v>0</v>
      </c>
      <c r="Z37" s="357">
        <v>0</v>
      </c>
      <c r="AA37" s="357">
        <v>0</v>
      </c>
      <c r="AB37" s="357">
        <v>0</v>
      </c>
      <c r="AC37" s="357">
        <v>0</v>
      </c>
      <c r="AD37" s="357">
        <v>0</v>
      </c>
      <c r="AE37" s="357">
        <v>0</v>
      </c>
      <c r="AF37" s="357">
        <v>0</v>
      </c>
      <c r="AG37" s="357">
        <v>0</v>
      </c>
      <c r="AH37" s="357">
        <v>0</v>
      </c>
      <c r="AI37" s="357">
        <v>0</v>
      </c>
      <c r="AJ37" s="357">
        <v>0</v>
      </c>
      <c r="AK37" s="357">
        <v>0</v>
      </c>
      <c r="AL37" s="357">
        <v>0</v>
      </c>
      <c r="AM37" s="357">
        <v>0</v>
      </c>
      <c r="AN37" s="357">
        <v>0</v>
      </c>
    </row>
    <row r="38" spans="3:40" x14ac:dyDescent="0.3">
      <c r="C38" s="357">
        <v>9</v>
      </c>
      <c r="D38" s="357">
        <v>4</v>
      </c>
      <c r="E38" s="357">
        <v>11</v>
      </c>
      <c r="F38" s="357">
        <v>4469.833333333333</v>
      </c>
      <c r="G38" s="357">
        <v>0</v>
      </c>
      <c r="H38" s="357">
        <v>2803.1666666666665</v>
      </c>
      <c r="I38" s="357">
        <v>0</v>
      </c>
      <c r="J38" s="357">
        <v>0</v>
      </c>
      <c r="K38" s="357">
        <v>1666.6666666666667</v>
      </c>
      <c r="L38" s="357">
        <v>0</v>
      </c>
      <c r="M38" s="357">
        <v>0</v>
      </c>
      <c r="N38" s="357">
        <v>0</v>
      </c>
      <c r="O38" s="357">
        <v>0</v>
      </c>
      <c r="P38" s="357">
        <v>0</v>
      </c>
      <c r="Q38" s="357">
        <v>0</v>
      </c>
      <c r="R38" s="357">
        <v>0</v>
      </c>
      <c r="S38" s="357">
        <v>0</v>
      </c>
      <c r="T38" s="357">
        <v>0</v>
      </c>
      <c r="U38" s="357">
        <v>0</v>
      </c>
      <c r="V38" s="357">
        <v>0</v>
      </c>
      <c r="W38" s="357">
        <v>0</v>
      </c>
      <c r="X38" s="357">
        <v>0</v>
      </c>
      <c r="Y38" s="357">
        <v>0</v>
      </c>
      <c r="Z38" s="357">
        <v>0</v>
      </c>
      <c r="AA38" s="357">
        <v>0</v>
      </c>
      <c r="AB38" s="357">
        <v>0</v>
      </c>
      <c r="AC38" s="357">
        <v>0</v>
      </c>
      <c r="AD38" s="357">
        <v>0</v>
      </c>
      <c r="AE38" s="357">
        <v>0</v>
      </c>
      <c r="AF38" s="357">
        <v>0</v>
      </c>
      <c r="AG38" s="357">
        <v>0</v>
      </c>
      <c r="AH38" s="357">
        <v>0</v>
      </c>
      <c r="AI38" s="357">
        <v>0</v>
      </c>
      <c r="AJ38" s="357">
        <v>0</v>
      </c>
      <c r="AK38" s="357">
        <v>0</v>
      </c>
      <c r="AL38" s="357">
        <v>0</v>
      </c>
      <c r="AM38" s="357">
        <v>0</v>
      </c>
      <c r="AN38" s="357">
        <v>0</v>
      </c>
    </row>
    <row r="39" spans="3:40" x14ac:dyDescent="0.3">
      <c r="C39" s="357">
        <v>9</v>
      </c>
      <c r="D39" s="357">
        <v>5</v>
      </c>
      <c r="E39" s="357">
        <v>1</v>
      </c>
      <c r="F39" s="357">
        <v>64</v>
      </c>
      <c r="G39" s="357">
        <v>0</v>
      </c>
      <c r="H39" s="357">
        <v>8.5</v>
      </c>
      <c r="I39" s="357">
        <v>0</v>
      </c>
      <c r="J39" s="357">
        <v>0</v>
      </c>
      <c r="K39" s="357">
        <v>49</v>
      </c>
      <c r="L39" s="357">
        <v>1.5</v>
      </c>
      <c r="M39" s="357">
        <v>0</v>
      </c>
      <c r="N39" s="357">
        <v>0</v>
      </c>
      <c r="O39" s="357">
        <v>0</v>
      </c>
      <c r="P39" s="357">
        <v>0</v>
      </c>
      <c r="Q39" s="357">
        <v>0</v>
      </c>
      <c r="R39" s="357">
        <v>0</v>
      </c>
      <c r="S39" s="357">
        <v>0</v>
      </c>
      <c r="T39" s="357">
        <v>0</v>
      </c>
      <c r="U39" s="357">
        <v>0</v>
      </c>
      <c r="V39" s="357">
        <v>0</v>
      </c>
      <c r="W39" s="357">
        <v>0</v>
      </c>
      <c r="X39" s="357">
        <v>0</v>
      </c>
      <c r="Y39" s="357">
        <v>0</v>
      </c>
      <c r="Z39" s="357">
        <v>0</v>
      </c>
      <c r="AA39" s="357">
        <v>0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4</v>
      </c>
      <c r="AI39" s="357">
        <v>0</v>
      </c>
      <c r="AJ39" s="357">
        <v>0</v>
      </c>
      <c r="AK39" s="357">
        <v>0</v>
      </c>
      <c r="AL39" s="357">
        <v>0</v>
      </c>
      <c r="AM39" s="357">
        <v>1</v>
      </c>
      <c r="AN39" s="357">
        <v>0</v>
      </c>
    </row>
    <row r="40" spans="3:40" x14ac:dyDescent="0.3">
      <c r="C40" s="357">
        <v>9</v>
      </c>
      <c r="D40" s="357">
        <v>5</v>
      </c>
      <c r="E40" s="357">
        <v>2</v>
      </c>
      <c r="F40" s="357">
        <v>9780.5</v>
      </c>
      <c r="G40" s="357">
        <v>0</v>
      </c>
      <c r="H40" s="357">
        <v>1240</v>
      </c>
      <c r="I40" s="357">
        <v>0</v>
      </c>
      <c r="J40" s="357">
        <v>0</v>
      </c>
      <c r="K40" s="357">
        <v>7479.75</v>
      </c>
      <c r="L40" s="357">
        <v>228.75</v>
      </c>
      <c r="M40" s="357">
        <v>0</v>
      </c>
      <c r="N40" s="357">
        <v>0</v>
      </c>
      <c r="O40" s="357">
        <v>0</v>
      </c>
      <c r="P40" s="357">
        <v>0</v>
      </c>
      <c r="Q40" s="357">
        <v>0</v>
      </c>
      <c r="R40" s="357">
        <v>0</v>
      </c>
      <c r="S40" s="357">
        <v>0</v>
      </c>
      <c r="T40" s="357">
        <v>0</v>
      </c>
      <c r="U40" s="357">
        <v>0</v>
      </c>
      <c r="V40" s="357">
        <v>0</v>
      </c>
      <c r="W40" s="357">
        <v>0</v>
      </c>
      <c r="X40" s="357">
        <v>0</v>
      </c>
      <c r="Y40" s="357">
        <v>0</v>
      </c>
      <c r="Z40" s="357">
        <v>0</v>
      </c>
      <c r="AA40" s="357">
        <v>0</v>
      </c>
      <c r="AB40" s="357">
        <v>0</v>
      </c>
      <c r="AC40" s="357">
        <v>0</v>
      </c>
      <c r="AD40" s="357">
        <v>0</v>
      </c>
      <c r="AE40" s="357">
        <v>0</v>
      </c>
      <c r="AF40" s="357">
        <v>0</v>
      </c>
      <c r="AG40" s="357">
        <v>0</v>
      </c>
      <c r="AH40" s="357">
        <v>656</v>
      </c>
      <c r="AI40" s="357">
        <v>0</v>
      </c>
      <c r="AJ40" s="357">
        <v>0</v>
      </c>
      <c r="AK40" s="357">
        <v>0</v>
      </c>
      <c r="AL40" s="357">
        <v>0</v>
      </c>
      <c r="AM40" s="357">
        <v>176</v>
      </c>
      <c r="AN40" s="357">
        <v>0</v>
      </c>
    </row>
    <row r="41" spans="3:40" x14ac:dyDescent="0.3">
      <c r="C41" s="357">
        <v>9</v>
      </c>
      <c r="D41" s="357">
        <v>5</v>
      </c>
      <c r="E41" s="357">
        <v>3</v>
      </c>
      <c r="F41" s="357">
        <v>357</v>
      </c>
      <c r="G41" s="357">
        <v>0</v>
      </c>
      <c r="H41" s="357">
        <v>12</v>
      </c>
      <c r="I41" s="357">
        <v>0</v>
      </c>
      <c r="J41" s="357">
        <v>0</v>
      </c>
      <c r="K41" s="357">
        <v>325</v>
      </c>
      <c r="L41" s="357">
        <v>20</v>
      </c>
      <c r="M41" s="357">
        <v>0</v>
      </c>
      <c r="N41" s="357">
        <v>0</v>
      </c>
      <c r="O41" s="357">
        <v>0</v>
      </c>
      <c r="P41" s="357">
        <v>0</v>
      </c>
      <c r="Q41" s="357">
        <v>0</v>
      </c>
      <c r="R41" s="357">
        <v>0</v>
      </c>
      <c r="S41" s="357">
        <v>0</v>
      </c>
      <c r="T41" s="357">
        <v>0</v>
      </c>
      <c r="U41" s="357">
        <v>0</v>
      </c>
      <c r="V41" s="357">
        <v>0</v>
      </c>
      <c r="W41" s="357">
        <v>0</v>
      </c>
      <c r="X41" s="357">
        <v>0</v>
      </c>
      <c r="Y41" s="357">
        <v>0</v>
      </c>
      <c r="Z41" s="357">
        <v>0</v>
      </c>
      <c r="AA41" s="357">
        <v>0</v>
      </c>
      <c r="AB41" s="357">
        <v>0</v>
      </c>
      <c r="AC41" s="357">
        <v>0</v>
      </c>
      <c r="AD41" s="357">
        <v>0</v>
      </c>
      <c r="AE41" s="357">
        <v>0</v>
      </c>
      <c r="AF41" s="357">
        <v>0</v>
      </c>
      <c r="AG41" s="357">
        <v>0</v>
      </c>
      <c r="AH41" s="357">
        <v>0</v>
      </c>
      <c r="AI41" s="357">
        <v>0</v>
      </c>
      <c r="AJ41" s="357">
        <v>0</v>
      </c>
      <c r="AK41" s="357">
        <v>0</v>
      </c>
      <c r="AL41" s="357">
        <v>0</v>
      </c>
      <c r="AM41" s="357">
        <v>0</v>
      </c>
      <c r="AN41" s="357">
        <v>0</v>
      </c>
    </row>
    <row r="42" spans="3:40" x14ac:dyDescent="0.3">
      <c r="C42" s="357">
        <v>9</v>
      </c>
      <c r="D42" s="357">
        <v>5</v>
      </c>
      <c r="E42" s="357">
        <v>4</v>
      </c>
      <c r="F42" s="357">
        <v>272</v>
      </c>
      <c r="G42" s="357">
        <v>0</v>
      </c>
      <c r="H42" s="357">
        <v>272</v>
      </c>
      <c r="I42" s="357">
        <v>0</v>
      </c>
      <c r="J42" s="357">
        <v>0</v>
      </c>
      <c r="K42" s="357">
        <v>0</v>
      </c>
      <c r="L42" s="357">
        <v>0</v>
      </c>
      <c r="M42" s="357">
        <v>0</v>
      </c>
      <c r="N42" s="357">
        <v>0</v>
      </c>
      <c r="O42" s="357">
        <v>0</v>
      </c>
      <c r="P42" s="357">
        <v>0</v>
      </c>
      <c r="Q42" s="357">
        <v>0</v>
      </c>
      <c r="R42" s="357">
        <v>0</v>
      </c>
      <c r="S42" s="357">
        <v>0</v>
      </c>
      <c r="T42" s="357">
        <v>0</v>
      </c>
      <c r="U42" s="357">
        <v>0</v>
      </c>
      <c r="V42" s="357">
        <v>0</v>
      </c>
      <c r="W42" s="357">
        <v>0</v>
      </c>
      <c r="X42" s="357">
        <v>0</v>
      </c>
      <c r="Y42" s="357">
        <v>0</v>
      </c>
      <c r="Z42" s="357">
        <v>0</v>
      </c>
      <c r="AA42" s="357">
        <v>0</v>
      </c>
      <c r="AB42" s="357">
        <v>0</v>
      </c>
      <c r="AC42" s="357">
        <v>0</v>
      </c>
      <c r="AD42" s="357">
        <v>0</v>
      </c>
      <c r="AE42" s="357">
        <v>0</v>
      </c>
      <c r="AF42" s="357">
        <v>0</v>
      </c>
      <c r="AG42" s="357">
        <v>0</v>
      </c>
      <c r="AH42" s="357">
        <v>0</v>
      </c>
      <c r="AI42" s="357">
        <v>0</v>
      </c>
      <c r="AJ42" s="357">
        <v>0</v>
      </c>
      <c r="AK42" s="357">
        <v>0</v>
      </c>
      <c r="AL42" s="357">
        <v>0</v>
      </c>
      <c r="AM42" s="357">
        <v>0</v>
      </c>
      <c r="AN42" s="357">
        <v>0</v>
      </c>
    </row>
    <row r="43" spans="3:40" x14ac:dyDescent="0.3">
      <c r="C43" s="357">
        <v>9</v>
      </c>
      <c r="D43" s="357">
        <v>5</v>
      </c>
      <c r="E43" s="357">
        <v>5</v>
      </c>
      <c r="F43" s="357">
        <v>60</v>
      </c>
      <c r="G43" s="357">
        <v>60</v>
      </c>
      <c r="H43" s="357">
        <v>0</v>
      </c>
      <c r="I43" s="357">
        <v>0</v>
      </c>
      <c r="J43" s="357">
        <v>0</v>
      </c>
      <c r="K43" s="357">
        <v>0</v>
      </c>
      <c r="L43" s="357">
        <v>0</v>
      </c>
      <c r="M43" s="357">
        <v>0</v>
      </c>
      <c r="N43" s="357">
        <v>0</v>
      </c>
      <c r="O43" s="357">
        <v>0</v>
      </c>
      <c r="P43" s="357">
        <v>0</v>
      </c>
      <c r="Q43" s="357">
        <v>0</v>
      </c>
      <c r="R43" s="357">
        <v>0</v>
      </c>
      <c r="S43" s="357">
        <v>0</v>
      </c>
      <c r="T43" s="357">
        <v>0</v>
      </c>
      <c r="U43" s="357">
        <v>0</v>
      </c>
      <c r="V43" s="357">
        <v>0</v>
      </c>
      <c r="W43" s="357">
        <v>0</v>
      </c>
      <c r="X43" s="357">
        <v>0</v>
      </c>
      <c r="Y43" s="357">
        <v>0</v>
      </c>
      <c r="Z43" s="357">
        <v>0</v>
      </c>
      <c r="AA43" s="357">
        <v>0</v>
      </c>
      <c r="AB43" s="357">
        <v>0</v>
      </c>
      <c r="AC43" s="357">
        <v>0</v>
      </c>
      <c r="AD43" s="357">
        <v>0</v>
      </c>
      <c r="AE43" s="357">
        <v>0</v>
      </c>
      <c r="AF43" s="357">
        <v>0</v>
      </c>
      <c r="AG43" s="357">
        <v>0</v>
      </c>
      <c r="AH43" s="357">
        <v>0</v>
      </c>
      <c r="AI43" s="357">
        <v>0</v>
      </c>
      <c r="AJ43" s="357">
        <v>0</v>
      </c>
      <c r="AK43" s="357">
        <v>0</v>
      </c>
      <c r="AL43" s="357">
        <v>0</v>
      </c>
      <c r="AM43" s="357">
        <v>0</v>
      </c>
      <c r="AN43" s="357">
        <v>0</v>
      </c>
    </row>
    <row r="44" spans="3:40" x14ac:dyDescent="0.3">
      <c r="C44" s="357">
        <v>9</v>
      </c>
      <c r="D44" s="357">
        <v>5</v>
      </c>
      <c r="E44" s="357">
        <v>6</v>
      </c>
      <c r="F44" s="357">
        <v>2386496</v>
      </c>
      <c r="G44" s="357">
        <v>15120</v>
      </c>
      <c r="H44" s="357">
        <v>678325</v>
      </c>
      <c r="I44" s="357">
        <v>0</v>
      </c>
      <c r="J44" s="357">
        <v>0</v>
      </c>
      <c r="K44" s="357">
        <v>1573245</v>
      </c>
      <c r="L44" s="357">
        <v>39340</v>
      </c>
      <c r="M44" s="357">
        <v>0</v>
      </c>
      <c r="N44" s="357">
        <v>0</v>
      </c>
      <c r="O44" s="357">
        <v>0</v>
      </c>
      <c r="P44" s="357">
        <v>0</v>
      </c>
      <c r="Q44" s="357">
        <v>0</v>
      </c>
      <c r="R44" s="357">
        <v>0</v>
      </c>
      <c r="S44" s="357">
        <v>0</v>
      </c>
      <c r="T44" s="357">
        <v>0</v>
      </c>
      <c r="U44" s="357">
        <v>0</v>
      </c>
      <c r="V44" s="357">
        <v>0</v>
      </c>
      <c r="W44" s="357">
        <v>0</v>
      </c>
      <c r="X44" s="357">
        <v>0</v>
      </c>
      <c r="Y44" s="357">
        <v>0</v>
      </c>
      <c r="Z44" s="357">
        <v>0</v>
      </c>
      <c r="AA44" s="357">
        <v>0</v>
      </c>
      <c r="AB44" s="357">
        <v>0</v>
      </c>
      <c r="AC44" s="357">
        <v>0</v>
      </c>
      <c r="AD44" s="357">
        <v>0</v>
      </c>
      <c r="AE44" s="357">
        <v>0</v>
      </c>
      <c r="AF44" s="357">
        <v>0</v>
      </c>
      <c r="AG44" s="357">
        <v>0</v>
      </c>
      <c r="AH44" s="357">
        <v>58906</v>
      </c>
      <c r="AI44" s="357">
        <v>0</v>
      </c>
      <c r="AJ44" s="357">
        <v>0</v>
      </c>
      <c r="AK44" s="357">
        <v>0</v>
      </c>
      <c r="AL44" s="357">
        <v>0</v>
      </c>
      <c r="AM44" s="357">
        <v>21560</v>
      </c>
      <c r="AN44" s="357">
        <v>0</v>
      </c>
    </row>
    <row r="45" spans="3:40" x14ac:dyDescent="0.3">
      <c r="C45" s="357">
        <v>9</v>
      </c>
      <c r="D45" s="357">
        <v>5</v>
      </c>
      <c r="E45" s="357">
        <v>10</v>
      </c>
      <c r="F45" s="357">
        <v>6510</v>
      </c>
      <c r="G45" s="357">
        <v>0</v>
      </c>
      <c r="H45" s="357">
        <v>800</v>
      </c>
      <c r="I45" s="357">
        <v>0</v>
      </c>
      <c r="J45" s="357">
        <v>0</v>
      </c>
      <c r="K45" s="357">
        <v>5710</v>
      </c>
      <c r="L45" s="357">
        <v>0</v>
      </c>
      <c r="M45" s="357">
        <v>0</v>
      </c>
      <c r="N45" s="357">
        <v>0</v>
      </c>
      <c r="O45" s="357">
        <v>0</v>
      </c>
      <c r="P45" s="357">
        <v>0</v>
      </c>
      <c r="Q45" s="357">
        <v>0</v>
      </c>
      <c r="R45" s="357">
        <v>0</v>
      </c>
      <c r="S45" s="357">
        <v>0</v>
      </c>
      <c r="T45" s="357">
        <v>0</v>
      </c>
      <c r="U45" s="357">
        <v>0</v>
      </c>
      <c r="V45" s="357">
        <v>0</v>
      </c>
      <c r="W45" s="357">
        <v>0</v>
      </c>
      <c r="X45" s="357">
        <v>0</v>
      </c>
      <c r="Y45" s="357">
        <v>0</v>
      </c>
      <c r="Z45" s="357">
        <v>0</v>
      </c>
      <c r="AA45" s="357">
        <v>0</v>
      </c>
      <c r="AB45" s="357">
        <v>0</v>
      </c>
      <c r="AC45" s="357">
        <v>0</v>
      </c>
      <c r="AD45" s="357">
        <v>0</v>
      </c>
      <c r="AE45" s="357">
        <v>0</v>
      </c>
      <c r="AF45" s="357">
        <v>0</v>
      </c>
      <c r="AG45" s="357">
        <v>0</v>
      </c>
      <c r="AH45" s="357">
        <v>0</v>
      </c>
      <c r="AI45" s="357">
        <v>0</v>
      </c>
      <c r="AJ45" s="357">
        <v>0</v>
      </c>
      <c r="AK45" s="357">
        <v>0</v>
      </c>
      <c r="AL45" s="357">
        <v>0</v>
      </c>
      <c r="AM45" s="357">
        <v>0</v>
      </c>
      <c r="AN45" s="357">
        <v>0</v>
      </c>
    </row>
    <row r="46" spans="3:40" x14ac:dyDescent="0.3">
      <c r="C46" s="357">
        <v>9</v>
      </c>
      <c r="D46" s="357">
        <v>5</v>
      </c>
      <c r="E46" s="357">
        <v>11</v>
      </c>
      <c r="F46" s="357">
        <v>4469.833333333333</v>
      </c>
      <c r="G46" s="357">
        <v>0</v>
      </c>
      <c r="H46" s="357">
        <v>2803.1666666666665</v>
      </c>
      <c r="I46" s="357">
        <v>0</v>
      </c>
      <c r="J46" s="357">
        <v>0</v>
      </c>
      <c r="K46" s="357">
        <v>1666.6666666666667</v>
      </c>
      <c r="L46" s="357">
        <v>0</v>
      </c>
      <c r="M46" s="357">
        <v>0</v>
      </c>
      <c r="N46" s="357">
        <v>0</v>
      </c>
      <c r="O46" s="357">
        <v>0</v>
      </c>
      <c r="P46" s="357">
        <v>0</v>
      </c>
      <c r="Q46" s="357">
        <v>0</v>
      </c>
      <c r="R46" s="357">
        <v>0</v>
      </c>
      <c r="S46" s="357">
        <v>0</v>
      </c>
      <c r="T46" s="357">
        <v>0</v>
      </c>
      <c r="U46" s="357">
        <v>0</v>
      </c>
      <c r="V46" s="357">
        <v>0</v>
      </c>
      <c r="W46" s="357">
        <v>0</v>
      </c>
      <c r="X46" s="357">
        <v>0</v>
      </c>
      <c r="Y46" s="357">
        <v>0</v>
      </c>
      <c r="Z46" s="357">
        <v>0</v>
      </c>
      <c r="AA46" s="357">
        <v>0</v>
      </c>
      <c r="AB46" s="357">
        <v>0</v>
      </c>
      <c r="AC46" s="357">
        <v>0</v>
      </c>
      <c r="AD46" s="357">
        <v>0</v>
      </c>
      <c r="AE46" s="357">
        <v>0</v>
      </c>
      <c r="AF46" s="357">
        <v>0</v>
      </c>
      <c r="AG46" s="357">
        <v>0</v>
      </c>
      <c r="AH46" s="357">
        <v>0</v>
      </c>
      <c r="AI46" s="357">
        <v>0</v>
      </c>
      <c r="AJ46" s="357">
        <v>0</v>
      </c>
      <c r="AK46" s="357">
        <v>0</v>
      </c>
      <c r="AL46" s="357">
        <v>0</v>
      </c>
      <c r="AM46" s="357">
        <v>0</v>
      </c>
      <c r="AN46" s="357">
        <v>0</v>
      </c>
    </row>
    <row r="47" spans="3:40" x14ac:dyDescent="0.3">
      <c r="C47" s="357">
        <v>9</v>
      </c>
      <c r="D47" s="357">
        <v>6</v>
      </c>
      <c r="E47" s="357">
        <v>1</v>
      </c>
      <c r="F47" s="357">
        <v>64.5</v>
      </c>
      <c r="G47" s="357">
        <v>0</v>
      </c>
      <c r="H47" s="357">
        <v>8.5</v>
      </c>
      <c r="I47" s="357">
        <v>0</v>
      </c>
      <c r="J47" s="357">
        <v>0</v>
      </c>
      <c r="K47" s="357">
        <v>49.5</v>
      </c>
      <c r="L47" s="357">
        <v>1.5</v>
      </c>
      <c r="M47" s="357">
        <v>0</v>
      </c>
      <c r="N47" s="357">
        <v>0</v>
      </c>
      <c r="O47" s="357">
        <v>0</v>
      </c>
      <c r="P47" s="357">
        <v>0</v>
      </c>
      <c r="Q47" s="357">
        <v>0</v>
      </c>
      <c r="R47" s="357">
        <v>0</v>
      </c>
      <c r="S47" s="357">
        <v>0</v>
      </c>
      <c r="T47" s="357">
        <v>0</v>
      </c>
      <c r="U47" s="357">
        <v>0</v>
      </c>
      <c r="V47" s="357">
        <v>0</v>
      </c>
      <c r="W47" s="357">
        <v>0</v>
      </c>
      <c r="X47" s="357">
        <v>0</v>
      </c>
      <c r="Y47" s="357">
        <v>0</v>
      </c>
      <c r="Z47" s="357">
        <v>0</v>
      </c>
      <c r="AA47" s="357">
        <v>0</v>
      </c>
      <c r="AB47" s="357">
        <v>0</v>
      </c>
      <c r="AC47" s="357">
        <v>0</v>
      </c>
      <c r="AD47" s="357">
        <v>0</v>
      </c>
      <c r="AE47" s="357">
        <v>0</v>
      </c>
      <c r="AF47" s="357">
        <v>0</v>
      </c>
      <c r="AG47" s="357">
        <v>0</v>
      </c>
      <c r="AH47" s="357">
        <v>4</v>
      </c>
      <c r="AI47" s="357">
        <v>0</v>
      </c>
      <c r="AJ47" s="357">
        <v>0</v>
      </c>
      <c r="AK47" s="357">
        <v>0</v>
      </c>
      <c r="AL47" s="357">
        <v>0</v>
      </c>
      <c r="AM47" s="357">
        <v>1</v>
      </c>
      <c r="AN47" s="357">
        <v>0</v>
      </c>
    </row>
    <row r="48" spans="3:40" x14ac:dyDescent="0.3">
      <c r="C48" s="357">
        <v>9</v>
      </c>
      <c r="D48" s="357">
        <v>6</v>
      </c>
      <c r="E48" s="357">
        <v>2</v>
      </c>
      <c r="F48" s="357">
        <v>8587.6299999999992</v>
      </c>
      <c r="G48" s="357">
        <v>0</v>
      </c>
      <c r="H48" s="357">
        <v>1308</v>
      </c>
      <c r="I48" s="357">
        <v>0</v>
      </c>
      <c r="J48" s="357">
        <v>0</v>
      </c>
      <c r="K48" s="357">
        <v>6333.13</v>
      </c>
      <c r="L48" s="357">
        <v>202.5</v>
      </c>
      <c r="M48" s="357">
        <v>0</v>
      </c>
      <c r="N48" s="357">
        <v>0</v>
      </c>
      <c r="O48" s="357">
        <v>0</v>
      </c>
      <c r="P48" s="357">
        <v>0</v>
      </c>
      <c r="Q48" s="357">
        <v>0</v>
      </c>
      <c r="R48" s="357">
        <v>0</v>
      </c>
      <c r="S48" s="357">
        <v>0</v>
      </c>
      <c r="T48" s="357">
        <v>0</v>
      </c>
      <c r="U48" s="357">
        <v>0</v>
      </c>
      <c r="V48" s="357">
        <v>0</v>
      </c>
      <c r="W48" s="357">
        <v>0</v>
      </c>
      <c r="X48" s="357">
        <v>0</v>
      </c>
      <c r="Y48" s="357">
        <v>0</v>
      </c>
      <c r="Z48" s="357">
        <v>0</v>
      </c>
      <c r="AA48" s="357">
        <v>0</v>
      </c>
      <c r="AB48" s="357">
        <v>0</v>
      </c>
      <c r="AC48" s="357">
        <v>0</v>
      </c>
      <c r="AD48" s="357">
        <v>0</v>
      </c>
      <c r="AE48" s="357">
        <v>0</v>
      </c>
      <c r="AF48" s="357">
        <v>0</v>
      </c>
      <c r="AG48" s="357">
        <v>0</v>
      </c>
      <c r="AH48" s="357">
        <v>624</v>
      </c>
      <c r="AI48" s="357">
        <v>0</v>
      </c>
      <c r="AJ48" s="357">
        <v>0</v>
      </c>
      <c r="AK48" s="357">
        <v>0</v>
      </c>
      <c r="AL48" s="357">
        <v>0</v>
      </c>
      <c r="AM48" s="357">
        <v>120</v>
      </c>
      <c r="AN48" s="357">
        <v>0</v>
      </c>
    </row>
    <row r="49" spans="3:40" x14ac:dyDescent="0.3">
      <c r="C49" s="357">
        <v>9</v>
      </c>
      <c r="D49" s="357">
        <v>6</v>
      </c>
      <c r="E49" s="357">
        <v>3</v>
      </c>
      <c r="F49" s="357">
        <v>491</v>
      </c>
      <c r="G49" s="357">
        <v>0</v>
      </c>
      <c r="H49" s="357">
        <v>12</v>
      </c>
      <c r="I49" s="357">
        <v>0</v>
      </c>
      <c r="J49" s="357">
        <v>0</v>
      </c>
      <c r="K49" s="357">
        <v>455</v>
      </c>
      <c r="L49" s="357">
        <v>24</v>
      </c>
      <c r="M49" s="357">
        <v>0</v>
      </c>
      <c r="N49" s="357">
        <v>0</v>
      </c>
      <c r="O49" s="357">
        <v>0</v>
      </c>
      <c r="P49" s="357">
        <v>0</v>
      </c>
      <c r="Q49" s="357">
        <v>0</v>
      </c>
      <c r="R49" s="357">
        <v>0</v>
      </c>
      <c r="S49" s="357">
        <v>0</v>
      </c>
      <c r="T49" s="357">
        <v>0</v>
      </c>
      <c r="U49" s="357">
        <v>0</v>
      </c>
      <c r="V49" s="357">
        <v>0</v>
      </c>
      <c r="W49" s="357">
        <v>0</v>
      </c>
      <c r="X49" s="357">
        <v>0</v>
      </c>
      <c r="Y49" s="357">
        <v>0</v>
      </c>
      <c r="Z49" s="357">
        <v>0</v>
      </c>
      <c r="AA49" s="357">
        <v>0</v>
      </c>
      <c r="AB49" s="357">
        <v>0</v>
      </c>
      <c r="AC49" s="357">
        <v>0</v>
      </c>
      <c r="AD49" s="357">
        <v>0</v>
      </c>
      <c r="AE49" s="357">
        <v>0</v>
      </c>
      <c r="AF49" s="357">
        <v>0</v>
      </c>
      <c r="AG49" s="357">
        <v>0</v>
      </c>
      <c r="AH49" s="357">
        <v>0</v>
      </c>
      <c r="AI49" s="357">
        <v>0</v>
      </c>
      <c r="AJ49" s="357">
        <v>0</v>
      </c>
      <c r="AK49" s="357">
        <v>0</v>
      </c>
      <c r="AL49" s="357">
        <v>0</v>
      </c>
      <c r="AM49" s="357">
        <v>0</v>
      </c>
      <c r="AN49" s="357">
        <v>0</v>
      </c>
    </row>
    <row r="50" spans="3:40" x14ac:dyDescent="0.3">
      <c r="C50" s="357">
        <v>9</v>
      </c>
      <c r="D50" s="357">
        <v>6</v>
      </c>
      <c r="E50" s="357">
        <v>4</v>
      </c>
      <c r="F50" s="357">
        <v>714</v>
      </c>
      <c r="G50" s="357">
        <v>0</v>
      </c>
      <c r="H50" s="357">
        <v>233</v>
      </c>
      <c r="I50" s="357">
        <v>0</v>
      </c>
      <c r="J50" s="357">
        <v>0</v>
      </c>
      <c r="K50" s="357">
        <v>451</v>
      </c>
      <c r="L50" s="357">
        <v>30</v>
      </c>
      <c r="M50" s="357">
        <v>0</v>
      </c>
      <c r="N50" s="357">
        <v>0</v>
      </c>
      <c r="O50" s="357">
        <v>0</v>
      </c>
      <c r="P50" s="357">
        <v>0</v>
      </c>
      <c r="Q50" s="357">
        <v>0</v>
      </c>
      <c r="R50" s="357">
        <v>0</v>
      </c>
      <c r="S50" s="357">
        <v>0</v>
      </c>
      <c r="T50" s="357">
        <v>0</v>
      </c>
      <c r="U50" s="357">
        <v>0</v>
      </c>
      <c r="V50" s="357">
        <v>0</v>
      </c>
      <c r="W50" s="357">
        <v>0</v>
      </c>
      <c r="X50" s="357">
        <v>0</v>
      </c>
      <c r="Y50" s="357">
        <v>0</v>
      </c>
      <c r="Z50" s="357">
        <v>0</v>
      </c>
      <c r="AA50" s="357">
        <v>0</v>
      </c>
      <c r="AB50" s="357">
        <v>0</v>
      </c>
      <c r="AC50" s="357">
        <v>0</v>
      </c>
      <c r="AD50" s="357">
        <v>0</v>
      </c>
      <c r="AE50" s="357">
        <v>0</v>
      </c>
      <c r="AF50" s="357">
        <v>0</v>
      </c>
      <c r="AG50" s="357">
        <v>0</v>
      </c>
      <c r="AH50" s="357">
        <v>0</v>
      </c>
      <c r="AI50" s="357">
        <v>0</v>
      </c>
      <c r="AJ50" s="357">
        <v>0</v>
      </c>
      <c r="AK50" s="357">
        <v>0</v>
      </c>
      <c r="AL50" s="357">
        <v>0</v>
      </c>
      <c r="AM50" s="357">
        <v>0</v>
      </c>
      <c r="AN50" s="357">
        <v>0</v>
      </c>
    </row>
    <row r="51" spans="3:40" x14ac:dyDescent="0.3">
      <c r="C51" s="357">
        <v>9</v>
      </c>
      <c r="D51" s="357">
        <v>6</v>
      </c>
      <c r="E51" s="357">
        <v>5</v>
      </c>
      <c r="F51" s="357">
        <v>24</v>
      </c>
      <c r="G51" s="357">
        <v>24</v>
      </c>
      <c r="H51" s="357">
        <v>0</v>
      </c>
      <c r="I51" s="357">
        <v>0</v>
      </c>
      <c r="J51" s="357">
        <v>0</v>
      </c>
      <c r="K51" s="357">
        <v>0</v>
      </c>
      <c r="L51" s="357">
        <v>0</v>
      </c>
      <c r="M51" s="357">
        <v>0</v>
      </c>
      <c r="N51" s="357">
        <v>0</v>
      </c>
      <c r="O51" s="357">
        <v>0</v>
      </c>
      <c r="P51" s="357">
        <v>0</v>
      </c>
      <c r="Q51" s="357">
        <v>0</v>
      </c>
      <c r="R51" s="357">
        <v>0</v>
      </c>
      <c r="S51" s="357">
        <v>0</v>
      </c>
      <c r="T51" s="357">
        <v>0</v>
      </c>
      <c r="U51" s="357">
        <v>0</v>
      </c>
      <c r="V51" s="357">
        <v>0</v>
      </c>
      <c r="W51" s="357">
        <v>0</v>
      </c>
      <c r="X51" s="357">
        <v>0</v>
      </c>
      <c r="Y51" s="357">
        <v>0</v>
      </c>
      <c r="Z51" s="357">
        <v>0</v>
      </c>
      <c r="AA51" s="357">
        <v>0</v>
      </c>
      <c r="AB51" s="357">
        <v>0</v>
      </c>
      <c r="AC51" s="357">
        <v>0</v>
      </c>
      <c r="AD51" s="357">
        <v>0</v>
      </c>
      <c r="AE51" s="357">
        <v>0</v>
      </c>
      <c r="AF51" s="357">
        <v>0</v>
      </c>
      <c r="AG51" s="357">
        <v>0</v>
      </c>
      <c r="AH51" s="357">
        <v>0</v>
      </c>
      <c r="AI51" s="357">
        <v>0</v>
      </c>
      <c r="AJ51" s="357">
        <v>0</v>
      </c>
      <c r="AK51" s="357">
        <v>0</v>
      </c>
      <c r="AL51" s="357">
        <v>0</v>
      </c>
      <c r="AM51" s="357">
        <v>0</v>
      </c>
      <c r="AN51" s="357">
        <v>0</v>
      </c>
    </row>
    <row r="52" spans="3:40" x14ac:dyDescent="0.3">
      <c r="C52" s="357">
        <v>9</v>
      </c>
      <c r="D52" s="357">
        <v>6</v>
      </c>
      <c r="E52" s="357">
        <v>6</v>
      </c>
      <c r="F52" s="357">
        <v>2421874</v>
      </c>
      <c r="G52" s="357">
        <v>6120</v>
      </c>
      <c r="H52" s="357">
        <v>672729</v>
      </c>
      <c r="I52" s="357">
        <v>0</v>
      </c>
      <c r="J52" s="357">
        <v>0</v>
      </c>
      <c r="K52" s="357">
        <v>1620780</v>
      </c>
      <c r="L52" s="357">
        <v>42746</v>
      </c>
      <c r="M52" s="357">
        <v>0</v>
      </c>
      <c r="N52" s="357">
        <v>0</v>
      </c>
      <c r="O52" s="357">
        <v>0</v>
      </c>
      <c r="P52" s="357">
        <v>0</v>
      </c>
      <c r="Q52" s="357">
        <v>0</v>
      </c>
      <c r="R52" s="357">
        <v>0</v>
      </c>
      <c r="S52" s="357">
        <v>0</v>
      </c>
      <c r="T52" s="357">
        <v>0</v>
      </c>
      <c r="U52" s="357">
        <v>0</v>
      </c>
      <c r="V52" s="357">
        <v>0</v>
      </c>
      <c r="W52" s="357">
        <v>0</v>
      </c>
      <c r="X52" s="357">
        <v>0</v>
      </c>
      <c r="Y52" s="357">
        <v>0</v>
      </c>
      <c r="Z52" s="357">
        <v>0</v>
      </c>
      <c r="AA52" s="357">
        <v>0</v>
      </c>
      <c r="AB52" s="357">
        <v>0</v>
      </c>
      <c r="AC52" s="357">
        <v>0</v>
      </c>
      <c r="AD52" s="357">
        <v>0</v>
      </c>
      <c r="AE52" s="357">
        <v>0</v>
      </c>
      <c r="AF52" s="357">
        <v>0</v>
      </c>
      <c r="AG52" s="357">
        <v>0</v>
      </c>
      <c r="AH52" s="357">
        <v>57723</v>
      </c>
      <c r="AI52" s="357">
        <v>0</v>
      </c>
      <c r="AJ52" s="357">
        <v>0</v>
      </c>
      <c r="AK52" s="357">
        <v>0</v>
      </c>
      <c r="AL52" s="357">
        <v>0</v>
      </c>
      <c r="AM52" s="357">
        <v>21776</v>
      </c>
      <c r="AN52" s="357">
        <v>0</v>
      </c>
    </row>
    <row r="53" spans="3:40" x14ac:dyDescent="0.3">
      <c r="C53" s="357">
        <v>9</v>
      </c>
      <c r="D53" s="357">
        <v>6</v>
      </c>
      <c r="E53" s="357">
        <v>9</v>
      </c>
      <c r="F53" s="357">
        <v>42640</v>
      </c>
      <c r="G53" s="357">
        <v>0</v>
      </c>
      <c r="H53" s="357">
        <v>33600</v>
      </c>
      <c r="I53" s="357">
        <v>0</v>
      </c>
      <c r="J53" s="357">
        <v>0</v>
      </c>
      <c r="K53" s="357">
        <v>9040</v>
      </c>
      <c r="L53" s="357">
        <v>0</v>
      </c>
      <c r="M53" s="357">
        <v>0</v>
      </c>
      <c r="N53" s="357">
        <v>0</v>
      </c>
      <c r="O53" s="357">
        <v>0</v>
      </c>
      <c r="P53" s="357">
        <v>0</v>
      </c>
      <c r="Q53" s="357">
        <v>0</v>
      </c>
      <c r="R53" s="357">
        <v>0</v>
      </c>
      <c r="S53" s="357">
        <v>0</v>
      </c>
      <c r="T53" s="357">
        <v>0</v>
      </c>
      <c r="U53" s="357">
        <v>0</v>
      </c>
      <c r="V53" s="357">
        <v>0</v>
      </c>
      <c r="W53" s="357">
        <v>0</v>
      </c>
      <c r="X53" s="357">
        <v>0</v>
      </c>
      <c r="Y53" s="357">
        <v>0</v>
      </c>
      <c r="Z53" s="357">
        <v>0</v>
      </c>
      <c r="AA53" s="357">
        <v>0</v>
      </c>
      <c r="AB53" s="357">
        <v>0</v>
      </c>
      <c r="AC53" s="357">
        <v>0</v>
      </c>
      <c r="AD53" s="357">
        <v>0</v>
      </c>
      <c r="AE53" s="357">
        <v>0</v>
      </c>
      <c r="AF53" s="357">
        <v>0</v>
      </c>
      <c r="AG53" s="357">
        <v>0</v>
      </c>
      <c r="AH53" s="357">
        <v>0</v>
      </c>
      <c r="AI53" s="357">
        <v>0</v>
      </c>
      <c r="AJ53" s="357">
        <v>0</v>
      </c>
      <c r="AK53" s="357">
        <v>0</v>
      </c>
      <c r="AL53" s="357">
        <v>0</v>
      </c>
      <c r="AM53" s="357">
        <v>0</v>
      </c>
      <c r="AN53" s="357">
        <v>0</v>
      </c>
    </row>
    <row r="54" spans="3:40" x14ac:dyDescent="0.3">
      <c r="C54" s="357">
        <v>9</v>
      </c>
      <c r="D54" s="357">
        <v>6</v>
      </c>
      <c r="E54" s="357">
        <v>11</v>
      </c>
      <c r="F54" s="357">
        <v>4469.833333333333</v>
      </c>
      <c r="G54" s="357">
        <v>0</v>
      </c>
      <c r="H54" s="357">
        <v>2803.1666666666665</v>
      </c>
      <c r="I54" s="357">
        <v>0</v>
      </c>
      <c r="J54" s="357">
        <v>0</v>
      </c>
      <c r="K54" s="357">
        <v>1666.6666666666667</v>
      </c>
      <c r="L54" s="357">
        <v>0</v>
      </c>
      <c r="M54" s="357">
        <v>0</v>
      </c>
      <c r="N54" s="357">
        <v>0</v>
      </c>
      <c r="O54" s="357">
        <v>0</v>
      </c>
      <c r="P54" s="357">
        <v>0</v>
      </c>
      <c r="Q54" s="357">
        <v>0</v>
      </c>
      <c r="R54" s="357">
        <v>0</v>
      </c>
      <c r="S54" s="357">
        <v>0</v>
      </c>
      <c r="T54" s="357">
        <v>0</v>
      </c>
      <c r="U54" s="357">
        <v>0</v>
      </c>
      <c r="V54" s="357">
        <v>0</v>
      </c>
      <c r="W54" s="357">
        <v>0</v>
      </c>
      <c r="X54" s="357">
        <v>0</v>
      </c>
      <c r="Y54" s="357">
        <v>0</v>
      </c>
      <c r="Z54" s="357">
        <v>0</v>
      </c>
      <c r="AA54" s="357">
        <v>0</v>
      </c>
      <c r="AB54" s="357">
        <v>0</v>
      </c>
      <c r="AC54" s="357">
        <v>0</v>
      </c>
      <c r="AD54" s="357">
        <v>0</v>
      </c>
      <c r="AE54" s="357">
        <v>0</v>
      </c>
      <c r="AF54" s="357">
        <v>0</v>
      </c>
      <c r="AG54" s="357">
        <v>0</v>
      </c>
      <c r="AH54" s="357">
        <v>0</v>
      </c>
      <c r="AI54" s="357">
        <v>0</v>
      </c>
      <c r="AJ54" s="357">
        <v>0</v>
      </c>
      <c r="AK54" s="357">
        <v>0</v>
      </c>
      <c r="AL54" s="357">
        <v>0</v>
      </c>
      <c r="AM54" s="357">
        <v>0</v>
      </c>
      <c r="AN54" s="357">
        <v>0</v>
      </c>
    </row>
    <row r="55" spans="3:40" x14ac:dyDescent="0.3">
      <c r="C55" s="357">
        <v>9</v>
      </c>
      <c r="D55" s="357">
        <v>7</v>
      </c>
      <c r="E55" s="357">
        <v>1</v>
      </c>
      <c r="F55" s="357">
        <v>65.5</v>
      </c>
      <c r="G55" s="357">
        <v>0</v>
      </c>
      <c r="H55" s="357">
        <v>8.5</v>
      </c>
      <c r="I55" s="357">
        <v>0</v>
      </c>
      <c r="J55" s="357">
        <v>0</v>
      </c>
      <c r="K55" s="357">
        <v>50.5</v>
      </c>
      <c r="L55" s="357">
        <v>1.5</v>
      </c>
      <c r="M55" s="357">
        <v>0</v>
      </c>
      <c r="N55" s="357">
        <v>0</v>
      </c>
      <c r="O55" s="357">
        <v>0</v>
      </c>
      <c r="P55" s="357">
        <v>0</v>
      </c>
      <c r="Q55" s="357">
        <v>0</v>
      </c>
      <c r="R55" s="357">
        <v>0</v>
      </c>
      <c r="S55" s="357">
        <v>0</v>
      </c>
      <c r="T55" s="357">
        <v>0</v>
      </c>
      <c r="U55" s="357">
        <v>0</v>
      </c>
      <c r="V55" s="357">
        <v>0</v>
      </c>
      <c r="W55" s="357">
        <v>0</v>
      </c>
      <c r="X55" s="357">
        <v>0</v>
      </c>
      <c r="Y55" s="357">
        <v>0</v>
      </c>
      <c r="Z55" s="357">
        <v>0</v>
      </c>
      <c r="AA55" s="357">
        <v>0</v>
      </c>
      <c r="AB55" s="357">
        <v>0</v>
      </c>
      <c r="AC55" s="357">
        <v>0</v>
      </c>
      <c r="AD55" s="357">
        <v>0</v>
      </c>
      <c r="AE55" s="357">
        <v>0</v>
      </c>
      <c r="AF55" s="357">
        <v>0</v>
      </c>
      <c r="AG55" s="357">
        <v>0</v>
      </c>
      <c r="AH55" s="357">
        <v>4</v>
      </c>
      <c r="AI55" s="357">
        <v>0</v>
      </c>
      <c r="AJ55" s="357">
        <v>0</v>
      </c>
      <c r="AK55" s="357">
        <v>0</v>
      </c>
      <c r="AL55" s="357">
        <v>0</v>
      </c>
      <c r="AM55" s="357">
        <v>1</v>
      </c>
      <c r="AN55" s="357">
        <v>0</v>
      </c>
    </row>
    <row r="56" spans="3:40" x14ac:dyDescent="0.3">
      <c r="C56" s="357">
        <v>9</v>
      </c>
      <c r="D56" s="357">
        <v>7</v>
      </c>
      <c r="E56" s="357">
        <v>2</v>
      </c>
      <c r="F56" s="357">
        <v>8686.1299999999992</v>
      </c>
      <c r="G56" s="357">
        <v>0</v>
      </c>
      <c r="H56" s="357">
        <v>1080</v>
      </c>
      <c r="I56" s="357">
        <v>0</v>
      </c>
      <c r="J56" s="357">
        <v>0</v>
      </c>
      <c r="K56" s="357">
        <v>6673.88</v>
      </c>
      <c r="L56" s="357">
        <v>236.25</v>
      </c>
      <c r="M56" s="357">
        <v>0</v>
      </c>
      <c r="N56" s="357">
        <v>0</v>
      </c>
      <c r="O56" s="357">
        <v>0</v>
      </c>
      <c r="P56" s="357">
        <v>0</v>
      </c>
      <c r="Q56" s="357">
        <v>0</v>
      </c>
      <c r="R56" s="357">
        <v>0</v>
      </c>
      <c r="S56" s="357">
        <v>0</v>
      </c>
      <c r="T56" s="357">
        <v>0</v>
      </c>
      <c r="U56" s="357">
        <v>0</v>
      </c>
      <c r="V56" s="357">
        <v>0</v>
      </c>
      <c r="W56" s="357">
        <v>0</v>
      </c>
      <c r="X56" s="357">
        <v>0</v>
      </c>
      <c r="Y56" s="357">
        <v>0</v>
      </c>
      <c r="Z56" s="357">
        <v>0</v>
      </c>
      <c r="AA56" s="357">
        <v>0</v>
      </c>
      <c r="AB56" s="357">
        <v>0</v>
      </c>
      <c r="AC56" s="357">
        <v>0</v>
      </c>
      <c r="AD56" s="357">
        <v>0</v>
      </c>
      <c r="AE56" s="357">
        <v>0</v>
      </c>
      <c r="AF56" s="357">
        <v>0</v>
      </c>
      <c r="AG56" s="357">
        <v>0</v>
      </c>
      <c r="AH56" s="357">
        <v>552</v>
      </c>
      <c r="AI56" s="357">
        <v>0</v>
      </c>
      <c r="AJ56" s="357">
        <v>0</v>
      </c>
      <c r="AK56" s="357">
        <v>0</v>
      </c>
      <c r="AL56" s="357">
        <v>0</v>
      </c>
      <c r="AM56" s="357">
        <v>144</v>
      </c>
      <c r="AN56" s="357">
        <v>0</v>
      </c>
    </row>
    <row r="57" spans="3:40" x14ac:dyDescent="0.3">
      <c r="C57" s="357">
        <v>9</v>
      </c>
      <c r="D57" s="357">
        <v>7</v>
      </c>
      <c r="E57" s="357">
        <v>3</v>
      </c>
      <c r="F57" s="357">
        <v>455</v>
      </c>
      <c r="G57" s="357">
        <v>0</v>
      </c>
      <c r="H57" s="357">
        <v>11</v>
      </c>
      <c r="I57" s="357">
        <v>0</v>
      </c>
      <c r="J57" s="357">
        <v>0</v>
      </c>
      <c r="K57" s="357">
        <v>432</v>
      </c>
      <c r="L57" s="357">
        <v>12</v>
      </c>
      <c r="M57" s="357">
        <v>0</v>
      </c>
      <c r="N57" s="357">
        <v>0</v>
      </c>
      <c r="O57" s="357">
        <v>0</v>
      </c>
      <c r="P57" s="357">
        <v>0</v>
      </c>
      <c r="Q57" s="357">
        <v>0</v>
      </c>
      <c r="R57" s="357">
        <v>0</v>
      </c>
      <c r="S57" s="357">
        <v>0</v>
      </c>
      <c r="T57" s="357">
        <v>0</v>
      </c>
      <c r="U57" s="357">
        <v>0</v>
      </c>
      <c r="V57" s="357">
        <v>0</v>
      </c>
      <c r="W57" s="357">
        <v>0</v>
      </c>
      <c r="X57" s="357">
        <v>0</v>
      </c>
      <c r="Y57" s="357">
        <v>0</v>
      </c>
      <c r="Z57" s="357">
        <v>0</v>
      </c>
      <c r="AA57" s="357">
        <v>0</v>
      </c>
      <c r="AB57" s="357">
        <v>0</v>
      </c>
      <c r="AC57" s="357">
        <v>0</v>
      </c>
      <c r="AD57" s="357">
        <v>0</v>
      </c>
      <c r="AE57" s="357">
        <v>0</v>
      </c>
      <c r="AF57" s="357">
        <v>0</v>
      </c>
      <c r="AG57" s="357">
        <v>0</v>
      </c>
      <c r="AH57" s="357">
        <v>0</v>
      </c>
      <c r="AI57" s="357">
        <v>0</v>
      </c>
      <c r="AJ57" s="357">
        <v>0</v>
      </c>
      <c r="AK57" s="357">
        <v>0</v>
      </c>
      <c r="AL57" s="357">
        <v>0</v>
      </c>
      <c r="AM57" s="357">
        <v>0</v>
      </c>
      <c r="AN57" s="357">
        <v>0</v>
      </c>
    </row>
    <row r="58" spans="3:40" x14ac:dyDescent="0.3">
      <c r="C58" s="357">
        <v>9</v>
      </c>
      <c r="D58" s="357">
        <v>7</v>
      </c>
      <c r="E58" s="357">
        <v>4</v>
      </c>
      <c r="F58" s="357">
        <v>395</v>
      </c>
      <c r="G58" s="357">
        <v>0</v>
      </c>
      <c r="H58" s="357">
        <v>239</v>
      </c>
      <c r="I58" s="357">
        <v>0</v>
      </c>
      <c r="J58" s="357">
        <v>0</v>
      </c>
      <c r="K58" s="357">
        <v>136</v>
      </c>
      <c r="L58" s="357">
        <v>20</v>
      </c>
      <c r="M58" s="357">
        <v>0</v>
      </c>
      <c r="N58" s="357">
        <v>0</v>
      </c>
      <c r="O58" s="357">
        <v>0</v>
      </c>
      <c r="P58" s="357">
        <v>0</v>
      </c>
      <c r="Q58" s="357">
        <v>0</v>
      </c>
      <c r="R58" s="357">
        <v>0</v>
      </c>
      <c r="S58" s="357">
        <v>0</v>
      </c>
      <c r="T58" s="357">
        <v>0</v>
      </c>
      <c r="U58" s="357">
        <v>0</v>
      </c>
      <c r="V58" s="357">
        <v>0</v>
      </c>
      <c r="W58" s="357">
        <v>0</v>
      </c>
      <c r="X58" s="357">
        <v>0</v>
      </c>
      <c r="Y58" s="357">
        <v>0</v>
      </c>
      <c r="Z58" s="357">
        <v>0</v>
      </c>
      <c r="AA58" s="357">
        <v>0</v>
      </c>
      <c r="AB58" s="357">
        <v>0</v>
      </c>
      <c r="AC58" s="357">
        <v>0</v>
      </c>
      <c r="AD58" s="357">
        <v>0</v>
      </c>
      <c r="AE58" s="357">
        <v>0</v>
      </c>
      <c r="AF58" s="357">
        <v>0</v>
      </c>
      <c r="AG58" s="357">
        <v>0</v>
      </c>
      <c r="AH58" s="357">
        <v>0</v>
      </c>
      <c r="AI58" s="357">
        <v>0</v>
      </c>
      <c r="AJ58" s="357">
        <v>0</v>
      </c>
      <c r="AK58" s="357">
        <v>0</v>
      </c>
      <c r="AL58" s="357">
        <v>0</v>
      </c>
      <c r="AM58" s="357">
        <v>0</v>
      </c>
      <c r="AN58" s="357">
        <v>0</v>
      </c>
    </row>
    <row r="59" spans="3:40" x14ac:dyDescent="0.3">
      <c r="C59" s="357">
        <v>9</v>
      </c>
      <c r="D59" s="357">
        <v>7</v>
      </c>
      <c r="E59" s="357">
        <v>5</v>
      </c>
      <c r="F59" s="357">
        <v>24</v>
      </c>
      <c r="G59" s="357">
        <v>24</v>
      </c>
      <c r="H59" s="357">
        <v>0</v>
      </c>
      <c r="I59" s="357">
        <v>0</v>
      </c>
      <c r="J59" s="357">
        <v>0</v>
      </c>
      <c r="K59" s="357">
        <v>0</v>
      </c>
      <c r="L59" s="357">
        <v>0</v>
      </c>
      <c r="M59" s="357">
        <v>0</v>
      </c>
      <c r="N59" s="357">
        <v>0</v>
      </c>
      <c r="O59" s="357">
        <v>0</v>
      </c>
      <c r="P59" s="357">
        <v>0</v>
      </c>
      <c r="Q59" s="357">
        <v>0</v>
      </c>
      <c r="R59" s="357">
        <v>0</v>
      </c>
      <c r="S59" s="357">
        <v>0</v>
      </c>
      <c r="T59" s="357">
        <v>0</v>
      </c>
      <c r="U59" s="357">
        <v>0</v>
      </c>
      <c r="V59" s="357">
        <v>0</v>
      </c>
      <c r="W59" s="357">
        <v>0</v>
      </c>
      <c r="X59" s="357">
        <v>0</v>
      </c>
      <c r="Y59" s="357">
        <v>0</v>
      </c>
      <c r="Z59" s="357">
        <v>0</v>
      </c>
      <c r="AA59" s="357">
        <v>0</v>
      </c>
      <c r="AB59" s="357">
        <v>0</v>
      </c>
      <c r="AC59" s="357">
        <v>0</v>
      </c>
      <c r="AD59" s="357">
        <v>0</v>
      </c>
      <c r="AE59" s="357">
        <v>0</v>
      </c>
      <c r="AF59" s="357">
        <v>0</v>
      </c>
      <c r="AG59" s="357">
        <v>0</v>
      </c>
      <c r="AH59" s="357">
        <v>0</v>
      </c>
      <c r="AI59" s="357">
        <v>0</v>
      </c>
      <c r="AJ59" s="357">
        <v>0</v>
      </c>
      <c r="AK59" s="357">
        <v>0</v>
      </c>
      <c r="AL59" s="357">
        <v>0</v>
      </c>
      <c r="AM59" s="357">
        <v>0</v>
      </c>
      <c r="AN59" s="357">
        <v>0</v>
      </c>
    </row>
    <row r="60" spans="3:40" x14ac:dyDescent="0.3">
      <c r="C60" s="357">
        <v>9</v>
      </c>
      <c r="D60" s="357">
        <v>7</v>
      </c>
      <c r="E60" s="357">
        <v>6</v>
      </c>
      <c r="F60" s="357">
        <v>3377514</v>
      </c>
      <c r="G60" s="357">
        <v>6000</v>
      </c>
      <c r="H60" s="357">
        <v>1006231</v>
      </c>
      <c r="I60" s="357">
        <v>0</v>
      </c>
      <c r="J60" s="357">
        <v>0</v>
      </c>
      <c r="K60" s="357">
        <v>2190172</v>
      </c>
      <c r="L60" s="357">
        <v>52539</v>
      </c>
      <c r="M60" s="357">
        <v>0</v>
      </c>
      <c r="N60" s="357">
        <v>0</v>
      </c>
      <c r="O60" s="357">
        <v>0</v>
      </c>
      <c r="P60" s="357">
        <v>0</v>
      </c>
      <c r="Q60" s="357">
        <v>0</v>
      </c>
      <c r="R60" s="357">
        <v>0</v>
      </c>
      <c r="S60" s="357">
        <v>0</v>
      </c>
      <c r="T60" s="357">
        <v>0</v>
      </c>
      <c r="U60" s="357">
        <v>0</v>
      </c>
      <c r="V60" s="357">
        <v>0</v>
      </c>
      <c r="W60" s="357">
        <v>0</v>
      </c>
      <c r="X60" s="357">
        <v>0</v>
      </c>
      <c r="Y60" s="357">
        <v>0</v>
      </c>
      <c r="Z60" s="357">
        <v>0</v>
      </c>
      <c r="AA60" s="357">
        <v>0</v>
      </c>
      <c r="AB60" s="357">
        <v>0</v>
      </c>
      <c r="AC60" s="357">
        <v>0</v>
      </c>
      <c r="AD60" s="357">
        <v>0</v>
      </c>
      <c r="AE60" s="357">
        <v>0</v>
      </c>
      <c r="AF60" s="357">
        <v>0</v>
      </c>
      <c r="AG60" s="357">
        <v>0</v>
      </c>
      <c r="AH60" s="357">
        <v>89582</v>
      </c>
      <c r="AI60" s="357">
        <v>0</v>
      </c>
      <c r="AJ60" s="357">
        <v>0</v>
      </c>
      <c r="AK60" s="357">
        <v>0</v>
      </c>
      <c r="AL60" s="357">
        <v>0</v>
      </c>
      <c r="AM60" s="357">
        <v>32990</v>
      </c>
      <c r="AN60" s="357">
        <v>0</v>
      </c>
    </row>
    <row r="61" spans="3:40" x14ac:dyDescent="0.3">
      <c r="C61" s="357">
        <v>9</v>
      </c>
      <c r="D61" s="357">
        <v>7</v>
      </c>
      <c r="E61" s="357">
        <v>9</v>
      </c>
      <c r="F61" s="357">
        <v>967586</v>
      </c>
      <c r="G61" s="357">
        <v>0</v>
      </c>
      <c r="H61" s="357">
        <v>330752</v>
      </c>
      <c r="I61" s="357">
        <v>0</v>
      </c>
      <c r="J61" s="357">
        <v>0</v>
      </c>
      <c r="K61" s="357">
        <v>582146</v>
      </c>
      <c r="L61" s="357">
        <v>13368</v>
      </c>
      <c r="M61" s="357">
        <v>0</v>
      </c>
      <c r="N61" s="357">
        <v>0</v>
      </c>
      <c r="O61" s="357">
        <v>0</v>
      </c>
      <c r="P61" s="357">
        <v>0</v>
      </c>
      <c r="Q61" s="357">
        <v>0</v>
      </c>
      <c r="R61" s="357">
        <v>0</v>
      </c>
      <c r="S61" s="357">
        <v>0</v>
      </c>
      <c r="T61" s="357">
        <v>0</v>
      </c>
      <c r="U61" s="357">
        <v>0</v>
      </c>
      <c r="V61" s="357">
        <v>0</v>
      </c>
      <c r="W61" s="357">
        <v>0</v>
      </c>
      <c r="X61" s="357">
        <v>0</v>
      </c>
      <c r="Y61" s="357">
        <v>0</v>
      </c>
      <c r="Z61" s="357">
        <v>0</v>
      </c>
      <c r="AA61" s="357">
        <v>0</v>
      </c>
      <c r="AB61" s="357">
        <v>0</v>
      </c>
      <c r="AC61" s="357">
        <v>0</v>
      </c>
      <c r="AD61" s="357">
        <v>0</v>
      </c>
      <c r="AE61" s="357">
        <v>0</v>
      </c>
      <c r="AF61" s="357">
        <v>0</v>
      </c>
      <c r="AG61" s="357">
        <v>0</v>
      </c>
      <c r="AH61" s="357">
        <v>30144</v>
      </c>
      <c r="AI61" s="357">
        <v>0</v>
      </c>
      <c r="AJ61" s="357">
        <v>0</v>
      </c>
      <c r="AK61" s="357">
        <v>0</v>
      </c>
      <c r="AL61" s="357">
        <v>0</v>
      </c>
      <c r="AM61" s="357">
        <v>11176</v>
      </c>
      <c r="AN61" s="357">
        <v>0</v>
      </c>
    </row>
    <row r="62" spans="3:40" x14ac:dyDescent="0.3">
      <c r="C62" s="357">
        <v>9</v>
      </c>
      <c r="D62" s="357">
        <v>7</v>
      </c>
      <c r="E62" s="357">
        <v>10</v>
      </c>
      <c r="F62" s="357">
        <v>6150</v>
      </c>
      <c r="G62" s="357">
        <v>0</v>
      </c>
      <c r="H62" s="357">
        <v>0</v>
      </c>
      <c r="I62" s="357">
        <v>0</v>
      </c>
      <c r="J62" s="357">
        <v>0</v>
      </c>
      <c r="K62" s="357">
        <v>6150</v>
      </c>
      <c r="L62" s="357">
        <v>0</v>
      </c>
      <c r="M62" s="357">
        <v>0</v>
      </c>
      <c r="N62" s="357">
        <v>0</v>
      </c>
      <c r="O62" s="357">
        <v>0</v>
      </c>
      <c r="P62" s="357">
        <v>0</v>
      </c>
      <c r="Q62" s="357">
        <v>0</v>
      </c>
      <c r="R62" s="357">
        <v>0</v>
      </c>
      <c r="S62" s="357">
        <v>0</v>
      </c>
      <c r="T62" s="357">
        <v>0</v>
      </c>
      <c r="U62" s="357">
        <v>0</v>
      </c>
      <c r="V62" s="357">
        <v>0</v>
      </c>
      <c r="W62" s="357">
        <v>0</v>
      </c>
      <c r="X62" s="357">
        <v>0</v>
      </c>
      <c r="Y62" s="357">
        <v>0</v>
      </c>
      <c r="Z62" s="357">
        <v>0</v>
      </c>
      <c r="AA62" s="357">
        <v>0</v>
      </c>
      <c r="AB62" s="357">
        <v>0</v>
      </c>
      <c r="AC62" s="357">
        <v>0</v>
      </c>
      <c r="AD62" s="357">
        <v>0</v>
      </c>
      <c r="AE62" s="357">
        <v>0</v>
      </c>
      <c r="AF62" s="357">
        <v>0</v>
      </c>
      <c r="AG62" s="357">
        <v>0</v>
      </c>
      <c r="AH62" s="357">
        <v>0</v>
      </c>
      <c r="AI62" s="357">
        <v>0</v>
      </c>
      <c r="AJ62" s="357">
        <v>0</v>
      </c>
      <c r="AK62" s="357">
        <v>0</v>
      </c>
      <c r="AL62" s="357">
        <v>0</v>
      </c>
      <c r="AM62" s="357">
        <v>0</v>
      </c>
      <c r="AN62" s="357">
        <v>0</v>
      </c>
    </row>
    <row r="63" spans="3:40" x14ac:dyDescent="0.3">
      <c r="C63" s="357">
        <v>9</v>
      </c>
      <c r="D63" s="357">
        <v>7</v>
      </c>
      <c r="E63" s="357">
        <v>11</v>
      </c>
      <c r="F63" s="357">
        <v>4469.833333333333</v>
      </c>
      <c r="G63" s="357">
        <v>0</v>
      </c>
      <c r="H63" s="357">
        <v>2803.1666666666665</v>
      </c>
      <c r="I63" s="357">
        <v>0</v>
      </c>
      <c r="J63" s="357">
        <v>0</v>
      </c>
      <c r="K63" s="357">
        <v>1666.6666666666667</v>
      </c>
      <c r="L63" s="357">
        <v>0</v>
      </c>
      <c r="M63" s="357">
        <v>0</v>
      </c>
      <c r="N63" s="357">
        <v>0</v>
      </c>
      <c r="O63" s="357">
        <v>0</v>
      </c>
      <c r="P63" s="357">
        <v>0</v>
      </c>
      <c r="Q63" s="357">
        <v>0</v>
      </c>
      <c r="R63" s="357">
        <v>0</v>
      </c>
      <c r="S63" s="357">
        <v>0</v>
      </c>
      <c r="T63" s="357">
        <v>0</v>
      </c>
      <c r="U63" s="357">
        <v>0</v>
      </c>
      <c r="V63" s="357">
        <v>0</v>
      </c>
      <c r="W63" s="357">
        <v>0</v>
      </c>
      <c r="X63" s="357">
        <v>0</v>
      </c>
      <c r="Y63" s="357">
        <v>0</v>
      </c>
      <c r="Z63" s="357">
        <v>0</v>
      </c>
      <c r="AA63" s="357">
        <v>0</v>
      </c>
      <c r="AB63" s="357">
        <v>0</v>
      </c>
      <c r="AC63" s="357">
        <v>0</v>
      </c>
      <c r="AD63" s="357">
        <v>0</v>
      </c>
      <c r="AE63" s="357">
        <v>0</v>
      </c>
      <c r="AF63" s="357">
        <v>0</v>
      </c>
      <c r="AG63" s="357">
        <v>0</v>
      </c>
      <c r="AH63" s="357">
        <v>0</v>
      </c>
      <c r="AI63" s="357">
        <v>0</v>
      </c>
      <c r="AJ63" s="357">
        <v>0</v>
      </c>
      <c r="AK63" s="357">
        <v>0</v>
      </c>
      <c r="AL63" s="357">
        <v>0</v>
      </c>
      <c r="AM63" s="357">
        <v>0</v>
      </c>
      <c r="AN63" s="357">
        <v>0</v>
      </c>
    </row>
    <row r="64" spans="3:40" x14ac:dyDescent="0.3">
      <c r="C64" s="357">
        <v>9</v>
      </c>
      <c r="D64" s="357">
        <v>8</v>
      </c>
      <c r="E64" s="357">
        <v>1</v>
      </c>
      <c r="F64" s="357">
        <v>66</v>
      </c>
      <c r="G64" s="357">
        <v>0</v>
      </c>
      <c r="H64" s="357">
        <v>8.5</v>
      </c>
      <c r="I64" s="357">
        <v>0</v>
      </c>
      <c r="J64" s="357">
        <v>0</v>
      </c>
      <c r="K64" s="357">
        <v>51</v>
      </c>
      <c r="L64" s="357">
        <v>1.5</v>
      </c>
      <c r="M64" s="357">
        <v>0</v>
      </c>
      <c r="N64" s="357">
        <v>0</v>
      </c>
      <c r="O64" s="357">
        <v>0</v>
      </c>
      <c r="P64" s="357">
        <v>0</v>
      </c>
      <c r="Q64" s="357">
        <v>0</v>
      </c>
      <c r="R64" s="357">
        <v>0</v>
      </c>
      <c r="S64" s="357">
        <v>0</v>
      </c>
      <c r="T64" s="357">
        <v>0</v>
      </c>
      <c r="U64" s="357">
        <v>0</v>
      </c>
      <c r="V64" s="357">
        <v>0</v>
      </c>
      <c r="W64" s="357">
        <v>0</v>
      </c>
      <c r="X64" s="357">
        <v>0</v>
      </c>
      <c r="Y64" s="357">
        <v>0</v>
      </c>
      <c r="Z64" s="357">
        <v>0</v>
      </c>
      <c r="AA64" s="357">
        <v>0</v>
      </c>
      <c r="AB64" s="357">
        <v>0</v>
      </c>
      <c r="AC64" s="357">
        <v>0</v>
      </c>
      <c r="AD64" s="357">
        <v>0</v>
      </c>
      <c r="AE64" s="357">
        <v>0</v>
      </c>
      <c r="AF64" s="357">
        <v>0</v>
      </c>
      <c r="AG64" s="357">
        <v>0</v>
      </c>
      <c r="AH64" s="357">
        <v>4</v>
      </c>
      <c r="AI64" s="357">
        <v>0</v>
      </c>
      <c r="AJ64" s="357">
        <v>0</v>
      </c>
      <c r="AK64" s="357">
        <v>0</v>
      </c>
      <c r="AL64" s="357">
        <v>0</v>
      </c>
      <c r="AM64" s="357">
        <v>1</v>
      </c>
      <c r="AN64" s="357">
        <v>0</v>
      </c>
    </row>
    <row r="65" spans="3:40" x14ac:dyDescent="0.3">
      <c r="C65" s="357">
        <v>9</v>
      </c>
      <c r="D65" s="357">
        <v>8</v>
      </c>
      <c r="E65" s="357">
        <v>2</v>
      </c>
      <c r="F65" s="357">
        <v>7984.75</v>
      </c>
      <c r="G65" s="357">
        <v>0</v>
      </c>
      <c r="H65" s="357">
        <v>1008</v>
      </c>
      <c r="I65" s="357">
        <v>0</v>
      </c>
      <c r="J65" s="357">
        <v>0</v>
      </c>
      <c r="K65" s="357">
        <v>6161</v>
      </c>
      <c r="L65" s="357">
        <v>183.75</v>
      </c>
      <c r="M65" s="357">
        <v>0</v>
      </c>
      <c r="N65" s="357">
        <v>0</v>
      </c>
      <c r="O65" s="357">
        <v>0</v>
      </c>
      <c r="P65" s="357">
        <v>0</v>
      </c>
      <c r="Q65" s="357">
        <v>0</v>
      </c>
      <c r="R65" s="357">
        <v>0</v>
      </c>
      <c r="S65" s="357">
        <v>0</v>
      </c>
      <c r="T65" s="357">
        <v>0</v>
      </c>
      <c r="U65" s="357">
        <v>0</v>
      </c>
      <c r="V65" s="357">
        <v>0</v>
      </c>
      <c r="W65" s="357">
        <v>0</v>
      </c>
      <c r="X65" s="357">
        <v>0</v>
      </c>
      <c r="Y65" s="357">
        <v>0</v>
      </c>
      <c r="Z65" s="357">
        <v>0</v>
      </c>
      <c r="AA65" s="357">
        <v>0</v>
      </c>
      <c r="AB65" s="357">
        <v>0</v>
      </c>
      <c r="AC65" s="357">
        <v>0</v>
      </c>
      <c r="AD65" s="357">
        <v>0</v>
      </c>
      <c r="AE65" s="357">
        <v>0</v>
      </c>
      <c r="AF65" s="357">
        <v>0</v>
      </c>
      <c r="AG65" s="357">
        <v>0</v>
      </c>
      <c r="AH65" s="357">
        <v>504</v>
      </c>
      <c r="AI65" s="357">
        <v>0</v>
      </c>
      <c r="AJ65" s="357">
        <v>0</v>
      </c>
      <c r="AK65" s="357">
        <v>0</v>
      </c>
      <c r="AL65" s="357">
        <v>0</v>
      </c>
      <c r="AM65" s="357">
        <v>128</v>
      </c>
      <c r="AN65" s="357">
        <v>0</v>
      </c>
    </row>
    <row r="66" spans="3:40" x14ac:dyDescent="0.3">
      <c r="C66" s="357">
        <v>9</v>
      </c>
      <c r="D66" s="357">
        <v>8</v>
      </c>
      <c r="E66" s="357">
        <v>3</v>
      </c>
      <c r="F66" s="357">
        <v>735</v>
      </c>
      <c r="G66" s="357">
        <v>0</v>
      </c>
      <c r="H66" s="357">
        <v>0</v>
      </c>
      <c r="I66" s="357">
        <v>0</v>
      </c>
      <c r="J66" s="357">
        <v>0</v>
      </c>
      <c r="K66" s="357">
        <v>705</v>
      </c>
      <c r="L66" s="357">
        <v>30</v>
      </c>
      <c r="M66" s="357">
        <v>0</v>
      </c>
      <c r="N66" s="357">
        <v>0</v>
      </c>
      <c r="O66" s="357">
        <v>0</v>
      </c>
      <c r="P66" s="357">
        <v>0</v>
      </c>
      <c r="Q66" s="357">
        <v>0</v>
      </c>
      <c r="R66" s="357">
        <v>0</v>
      </c>
      <c r="S66" s="357">
        <v>0</v>
      </c>
      <c r="T66" s="357">
        <v>0</v>
      </c>
      <c r="U66" s="357">
        <v>0</v>
      </c>
      <c r="V66" s="357">
        <v>0</v>
      </c>
      <c r="W66" s="357">
        <v>0</v>
      </c>
      <c r="X66" s="357">
        <v>0</v>
      </c>
      <c r="Y66" s="357">
        <v>0</v>
      </c>
      <c r="Z66" s="357">
        <v>0</v>
      </c>
      <c r="AA66" s="357">
        <v>0</v>
      </c>
      <c r="AB66" s="357">
        <v>0</v>
      </c>
      <c r="AC66" s="357">
        <v>0</v>
      </c>
      <c r="AD66" s="357">
        <v>0</v>
      </c>
      <c r="AE66" s="357">
        <v>0</v>
      </c>
      <c r="AF66" s="357">
        <v>0</v>
      </c>
      <c r="AG66" s="357">
        <v>0</v>
      </c>
      <c r="AH66" s="357">
        <v>0</v>
      </c>
      <c r="AI66" s="357">
        <v>0</v>
      </c>
      <c r="AJ66" s="357">
        <v>0</v>
      </c>
      <c r="AK66" s="357">
        <v>0</v>
      </c>
      <c r="AL66" s="357">
        <v>0</v>
      </c>
      <c r="AM66" s="357">
        <v>0</v>
      </c>
      <c r="AN66" s="357">
        <v>0</v>
      </c>
    </row>
    <row r="67" spans="3:40" x14ac:dyDescent="0.3">
      <c r="C67" s="357">
        <v>9</v>
      </c>
      <c r="D67" s="357">
        <v>8</v>
      </c>
      <c r="E67" s="357">
        <v>4</v>
      </c>
      <c r="F67" s="357">
        <v>850</v>
      </c>
      <c r="G67" s="357">
        <v>0</v>
      </c>
      <c r="H67" s="357">
        <v>230</v>
      </c>
      <c r="I67" s="357">
        <v>0</v>
      </c>
      <c r="J67" s="357">
        <v>0</v>
      </c>
      <c r="K67" s="357">
        <v>595</v>
      </c>
      <c r="L67" s="357">
        <v>25</v>
      </c>
      <c r="M67" s="357">
        <v>0</v>
      </c>
      <c r="N67" s="357">
        <v>0</v>
      </c>
      <c r="O67" s="357">
        <v>0</v>
      </c>
      <c r="P67" s="357">
        <v>0</v>
      </c>
      <c r="Q67" s="357">
        <v>0</v>
      </c>
      <c r="R67" s="357">
        <v>0</v>
      </c>
      <c r="S67" s="357">
        <v>0</v>
      </c>
      <c r="T67" s="357">
        <v>0</v>
      </c>
      <c r="U67" s="357">
        <v>0</v>
      </c>
      <c r="V67" s="357">
        <v>0</v>
      </c>
      <c r="W67" s="357">
        <v>0</v>
      </c>
      <c r="X67" s="357">
        <v>0</v>
      </c>
      <c r="Y67" s="357">
        <v>0</v>
      </c>
      <c r="Z67" s="357">
        <v>0</v>
      </c>
      <c r="AA67" s="357">
        <v>0</v>
      </c>
      <c r="AB67" s="357">
        <v>0</v>
      </c>
      <c r="AC67" s="357">
        <v>0</v>
      </c>
      <c r="AD67" s="357">
        <v>0</v>
      </c>
      <c r="AE67" s="357">
        <v>0</v>
      </c>
      <c r="AF67" s="357">
        <v>0</v>
      </c>
      <c r="AG67" s="357">
        <v>0</v>
      </c>
      <c r="AH67" s="357">
        <v>0</v>
      </c>
      <c r="AI67" s="357">
        <v>0</v>
      </c>
      <c r="AJ67" s="357">
        <v>0</v>
      </c>
      <c r="AK67" s="357">
        <v>0</v>
      </c>
      <c r="AL67" s="357">
        <v>0</v>
      </c>
      <c r="AM67" s="357">
        <v>0</v>
      </c>
      <c r="AN67" s="357">
        <v>0</v>
      </c>
    </row>
    <row r="68" spans="3:40" x14ac:dyDescent="0.3">
      <c r="C68" s="357">
        <v>9</v>
      </c>
      <c r="D68" s="357">
        <v>8</v>
      </c>
      <c r="E68" s="357">
        <v>5</v>
      </c>
      <c r="F68" s="357">
        <v>48</v>
      </c>
      <c r="G68" s="357">
        <v>48</v>
      </c>
      <c r="H68" s="357">
        <v>0</v>
      </c>
      <c r="I68" s="357">
        <v>0</v>
      </c>
      <c r="J68" s="357">
        <v>0</v>
      </c>
      <c r="K68" s="357">
        <v>0</v>
      </c>
      <c r="L68" s="357">
        <v>0</v>
      </c>
      <c r="M68" s="357">
        <v>0</v>
      </c>
      <c r="N68" s="357">
        <v>0</v>
      </c>
      <c r="O68" s="357">
        <v>0</v>
      </c>
      <c r="P68" s="357">
        <v>0</v>
      </c>
      <c r="Q68" s="357">
        <v>0</v>
      </c>
      <c r="R68" s="357">
        <v>0</v>
      </c>
      <c r="S68" s="357">
        <v>0</v>
      </c>
      <c r="T68" s="357">
        <v>0</v>
      </c>
      <c r="U68" s="357">
        <v>0</v>
      </c>
      <c r="V68" s="357">
        <v>0</v>
      </c>
      <c r="W68" s="357">
        <v>0</v>
      </c>
      <c r="X68" s="357">
        <v>0</v>
      </c>
      <c r="Y68" s="357">
        <v>0</v>
      </c>
      <c r="Z68" s="357">
        <v>0</v>
      </c>
      <c r="AA68" s="357">
        <v>0</v>
      </c>
      <c r="AB68" s="357">
        <v>0</v>
      </c>
      <c r="AC68" s="357">
        <v>0</v>
      </c>
      <c r="AD68" s="357">
        <v>0</v>
      </c>
      <c r="AE68" s="357">
        <v>0</v>
      </c>
      <c r="AF68" s="357">
        <v>0</v>
      </c>
      <c r="AG68" s="357">
        <v>0</v>
      </c>
      <c r="AH68" s="357">
        <v>0</v>
      </c>
      <c r="AI68" s="357">
        <v>0</v>
      </c>
      <c r="AJ68" s="357">
        <v>0</v>
      </c>
      <c r="AK68" s="357">
        <v>0</v>
      </c>
      <c r="AL68" s="357">
        <v>0</v>
      </c>
      <c r="AM68" s="357">
        <v>0</v>
      </c>
      <c r="AN68" s="357">
        <v>0</v>
      </c>
    </row>
    <row r="69" spans="3:40" x14ac:dyDescent="0.3">
      <c r="C69" s="357">
        <v>9</v>
      </c>
      <c r="D69" s="357">
        <v>8</v>
      </c>
      <c r="E69" s="357">
        <v>6</v>
      </c>
      <c r="F69" s="357">
        <v>2530954</v>
      </c>
      <c r="G69" s="357">
        <v>12120</v>
      </c>
      <c r="H69" s="357">
        <v>645187</v>
      </c>
      <c r="I69" s="357">
        <v>0</v>
      </c>
      <c r="J69" s="357">
        <v>0</v>
      </c>
      <c r="K69" s="357">
        <v>1751888</v>
      </c>
      <c r="L69" s="357">
        <v>42746</v>
      </c>
      <c r="M69" s="357">
        <v>0</v>
      </c>
      <c r="N69" s="357">
        <v>0</v>
      </c>
      <c r="O69" s="357">
        <v>0</v>
      </c>
      <c r="P69" s="357">
        <v>0</v>
      </c>
      <c r="Q69" s="357">
        <v>0</v>
      </c>
      <c r="R69" s="357">
        <v>0</v>
      </c>
      <c r="S69" s="357">
        <v>0</v>
      </c>
      <c r="T69" s="357">
        <v>0</v>
      </c>
      <c r="U69" s="357">
        <v>0</v>
      </c>
      <c r="V69" s="357">
        <v>0</v>
      </c>
      <c r="W69" s="357">
        <v>0</v>
      </c>
      <c r="X69" s="357">
        <v>0</v>
      </c>
      <c r="Y69" s="357">
        <v>0</v>
      </c>
      <c r="Z69" s="357">
        <v>0</v>
      </c>
      <c r="AA69" s="357">
        <v>0</v>
      </c>
      <c r="AB69" s="357">
        <v>0</v>
      </c>
      <c r="AC69" s="357">
        <v>0</v>
      </c>
      <c r="AD69" s="357">
        <v>0</v>
      </c>
      <c r="AE69" s="357">
        <v>0</v>
      </c>
      <c r="AF69" s="357">
        <v>0</v>
      </c>
      <c r="AG69" s="357">
        <v>0</v>
      </c>
      <c r="AH69" s="357">
        <v>57629</v>
      </c>
      <c r="AI69" s="357">
        <v>0</v>
      </c>
      <c r="AJ69" s="357">
        <v>0</v>
      </c>
      <c r="AK69" s="357">
        <v>0</v>
      </c>
      <c r="AL69" s="357">
        <v>0</v>
      </c>
      <c r="AM69" s="357">
        <v>21384</v>
      </c>
      <c r="AN69" s="357">
        <v>0</v>
      </c>
    </row>
    <row r="70" spans="3:40" x14ac:dyDescent="0.3">
      <c r="C70" s="357">
        <v>9</v>
      </c>
      <c r="D70" s="357">
        <v>8</v>
      </c>
      <c r="E70" s="357">
        <v>11</v>
      </c>
      <c r="F70" s="357">
        <v>4469.833333333333</v>
      </c>
      <c r="G70" s="357">
        <v>0</v>
      </c>
      <c r="H70" s="357">
        <v>2803.1666666666665</v>
      </c>
      <c r="I70" s="357">
        <v>0</v>
      </c>
      <c r="J70" s="357">
        <v>0</v>
      </c>
      <c r="K70" s="357">
        <v>1666.6666666666667</v>
      </c>
      <c r="L70" s="357">
        <v>0</v>
      </c>
      <c r="M70" s="357">
        <v>0</v>
      </c>
      <c r="N70" s="357">
        <v>0</v>
      </c>
      <c r="O70" s="357">
        <v>0</v>
      </c>
      <c r="P70" s="357">
        <v>0</v>
      </c>
      <c r="Q70" s="357">
        <v>0</v>
      </c>
      <c r="R70" s="357">
        <v>0</v>
      </c>
      <c r="S70" s="357">
        <v>0</v>
      </c>
      <c r="T70" s="357">
        <v>0</v>
      </c>
      <c r="U70" s="357">
        <v>0</v>
      </c>
      <c r="V70" s="357">
        <v>0</v>
      </c>
      <c r="W70" s="357">
        <v>0</v>
      </c>
      <c r="X70" s="357">
        <v>0</v>
      </c>
      <c r="Y70" s="357">
        <v>0</v>
      </c>
      <c r="Z70" s="357">
        <v>0</v>
      </c>
      <c r="AA70" s="357">
        <v>0</v>
      </c>
      <c r="AB70" s="357">
        <v>0</v>
      </c>
      <c r="AC70" s="357">
        <v>0</v>
      </c>
      <c r="AD70" s="357">
        <v>0</v>
      </c>
      <c r="AE70" s="357">
        <v>0</v>
      </c>
      <c r="AF70" s="357">
        <v>0</v>
      </c>
      <c r="AG70" s="357">
        <v>0</v>
      </c>
      <c r="AH70" s="357">
        <v>0</v>
      </c>
      <c r="AI70" s="357">
        <v>0</v>
      </c>
      <c r="AJ70" s="357">
        <v>0</v>
      </c>
      <c r="AK70" s="357">
        <v>0</v>
      </c>
      <c r="AL70" s="357">
        <v>0</v>
      </c>
      <c r="AM70" s="357">
        <v>0</v>
      </c>
      <c r="AN70" s="357">
        <v>0</v>
      </c>
    </row>
    <row r="71" spans="3:40" x14ac:dyDescent="0.3">
      <c r="C71" s="357">
        <v>9</v>
      </c>
      <c r="D71" s="357">
        <v>9</v>
      </c>
      <c r="E71" s="357">
        <v>1</v>
      </c>
      <c r="F71" s="357">
        <v>66</v>
      </c>
      <c r="G71" s="357">
        <v>0</v>
      </c>
      <c r="H71" s="357">
        <v>9.5</v>
      </c>
      <c r="I71" s="357">
        <v>0</v>
      </c>
      <c r="J71" s="357">
        <v>0</v>
      </c>
      <c r="K71" s="357">
        <v>50</v>
      </c>
      <c r="L71" s="357">
        <v>1.5</v>
      </c>
      <c r="M71" s="357">
        <v>0</v>
      </c>
      <c r="N71" s="357">
        <v>0</v>
      </c>
      <c r="O71" s="357">
        <v>0</v>
      </c>
      <c r="P71" s="357">
        <v>0</v>
      </c>
      <c r="Q71" s="357">
        <v>0</v>
      </c>
      <c r="R71" s="357">
        <v>0</v>
      </c>
      <c r="S71" s="357">
        <v>0</v>
      </c>
      <c r="T71" s="357">
        <v>0</v>
      </c>
      <c r="U71" s="357">
        <v>0</v>
      </c>
      <c r="V71" s="357">
        <v>0</v>
      </c>
      <c r="W71" s="357">
        <v>0</v>
      </c>
      <c r="X71" s="357">
        <v>0</v>
      </c>
      <c r="Y71" s="357">
        <v>0</v>
      </c>
      <c r="Z71" s="357">
        <v>0</v>
      </c>
      <c r="AA71" s="357">
        <v>0</v>
      </c>
      <c r="AB71" s="357">
        <v>0</v>
      </c>
      <c r="AC71" s="357">
        <v>0</v>
      </c>
      <c r="AD71" s="357">
        <v>0</v>
      </c>
      <c r="AE71" s="357">
        <v>0</v>
      </c>
      <c r="AF71" s="357">
        <v>0</v>
      </c>
      <c r="AG71" s="357">
        <v>0</v>
      </c>
      <c r="AH71" s="357">
        <v>4</v>
      </c>
      <c r="AI71" s="357">
        <v>0</v>
      </c>
      <c r="AJ71" s="357">
        <v>0</v>
      </c>
      <c r="AK71" s="357">
        <v>0</v>
      </c>
      <c r="AL71" s="357">
        <v>0</v>
      </c>
      <c r="AM71" s="357">
        <v>1</v>
      </c>
      <c r="AN71" s="357">
        <v>0</v>
      </c>
    </row>
    <row r="72" spans="3:40" x14ac:dyDescent="0.3">
      <c r="C72" s="357">
        <v>9</v>
      </c>
      <c r="D72" s="357">
        <v>9</v>
      </c>
      <c r="E72" s="357">
        <v>2</v>
      </c>
      <c r="F72" s="357">
        <v>9379.1299999999992</v>
      </c>
      <c r="G72" s="357">
        <v>0</v>
      </c>
      <c r="H72" s="357">
        <v>1580</v>
      </c>
      <c r="I72" s="357">
        <v>0</v>
      </c>
      <c r="J72" s="357">
        <v>0</v>
      </c>
      <c r="K72" s="357">
        <v>6877.38</v>
      </c>
      <c r="L72" s="357">
        <v>153.75</v>
      </c>
      <c r="M72" s="357">
        <v>0</v>
      </c>
      <c r="N72" s="357">
        <v>0</v>
      </c>
      <c r="O72" s="357">
        <v>0</v>
      </c>
      <c r="P72" s="357">
        <v>0</v>
      </c>
      <c r="Q72" s="357">
        <v>0</v>
      </c>
      <c r="R72" s="357">
        <v>0</v>
      </c>
      <c r="S72" s="357">
        <v>0</v>
      </c>
      <c r="T72" s="357">
        <v>0</v>
      </c>
      <c r="U72" s="357">
        <v>0</v>
      </c>
      <c r="V72" s="357">
        <v>0</v>
      </c>
      <c r="W72" s="357">
        <v>0</v>
      </c>
      <c r="X72" s="357">
        <v>0</v>
      </c>
      <c r="Y72" s="357">
        <v>0</v>
      </c>
      <c r="Z72" s="357">
        <v>0</v>
      </c>
      <c r="AA72" s="357">
        <v>0</v>
      </c>
      <c r="AB72" s="357">
        <v>0</v>
      </c>
      <c r="AC72" s="357">
        <v>0</v>
      </c>
      <c r="AD72" s="357">
        <v>0</v>
      </c>
      <c r="AE72" s="357">
        <v>0</v>
      </c>
      <c r="AF72" s="357">
        <v>0</v>
      </c>
      <c r="AG72" s="357">
        <v>0</v>
      </c>
      <c r="AH72" s="357">
        <v>632</v>
      </c>
      <c r="AI72" s="357">
        <v>0</v>
      </c>
      <c r="AJ72" s="357">
        <v>0</v>
      </c>
      <c r="AK72" s="357">
        <v>0</v>
      </c>
      <c r="AL72" s="357">
        <v>0</v>
      </c>
      <c r="AM72" s="357">
        <v>136</v>
      </c>
      <c r="AN72" s="357">
        <v>0</v>
      </c>
    </row>
    <row r="73" spans="3:40" x14ac:dyDescent="0.3">
      <c r="C73" s="357">
        <v>9</v>
      </c>
      <c r="D73" s="357">
        <v>9</v>
      </c>
      <c r="E73" s="357">
        <v>3</v>
      </c>
      <c r="F73" s="357">
        <v>349</v>
      </c>
      <c r="G73" s="357">
        <v>0</v>
      </c>
      <c r="H73" s="357">
        <v>12</v>
      </c>
      <c r="I73" s="357">
        <v>0</v>
      </c>
      <c r="J73" s="357">
        <v>0</v>
      </c>
      <c r="K73" s="357">
        <v>317</v>
      </c>
      <c r="L73" s="357">
        <v>20</v>
      </c>
      <c r="M73" s="357">
        <v>0</v>
      </c>
      <c r="N73" s="357">
        <v>0</v>
      </c>
      <c r="O73" s="357">
        <v>0</v>
      </c>
      <c r="P73" s="357">
        <v>0</v>
      </c>
      <c r="Q73" s="357">
        <v>0</v>
      </c>
      <c r="R73" s="357">
        <v>0</v>
      </c>
      <c r="S73" s="357">
        <v>0</v>
      </c>
      <c r="T73" s="357">
        <v>0</v>
      </c>
      <c r="U73" s="357">
        <v>0</v>
      </c>
      <c r="V73" s="357">
        <v>0</v>
      </c>
      <c r="W73" s="357">
        <v>0</v>
      </c>
      <c r="X73" s="357">
        <v>0</v>
      </c>
      <c r="Y73" s="357">
        <v>0</v>
      </c>
      <c r="Z73" s="357">
        <v>0</v>
      </c>
      <c r="AA73" s="357">
        <v>0</v>
      </c>
      <c r="AB73" s="357">
        <v>0</v>
      </c>
      <c r="AC73" s="357">
        <v>0</v>
      </c>
      <c r="AD73" s="357">
        <v>0</v>
      </c>
      <c r="AE73" s="357">
        <v>0</v>
      </c>
      <c r="AF73" s="357">
        <v>0</v>
      </c>
      <c r="AG73" s="357">
        <v>0</v>
      </c>
      <c r="AH73" s="357">
        <v>0</v>
      </c>
      <c r="AI73" s="357">
        <v>0</v>
      </c>
      <c r="AJ73" s="357">
        <v>0</v>
      </c>
      <c r="AK73" s="357">
        <v>0</v>
      </c>
      <c r="AL73" s="357">
        <v>0</v>
      </c>
      <c r="AM73" s="357">
        <v>0</v>
      </c>
      <c r="AN73" s="357">
        <v>0</v>
      </c>
    </row>
    <row r="74" spans="3:40" x14ac:dyDescent="0.3">
      <c r="C74" s="357">
        <v>9</v>
      </c>
      <c r="D74" s="357">
        <v>9</v>
      </c>
      <c r="E74" s="357">
        <v>4</v>
      </c>
      <c r="F74" s="357">
        <v>223</v>
      </c>
      <c r="G74" s="357">
        <v>0</v>
      </c>
      <c r="H74" s="357">
        <v>223</v>
      </c>
      <c r="I74" s="357">
        <v>0</v>
      </c>
      <c r="J74" s="357">
        <v>0</v>
      </c>
      <c r="K74" s="357">
        <v>0</v>
      </c>
      <c r="L74" s="357">
        <v>0</v>
      </c>
      <c r="M74" s="357">
        <v>0</v>
      </c>
      <c r="N74" s="357">
        <v>0</v>
      </c>
      <c r="O74" s="357">
        <v>0</v>
      </c>
      <c r="P74" s="357">
        <v>0</v>
      </c>
      <c r="Q74" s="357">
        <v>0</v>
      </c>
      <c r="R74" s="357">
        <v>0</v>
      </c>
      <c r="S74" s="357">
        <v>0</v>
      </c>
      <c r="T74" s="357">
        <v>0</v>
      </c>
      <c r="U74" s="357">
        <v>0</v>
      </c>
      <c r="V74" s="357">
        <v>0</v>
      </c>
      <c r="W74" s="357">
        <v>0</v>
      </c>
      <c r="X74" s="357">
        <v>0</v>
      </c>
      <c r="Y74" s="357">
        <v>0</v>
      </c>
      <c r="Z74" s="357">
        <v>0</v>
      </c>
      <c r="AA74" s="357">
        <v>0</v>
      </c>
      <c r="AB74" s="357">
        <v>0</v>
      </c>
      <c r="AC74" s="357">
        <v>0</v>
      </c>
      <c r="AD74" s="357">
        <v>0</v>
      </c>
      <c r="AE74" s="357">
        <v>0</v>
      </c>
      <c r="AF74" s="357">
        <v>0</v>
      </c>
      <c r="AG74" s="357">
        <v>0</v>
      </c>
      <c r="AH74" s="357">
        <v>0</v>
      </c>
      <c r="AI74" s="357">
        <v>0</v>
      </c>
      <c r="AJ74" s="357">
        <v>0</v>
      </c>
      <c r="AK74" s="357">
        <v>0</v>
      </c>
      <c r="AL74" s="357">
        <v>0</v>
      </c>
      <c r="AM74" s="357">
        <v>0</v>
      </c>
      <c r="AN74" s="357">
        <v>0</v>
      </c>
    </row>
    <row r="75" spans="3:40" x14ac:dyDescent="0.3">
      <c r="C75" s="357">
        <v>9</v>
      </c>
      <c r="D75" s="357">
        <v>9</v>
      </c>
      <c r="E75" s="357">
        <v>5</v>
      </c>
      <c r="F75" s="357">
        <v>36</v>
      </c>
      <c r="G75" s="357">
        <v>36</v>
      </c>
      <c r="H75" s="357">
        <v>0</v>
      </c>
      <c r="I75" s="357">
        <v>0</v>
      </c>
      <c r="J75" s="357">
        <v>0</v>
      </c>
      <c r="K75" s="357">
        <v>0</v>
      </c>
      <c r="L75" s="357">
        <v>0</v>
      </c>
      <c r="M75" s="357">
        <v>0</v>
      </c>
      <c r="N75" s="357">
        <v>0</v>
      </c>
      <c r="O75" s="357">
        <v>0</v>
      </c>
      <c r="P75" s="357">
        <v>0</v>
      </c>
      <c r="Q75" s="357">
        <v>0</v>
      </c>
      <c r="R75" s="357">
        <v>0</v>
      </c>
      <c r="S75" s="357">
        <v>0</v>
      </c>
      <c r="T75" s="357">
        <v>0</v>
      </c>
      <c r="U75" s="357">
        <v>0</v>
      </c>
      <c r="V75" s="357">
        <v>0</v>
      </c>
      <c r="W75" s="357">
        <v>0</v>
      </c>
      <c r="X75" s="357">
        <v>0</v>
      </c>
      <c r="Y75" s="357">
        <v>0</v>
      </c>
      <c r="Z75" s="357">
        <v>0</v>
      </c>
      <c r="AA75" s="357">
        <v>0</v>
      </c>
      <c r="AB75" s="357">
        <v>0</v>
      </c>
      <c r="AC75" s="357">
        <v>0</v>
      </c>
      <c r="AD75" s="357">
        <v>0</v>
      </c>
      <c r="AE75" s="357">
        <v>0</v>
      </c>
      <c r="AF75" s="357">
        <v>0</v>
      </c>
      <c r="AG75" s="357">
        <v>0</v>
      </c>
      <c r="AH75" s="357">
        <v>0</v>
      </c>
      <c r="AI75" s="357">
        <v>0</v>
      </c>
      <c r="AJ75" s="357">
        <v>0</v>
      </c>
      <c r="AK75" s="357">
        <v>0</v>
      </c>
      <c r="AL75" s="357">
        <v>0</v>
      </c>
      <c r="AM75" s="357">
        <v>0</v>
      </c>
      <c r="AN75" s="357">
        <v>0</v>
      </c>
    </row>
    <row r="76" spans="3:40" x14ac:dyDescent="0.3">
      <c r="C76" s="357">
        <v>9</v>
      </c>
      <c r="D76" s="357">
        <v>9</v>
      </c>
      <c r="E76" s="357">
        <v>6</v>
      </c>
      <c r="F76" s="357">
        <v>2419773</v>
      </c>
      <c r="G76" s="357">
        <v>9120</v>
      </c>
      <c r="H76" s="357">
        <v>722298</v>
      </c>
      <c r="I76" s="357">
        <v>0</v>
      </c>
      <c r="J76" s="357">
        <v>0</v>
      </c>
      <c r="K76" s="357">
        <v>1570211</v>
      </c>
      <c r="L76" s="357">
        <v>38746</v>
      </c>
      <c r="M76" s="357">
        <v>0</v>
      </c>
      <c r="N76" s="357">
        <v>0</v>
      </c>
      <c r="O76" s="357">
        <v>0</v>
      </c>
      <c r="P76" s="357">
        <v>0</v>
      </c>
      <c r="Q76" s="357">
        <v>0</v>
      </c>
      <c r="R76" s="357">
        <v>0</v>
      </c>
      <c r="S76" s="357">
        <v>0</v>
      </c>
      <c r="T76" s="357">
        <v>0</v>
      </c>
      <c r="U76" s="357">
        <v>0</v>
      </c>
      <c r="V76" s="357">
        <v>0</v>
      </c>
      <c r="W76" s="357">
        <v>0</v>
      </c>
      <c r="X76" s="357">
        <v>0</v>
      </c>
      <c r="Y76" s="357">
        <v>0</v>
      </c>
      <c r="Z76" s="357">
        <v>0</v>
      </c>
      <c r="AA76" s="357">
        <v>0</v>
      </c>
      <c r="AB76" s="357">
        <v>0</v>
      </c>
      <c r="AC76" s="357">
        <v>0</v>
      </c>
      <c r="AD76" s="357">
        <v>0</v>
      </c>
      <c r="AE76" s="357">
        <v>0</v>
      </c>
      <c r="AF76" s="357">
        <v>0</v>
      </c>
      <c r="AG76" s="357">
        <v>0</v>
      </c>
      <c r="AH76" s="357">
        <v>57781</v>
      </c>
      <c r="AI76" s="357">
        <v>0</v>
      </c>
      <c r="AJ76" s="357">
        <v>0</v>
      </c>
      <c r="AK76" s="357">
        <v>0</v>
      </c>
      <c r="AL76" s="357">
        <v>0</v>
      </c>
      <c r="AM76" s="357">
        <v>21617</v>
      </c>
      <c r="AN76" s="357">
        <v>0</v>
      </c>
    </row>
    <row r="77" spans="3:40" x14ac:dyDescent="0.3">
      <c r="C77" s="357">
        <v>9</v>
      </c>
      <c r="D77" s="357">
        <v>9</v>
      </c>
      <c r="E77" s="357">
        <v>9</v>
      </c>
      <c r="F77" s="357">
        <v>41360</v>
      </c>
      <c r="G77" s="357">
        <v>0</v>
      </c>
      <c r="H77" s="357">
        <v>41360</v>
      </c>
      <c r="I77" s="357">
        <v>0</v>
      </c>
      <c r="J77" s="357">
        <v>0</v>
      </c>
      <c r="K77" s="357">
        <v>0</v>
      </c>
      <c r="L77" s="357">
        <v>0</v>
      </c>
      <c r="M77" s="357">
        <v>0</v>
      </c>
      <c r="N77" s="357">
        <v>0</v>
      </c>
      <c r="O77" s="357">
        <v>0</v>
      </c>
      <c r="P77" s="357">
        <v>0</v>
      </c>
      <c r="Q77" s="357">
        <v>0</v>
      </c>
      <c r="R77" s="357">
        <v>0</v>
      </c>
      <c r="S77" s="357">
        <v>0</v>
      </c>
      <c r="T77" s="357">
        <v>0</v>
      </c>
      <c r="U77" s="357">
        <v>0</v>
      </c>
      <c r="V77" s="357">
        <v>0</v>
      </c>
      <c r="W77" s="357">
        <v>0</v>
      </c>
      <c r="X77" s="357">
        <v>0</v>
      </c>
      <c r="Y77" s="357">
        <v>0</v>
      </c>
      <c r="Z77" s="357">
        <v>0</v>
      </c>
      <c r="AA77" s="357">
        <v>0</v>
      </c>
      <c r="AB77" s="357">
        <v>0</v>
      </c>
      <c r="AC77" s="357">
        <v>0</v>
      </c>
      <c r="AD77" s="357">
        <v>0</v>
      </c>
      <c r="AE77" s="357">
        <v>0</v>
      </c>
      <c r="AF77" s="357">
        <v>0</v>
      </c>
      <c r="AG77" s="357">
        <v>0</v>
      </c>
      <c r="AH77" s="357">
        <v>0</v>
      </c>
      <c r="AI77" s="357">
        <v>0</v>
      </c>
      <c r="AJ77" s="357">
        <v>0</v>
      </c>
      <c r="AK77" s="357">
        <v>0</v>
      </c>
      <c r="AL77" s="357">
        <v>0</v>
      </c>
      <c r="AM77" s="357">
        <v>0</v>
      </c>
      <c r="AN77" s="357">
        <v>0</v>
      </c>
    </row>
    <row r="78" spans="3:40" x14ac:dyDescent="0.3">
      <c r="C78" s="357">
        <v>9</v>
      </c>
      <c r="D78" s="357">
        <v>9</v>
      </c>
      <c r="E78" s="357">
        <v>10</v>
      </c>
      <c r="F78" s="357">
        <v>4400</v>
      </c>
      <c r="G78" s="357">
        <v>0</v>
      </c>
      <c r="H78" s="357">
        <v>0</v>
      </c>
      <c r="I78" s="357">
        <v>0</v>
      </c>
      <c r="J78" s="357">
        <v>0</v>
      </c>
      <c r="K78" s="357">
        <v>4400</v>
      </c>
      <c r="L78" s="357">
        <v>0</v>
      </c>
      <c r="M78" s="357">
        <v>0</v>
      </c>
      <c r="N78" s="357">
        <v>0</v>
      </c>
      <c r="O78" s="357">
        <v>0</v>
      </c>
      <c r="P78" s="357">
        <v>0</v>
      </c>
      <c r="Q78" s="357">
        <v>0</v>
      </c>
      <c r="R78" s="357">
        <v>0</v>
      </c>
      <c r="S78" s="357">
        <v>0</v>
      </c>
      <c r="T78" s="357">
        <v>0</v>
      </c>
      <c r="U78" s="357">
        <v>0</v>
      </c>
      <c r="V78" s="357">
        <v>0</v>
      </c>
      <c r="W78" s="357">
        <v>0</v>
      </c>
      <c r="X78" s="357">
        <v>0</v>
      </c>
      <c r="Y78" s="357">
        <v>0</v>
      </c>
      <c r="Z78" s="357">
        <v>0</v>
      </c>
      <c r="AA78" s="357">
        <v>0</v>
      </c>
      <c r="AB78" s="357">
        <v>0</v>
      </c>
      <c r="AC78" s="357">
        <v>0</v>
      </c>
      <c r="AD78" s="357">
        <v>0</v>
      </c>
      <c r="AE78" s="357">
        <v>0</v>
      </c>
      <c r="AF78" s="357">
        <v>0</v>
      </c>
      <c r="AG78" s="357">
        <v>0</v>
      </c>
      <c r="AH78" s="357">
        <v>0</v>
      </c>
      <c r="AI78" s="357">
        <v>0</v>
      </c>
      <c r="AJ78" s="357">
        <v>0</v>
      </c>
      <c r="AK78" s="357">
        <v>0</v>
      </c>
      <c r="AL78" s="357">
        <v>0</v>
      </c>
      <c r="AM78" s="357">
        <v>0</v>
      </c>
      <c r="AN78" s="357">
        <v>0</v>
      </c>
    </row>
    <row r="79" spans="3:40" x14ac:dyDescent="0.3">
      <c r="C79" s="357">
        <v>9</v>
      </c>
      <c r="D79" s="357">
        <v>9</v>
      </c>
      <c r="E79" s="357">
        <v>11</v>
      </c>
      <c r="F79" s="357">
        <v>4469.833333333333</v>
      </c>
      <c r="G79" s="357">
        <v>0</v>
      </c>
      <c r="H79" s="357">
        <v>2803.1666666666665</v>
      </c>
      <c r="I79" s="357">
        <v>0</v>
      </c>
      <c r="J79" s="357">
        <v>0</v>
      </c>
      <c r="K79" s="357">
        <v>1666.6666666666667</v>
      </c>
      <c r="L79" s="357">
        <v>0</v>
      </c>
      <c r="M79" s="357">
        <v>0</v>
      </c>
      <c r="N79" s="357">
        <v>0</v>
      </c>
      <c r="O79" s="357">
        <v>0</v>
      </c>
      <c r="P79" s="357">
        <v>0</v>
      </c>
      <c r="Q79" s="357">
        <v>0</v>
      </c>
      <c r="R79" s="357">
        <v>0</v>
      </c>
      <c r="S79" s="357">
        <v>0</v>
      </c>
      <c r="T79" s="357">
        <v>0</v>
      </c>
      <c r="U79" s="357">
        <v>0</v>
      </c>
      <c r="V79" s="357">
        <v>0</v>
      </c>
      <c r="W79" s="357">
        <v>0</v>
      </c>
      <c r="X79" s="357">
        <v>0</v>
      </c>
      <c r="Y79" s="357">
        <v>0</v>
      </c>
      <c r="Z79" s="357">
        <v>0</v>
      </c>
      <c r="AA79" s="357">
        <v>0</v>
      </c>
      <c r="AB79" s="357">
        <v>0</v>
      </c>
      <c r="AC79" s="357">
        <v>0</v>
      </c>
      <c r="AD79" s="357">
        <v>0</v>
      </c>
      <c r="AE79" s="357">
        <v>0</v>
      </c>
      <c r="AF79" s="357">
        <v>0</v>
      </c>
      <c r="AG79" s="357">
        <v>0</v>
      </c>
      <c r="AH79" s="357">
        <v>0</v>
      </c>
      <c r="AI79" s="357">
        <v>0</v>
      </c>
      <c r="AJ79" s="357">
        <v>0</v>
      </c>
      <c r="AK79" s="357">
        <v>0</v>
      </c>
      <c r="AL79" s="357">
        <v>0</v>
      </c>
      <c r="AM79" s="357">
        <v>0</v>
      </c>
      <c r="AN79" s="35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2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2" customWidth="1"/>
    <col min="20" max="16384" width="8.88671875" style="238"/>
  </cols>
  <sheetData>
    <row r="1" spans="1:19" ht="18.600000000000001" customHeight="1" thickBot="1" x14ac:dyDescent="0.4">
      <c r="A1" s="461" t="s">
        <v>140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</row>
    <row r="2" spans="1:19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  <c r="N2" s="334"/>
      <c r="O2" s="208"/>
      <c r="P2" s="334"/>
      <c r="Q2" s="208"/>
      <c r="R2" s="334"/>
      <c r="S2" s="335"/>
    </row>
    <row r="3" spans="1:19" ht="14.4" customHeight="1" thickBot="1" x14ac:dyDescent="0.35">
      <c r="A3" s="328" t="s">
        <v>142</v>
      </c>
      <c r="B3" s="329">
        <f>SUBTOTAL(9,B6:B1048576)</f>
        <v>54577322</v>
      </c>
      <c r="C3" s="330">
        <f t="shared" ref="C3:R3" si="0">SUBTOTAL(9,C6:C1048576)</f>
        <v>1</v>
      </c>
      <c r="D3" s="330">
        <f t="shared" si="0"/>
        <v>60827046</v>
      </c>
      <c r="E3" s="330">
        <f t="shared" si="0"/>
        <v>1.1145113715912993</v>
      </c>
      <c r="F3" s="330">
        <f t="shared" si="0"/>
        <v>57639273</v>
      </c>
      <c r="G3" s="333">
        <f>IF(B3&lt;&gt;0,F3/B3,"")</f>
        <v>1.0561029909089346</v>
      </c>
      <c r="H3" s="329">
        <f t="shared" si="0"/>
        <v>693038.14999999979</v>
      </c>
      <c r="I3" s="330">
        <f t="shared" si="0"/>
        <v>1</v>
      </c>
      <c r="J3" s="330">
        <f t="shared" si="0"/>
        <v>845720.81</v>
      </c>
      <c r="K3" s="330">
        <f t="shared" si="0"/>
        <v>1.2203091705701921</v>
      </c>
      <c r="L3" s="330">
        <f t="shared" si="0"/>
        <v>794419.83999999985</v>
      </c>
      <c r="M3" s="331">
        <f>IF(H3&lt;&gt;0,L3/H3,"")</f>
        <v>1.146285871852798</v>
      </c>
      <c r="N3" s="332">
        <f t="shared" si="0"/>
        <v>48111.38</v>
      </c>
      <c r="O3" s="330">
        <f t="shared" si="0"/>
        <v>1</v>
      </c>
      <c r="P3" s="330">
        <f t="shared" si="0"/>
        <v>226023.82</v>
      </c>
      <c r="Q3" s="330">
        <f t="shared" si="0"/>
        <v>4.6979284319011434</v>
      </c>
      <c r="R3" s="330">
        <f t="shared" si="0"/>
        <v>0</v>
      </c>
      <c r="S3" s="331">
        <f>IF(N3&lt;&gt;0,R3/N3,"")</f>
        <v>0</v>
      </c>
    </row>
    <row r="4" spans="1:19" ht="14.4" customHeight="1" x14ac:dyDescent="0.3">
      <c r="A4" s="510" t="s">
        <v>116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  <c r="N4" s="511" t="s">
        <v>112</v>
      </c>
      <c r="O4" s="512"/>
      <c r="P4" s="512"/>
      <c r="Q4" s="512"/>
      <c r="R4" s="512"/>
      <c r="S4" s="513"/>
    </row>
    <row r="5" spans="1:19" ht="14.4" customHeight="1" thickBot="1" x14ac:dyDescent="0.35">
      <c r="A5" s="695"/>
      <c r="B5" s="696">
        <v>2012</v>
      </c>
      <c r="C5" s="697"/>
      <c r="D5" s="697">
        <v>2013</v>
      </c>
      <c r="E5" s="697"/>
      <c r="F5" s="697">
        <v>2014</v>
      </c>
      <c r="G5" s="698" t="s">
        <v>2</v>
      </c>
      <c r="H5" s="696">
        <v>2012</v>
      </c>
      <c r="I5" s="697"/>
      <c r="J5" s="697">
        <v>2013</v>
      </c>
      <c r="K5" s="697"/>
      <c r="L5" s="697">
        <v>2014</v>
      </c>
      <c r="M5" s="698" t="s">
        <v>2</v>
      </c>
      <c r="N5" s="696">
        <v>2012</v>
      </c>
      <c r="O5" s="697"/>
      <c r="P5" s="697">
        <v>2013</v>
      </c>
      <c r="Q5" s="697"/>
      <c r="R5" s="697">
        <v>2014</v>
      </c>
      <c r="S5" s="698" t="s">
        <v>2</v>
      </c>
    </row>
    <row r="6" spans="1:19" ht="14.4" customHeight="1" x14ac:dyDescent="0.3">
      <c r="A6" s="637" t="s">
        <v>1726</v>
      </c>
      <c r="B6" s="699"/>
      <c r="C6" s="606"/>
      <c r="D6" s="699">
        <v>0</v>
      </c>
      <c r="E6" s="606"/>
      <c r="F6" s="699"/>
      <c r="G6" s="627"/>
      <c r="H6" s="699"/>
      <c r="I6" s="606"/>
      <c r="J6" s="699"/>
      <c r="K6" s="606"/>
      <c r="L6" s="699"/>
      <c r="M6" s="627"/>
      <c r="N6" s="699"/>
      <c r="O6" s="606"/>
      <c r="P6" s="699"/>
      <c r="Q6" s="606"/>
      <c r="R6" s="699"/>
      <c r="S6" s="650"/>
    </row>
    <row r="7" spans="1:19" ht="14.4" customHeight="1" thickBot="1" x14ac:dyDescent="0.35">
      <c r="A7" s="701" t="s">
        <v>1243</v>
      </c>
      <c r="B7" s="700">
        <v>54577322</v>
      </c>
      <c r="C7" s="618">
        <v>1</v>
      </c>
      <c r="D7" s="700">
        <v>60827046</v>
      </c>
      <c r="E7" s="618">
        <v>1.1145113715912993</v>
      </c>
      <c r="F7" s="700">
        <v>57639273</v>
      </c>
      <c r="G7" s="629">
        <v>1.0561029909089346</v>
      </c>
      <c r="H7" s="700">
        <v>693038.14999999979</v>
      </c>
      <c r="I7" s="618">
        <v>1</v>
      </c>
      <c r="J7" s="700">
        <v>845720.81</v>
      </c>
      <c r="K7" s="618">
        <v>1.2203091705701921</v>
      </c>
      <c r="L7" s="700">
        <v>794419.83999999985</v>
      </c>
      <c r="M7" s="629">
        <v>1.146285871852798</v>
      </c>
      <c r="N7" s="700">
        <v>48111.38</v>
      </c>
      <c r="O7" s="618">
        <v>1</v>
      </c>
      <c r="P7" s="700">
        <v>226023.82</v>
      </c>
      <c r="Q7" s="618">
        <v>4.6979284319011434</v>
      </c>
      <c r="R7" s="700"/>
      <c r="S7" s="6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52" t="s">
        <v>1915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39"/>
      <c r="C2" s="239"/>
      <c r="D2" s="239"/>
      <c r="E2" s="239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97" t="s">
        <v>142</v>
      </c>
      <c r="F3" s="195">
        <f t="shared" ref="F3:O3" si="0">SUBTOTAL(9,F6:F1048576)</f>
        <v>22909.199999999997</v>
      </c>
      <c r="G3" s="196">
        <f t="shared" si="0"/>
        <v>55318471.529999994</v>
      </c>
      <c r="H3" s="196"/>
      <c r="I3" s="196"/>
      <c r="J3" s="196">
        <f t="shared" si="0"/>
        <v>25198.199999999997</v>
      </c>
      <c r="K3" s="196">
        <f t="shared" si="0"/>
        <v>61898790.630000003</v>
      </c>
      <c r="L3" s="196"/>
      <c r="M3" s="196"/>
      <c r="N3" s="196">
        <f t="shared" si="0"/>
        <v>24107.439999999999</v>
      </c>
      <c r="O3" s="196">
        <f t="shared" si="0"/>
        <v>58433692.840000004</v>
      </c>
      <c r="P3" s="70">
        <f>IF(G3=0,0,O3/G3)</f>
        <v>1.0563143055807422</v>
      </c>
      <c r="Q3" s="197">
        <f>IF(N3=0,0,O3/N3)</f>
        <v>2423.8862707944108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17" t="s">
        <v>108</v>
      </c>
      <c r="E4" s="518" t="s">
        <v>68</v>
      </c>
      <c r="F4" s="519">
        <v>2012</v>
      </c>
      <c r="G4" s="520"/>
      <c r="H4" s="198"/>
      <c r="I4" s="198"/>
      <c r="J4" s="519">
        <v>2013</v>
      </c>
      <c r="K4" s="520"/>
      <c r="L4" s="198"/>
      <c r="M4" s="198"/>
      <c r="N4" s="519">
        <v>2014</v>
      </c>
      <c r="O4" s="520"/>
      <c r="P4" s="521" t="s">
        <v>2</v>
      </c>
      <c r="Q4" s="514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5" t="s">
        <v>1727</v>
      </c>
      <c r="B6" s="606" t="s">
        <v>1728</v>
      </c>
      <c r="C6" s="606" t="s">
        <v>1729</v>
      </c>
      <c r="D6" s="606" t="s">
        <v>1730</v>
      </c>
      <c r="E6" s="606" t="s">
        <v>1731</v>
      </c>
      <c r="F6" s="609"/>
      <c r="G6" s="609"/>
      <c r="H6" s="609"/>
      <c r="I6" s="609"/>
      <c r="J6" s="609">
        <v>2</v>
      </c>
      <c r="K6" s="609">
        <v>0</v>
      </c>
      <c r="L6" s="609"/>
      <c r="M6" s="609">
        <v>0</v>
      </c>
      <c r="N6" s="609"/>
      <c r="O6" s="609"/>
      <c r="P6" s="627"/>
      <c r="Q6" s="610"/>
    </row>
    <row r="7" spans="1:17" ht="14.4" customHeight="1" x14ac:dyDescent="0.3">
      <c r="A7" s="611" t="s">
        <v>550</v>
      </c>
      <c r="B7" s="612" t="s">
        <v>1732</v>
      </c>
      <c r="C7" s="612" t="s">
        <v>1729</v>
      </c>
      <c r="D7" s="612" t="s">
        <v>1733</v>
      </c>
      <c r="E7" s="612" t="s">
        <v>1734</v>
      </c>
      <c r="F7" s="615">
        <v>1</v>
      </c>
      <c r="G7" s="615">
        <v>328</v>
      </c>
      <c r="H7" s="615">
        <v>1</v>
      </c>
      <c r="I7" s="615">
        <v>328</v>
      </c>
      <c r="J7" s="615"/>
      <c r="K7" s="615"/>
      <c r="L7" s="615"/>
      <c r="M7" s="615"/>
      <c r="N7" s="615"/>
      <c r="O7" s="615"/>
      <c r="P7" s="628"/>
      <c r="Q7" s="616"/>
    </row>
    <row r="8" spans="1:17" ht="14.4" customHeight="1" x14ac:dyDescent="0.3">
      <c r="A8" s="611" t="s">
        <v>550</v>
      </c>
      <c r="B8" s="612" t="s">
        <v>1732</v>
      </c>
      <c r="C8" s="612" t="s">
        <v>1729</v>
      </c>
      <c r="D8" s="612" t="s">
        <v>1735</v>
      </c>
      <c r="E8" s="612" t="s">
        <v>1736</v>
      </c>
      <c r="F8" s="615">
        <v>1</v>
      </c>
      <c r="G8" s="615">
        <v>644</v>
      </c>
      <c r="H8" s="615">
        <v>1</v>
      </c>
      <c r="I8" s="615">
        <v>644</v>
      </c>
      <c r="J8" s="615"/>
      <c r="K8" s="615"/>
      <c r="L8" s="615"/>
      <c r="M8" s="615"/>
      <c r="N8" s="615"/>
      <c r="O8" s="615"/>
      <c r="P8" s="628"/>
      <c r="Q8" s="616"/>
    </row>
    <row r="9" spans="1:17" ht="14.4" customHeight="1" x14ac:dyDescent="0.3">
      <c r="A9" s="611" t="s">
        <v>550</v>
      </c>
      <c r="B9" s="612" t="s">
        <v>1737</v>
      </c>
      <c r="C9" s="612" t="s">
        <v>1738</v>
      </c>
      <c r="D9" s="612" t="s">
        <v>1739</v>
      </c>
      <c r="E9" s="612" t="s">
        <v>1214</v>
      </c>
      <c r="F9" s="615"/>
      <c r="G9" s="615"/>
      <c r="H9" s="615"/>
      <c r="I9" s="615"/>
      <c r="J9" s="615">
        <v>4</v>
      </c>
      <c r="K9" s="615">
        <v>2128.64</v>
      </c>
      <c r="L9" s="615"/>
      <c r="M9" s="615">
        <v>532.16</v>
      </c>
      <c r="N9" s="615"/>
      <c r="O9" s="615"/>
      <c r="P9" s="628"/>
      <c r="Q9" s="616"/>
    </row>
    <row r="10" spans="1:17" ht="14.4" customHeight="1" x14ac:dyDescent="0.3">
      <c r="A10" s="611" t="s">
        <v>550</v>
      </c>
      <c r="B10" s="612" t="s">
        <v>1737</v>
      </c>
      <c r="C10" s="612" t="s">
        <v>1738</v>
      </c>
      <c r="D10" s="612" t="s">
        <v>1740</v>
      </c>
      <c r="E10" s="612" t="s">
        <v>1148</v>
      </c>
      <c r="F10" s="615"/>
      <c r="G10" s="615"/>
      <c r="H10" s="615"/>
      <c r="I10" s="615"/>
      <c r="J10" s="615">
        <v>0.8</v>
      </c>
      <c r="K10" s="615">
        <v>863.44</v>
      </c>
      <c r="L10" s="615"/>
      <c r="M10" s="615">
        <v>1079.3</v>
      </c>
      <c r="N10" s="615"/>
      <c r="O10" s="615"/>
      <c r="P10" s="628"/>
      <c r="Q10" s="616"/>
    </row>
    <row r="11" spans="1:17" ht="14.4" customHeight="1" x14ac:dyDescent="0.3">
      <c r="A11" s="611" t="s">
        <v>550</v>
      </c>
      <c r="B11" s="612" t="s">
        <v>1737</v>
      </c>
      <c r="C11" s="612" t="s">
        <v>1738</v>
      </c>
      <c r="D11" s="612" t="s">
        <v>1741</v>
      </c>
      <c r="E11" s="612" t="s">
        <v>1742</v>
      </c>
      <c r="F11" s="615">
        <v>5.7</v>
      </c>
      <c r="G11" s="615">
        <v>666.47</v>
      </c>
      <c r="H11" s="615">
        <v>1</v>
      </c>
      <c r="I11" s="615">
        <v>116.92456140350878</v>
      </c>
      <c r="J11" s="615">
        <v>8.3999999999999986</v>
      </c>
      <c r="K11" s="615">
        <v>990.3599999999999</v>
      </c>
      <c r="L11" s="615">
        <v>1.485978363617267</v>
      </c>
      <c r="M11" s="615">
        <v>117.9</v>
      </c>
      <c r="N11" s="615">
        <v>3.5000000000000004</v>
      </c>
      <c r="O11" s="615">
        <v>494.20000000000005</v>
      </c>
      <c r="P11" s="628">
        <v>0.74151874803066908</v>
      </c>
      <c r="Q11" s="616">
        <v>141.19999999999999</v>
      </c>
    </row>
    <row r="12" spans="1:17" ht="14.4" customHeight="1" x14ac:dyDescent="0.3">
      <c r="A12" s="611" t="s">
        <v>550</v>
      </c>
      <c r="B12" s="612" t="s">
        <v>1737</v>
      </c>
      <c r="C12" s="612" t="s">
        <v>1738</v>
      </c>
      <c r="D12" s="612" t="s">
        <v>1743</v>
      </c>
      <c r="E12" s="612" t="s">
        <v>719</v>
      </c>
      <c r="F12" s="615"/>
      <c r="G12" s="615"/>
      <c r="H12" s="615"/>
      <c r="I12" s="615"/>
      <c r="J12" s="615"/>
      <c r="K12" s="615"/>
      <c r="L12" s="615"/>
      <c r="M12" s="615"/>
      <c r="N12" s="615">
        <v>0.4</v>
      </c>
      <c r="O12" s="615">
        <v>100.6</v>
      </c>
      <c r="P12" s="628"/>
      <c r="Q12" s="616">
        <v>251.49999999999997</v>
      </c>
    </row>
    <row r="13" spans="1:17" ht="14.4" customHeight="1" x14ac:dyDescent="0.3">
      <c r="A13" s="611" t="s">
        <v>550</v>
      </c>
      <c r="B13" s="612" t="s">
        <v>1737</v>
      </c>
      <c r="C13" s="612" t="s">
        <v>1738</v>
      </c>
      <c r="D13" s="612" t="s">
        <v>1744</v>
      </c>
      <c r="E13" s="612" t="s">
        <v>1225</v>
      </c>
      <c r="F13" s="615"/>
      <c r="G13" s="615"/>
      <c r="H13" s="615"/>
      <c r="I13" s="615"/>
      <c r="J13" s="615"/>
      <c r="K13" s="615"/>
      <c r="L13" s="615"/>
      <c r="M13" s="615"/>
      <c r="N13" s="615">
        <v>2</v>
      </c>
      <c r="O13" s="615">
        <v>71.22</v>
      </c>
      <c r="P13" s="628"/>
      <c r="Q13" s="616">
        <v>35.61</v>
      </c>
    </row>
    <row r="14" spans="1:17" ht="14.4" customHeight="1" x14ac:dyDescent="0.3">
      <c r="A14" s="611" t="s">
        <v>550</v>
      </c>
      <c r="B14" s="612" t="s">
        <v>1737</v>
      </c>
      <c r="C14" s="612" t="s">
        <v>1738</v>
      </c>
      <c r="D14" s="612" t="s">
        <v>1745</v>
      </c>
      <c r="E14" s="612" t="s">
        <v>1746</v>
      </c>
      <c r="F14" s="615">
        <v>0.6</v>
      </c>
      <c r="G14" s="615">
        <v>364.5</v>
      </c>
      <c r="H14" s="615">
        <v>1</v>
      </c>
      <c r="I14" s="615">
        <v>607.5</v>
      </c>
      <c r="J14" s="615">
        <v>0.4</v>
      </c>
      <c r="K14" s="615">
        <v>177.28</v>
      </c>
      <c r="L14" s="615">
        <v>0.48636488340192047</v>
      </c>
      <c r="M14" s="615">
        <v>443.2</v>
      </c>
      <c r="N14" s="615">
        <v>0.4</v>
      </c>
      <c r="O14" s="615">
        <v>177.28</v>
      </c>
      <c r="P14" s="628">
        <v>0.48636488340192047</v>
      </c>
      <c r="Q14" s="616">
        <v>443.2</v>
      </c>
    </row>
    <row r="15" spans="1:17" ht="14.4" customHeight="1" x14ac:dyDescent="0.3">
      <c r="A15" s="611" t="s">
        <v>550</v>
      </c>
      <c r="B15" s="612" t="s">
        <v>1737</v>
      </c>
      <c r="C15" s="612" t="s">
        <v>1738</v>
      </c>
      <c r="D15" s="612" t="s">
        <v>1747</v>
      </c>
      <c r="E15" s="612" t="s">
        <v>1748</v>
      </c>
      <c r="F15" s="615"/>
      <c r="G15" s="615"/>
      <c r="H15" s="615"/>
      <c r="I15" s="615"/>
      <c r="J15" s="615">
        <v>1</v>
      </c>
      <c r="K15" s="615">
        <v>114.58</v>
      </c>
      <c r="L15" s="615"/>
      <c r="M15" s="615">
        <v>114.58</v>
      </c>
      <c r="N15" s="615"/>
      <c r="O15" s="615"/>
      <c r="P15" s="628"/>
      <c r="Q15" s="616"/>
    </row>
    <row r="16" spans="1:17" ht="14.4" customHeight="1" x14ac:dyDescent="0.3">
      <c r="A16" s="611" t="s">
        <v>550</v>
      </c>
      <c r="B16" s="612" t="s">
        <v>1737</v>
      </c>
      <c r="C16" s="612" t="s">
        <v>1738</v>
      </c>
      <c r="D16" s="612" t="s">
        <v>1749</v>
      </c>
      <c r="E16" s="612" t="s">
        <v>1750</v>
      </c>
      <c r="F16" s="615">
        <v>3</v>
      </c>
      <c r="G16" s="615">
        <v>204.75</v>
      </c>
      <c r="H16" s="615">
        <v>1</v>
      </c>
      <c r="I16" s="615">
        <v>68.25</v>
      </c>
      <c r="J16" s="615"/>
      <c r="K16" s="615"/>
      <c r="L16" s="615"/>
      <c r="M16" s="615"/>
      <c r="N16" s="615"/>
      <c r="O16" s="615"/>
      <c r="P16" s="628"/>
      <c r="Q16" s="616"/>
    </row>
    <row r="17" spans="1:17" ht="14.4" customHeight="1" x14ac:dyDescent="0.3">
      <c r="A17" s="611" t="s">
        <v>550</v>
      </c>
      <c r="B17" s="612" t="s">
        <v>1737</v>
      </c>
      <c r="C17" s="612" t="s">
        <v>1738</v>
      </c>
      <c r="D17" s="612" t="s">
        <v>1751</v>
      </c>
      <c r="E17" s="612" t="s">
        <v>1752</v>
      </c>
      <c r="F17" s="615">
        <v>7.1</v>
      </c>
      <c r="G17" s="615">
        <v>465.64</v>
      </c>
      <c r="H17" s="615">
        <v>1</v>
      </c>
      <c r="I17" s="615">
        <v>65.583098591549302</v>
      </c>
      <c r="J17" s="615">
        <v>10.9</v>
      </c>
      <c r="K17" s="615">
        <v>527.55999999999995</v>
      </c>
      <c r="L17" s="615">
        <v>1.1329782664719525</v>
      </c>
      <c r="M17" s="615">
        <v>48.399999999999991</v>
      </c>
      <c r="N17" s="615">
        <v>5.6000000000000005</v>
      </c>
      <c r="O17" s="615">
        <v>271.04000000000002</v>
      </c>
      <c r="P17" s="628">
        <v>0.58208057726999407</v>
      </c>
      <c r="Q17" s="616">
        <v>48.4</v>
      </c>
    </row>
    <row r="18" spans="1:17" ht="14.4" customHeight="1" x14ac:dyDescent="0.3">
      <c r="A18" s="611" t="s">
        <v>550</v>
      </c>
      <c r="B18" s="612" t="s">
        <v>1737</v>
      </c>
      <c r="C18" s="612" t="s">
        <v>1738</v>
      </c>
      <c r="D18" s="612" t="s">
        <v>1753</v>
      </c>
      <c r="E18" s="612" t="s">
        <v>1754</v>
      </c>
      <c r="F18" s="615"/>
      <c r="G18" s="615"/>
      <c r="H18" s="615"/>
      <c r="I18" s="615"/>
      <c r="J18" s="615">
        <v>0.4</v>
      </c>
      <c r="K18" s="615">
        <v>1451.2</v>
      </c>
      <c r="L18" s="615"/>
      <c r="M18" s="615">
        <v>3628</v>
      </c>
      <c r="N18" s="615"/>
      <c r="O18" s="615"/>
      <c r="P18" s="628"/>
      <c r="Q18" s="616"/>
    </row>
    <row r="19" spans="1:17" ht="14.4" customHeight="1" x14ac:dyDescent="0.3">
      <c r="A19" s="611" t="s">
        <v>550</v>
      </c>
      <c r="B19" s="612" t="s">
        <v>1737</v>
      </c>
      <c r="C19" s="612" t="s">
        <v>1738</v>
      </c>
      <c r="D19" s="612" t="s">
        <v>1755</v>
      </c>
      <c r="E19" s="612" t="s">
        <v>669</v>
      </c>
      <c r="F19" s="615"/>
      <c r="G19" s="615"/>
      <c r="H19" s="615"/>
      <c r="I19" s="615"/>
      <c r="J19" s="615"/>
      <c r="K19" s="615"/>
      <c r="L19" s="615"/>
      <c r="M19" s="615"/>
      <c r="N19" s="615">
        <v>1</v>
      </c>
      <c r="O19" s="615">
        <v>2211.6999999999998</v>
      </c>
      <c r="P19" s="628"/>
      <c r="Q19" s="616">
        <v>2211.6999999999998</v>
      </c>
    </row>
    <row r="20" spans="1:17" ht="14.4" customHeight="1" x14ac:dyDescent="0.3">
      <c r="A20" s="611" t="s">
        <v>550</v>
      </c>
      <c r="B20" s="612" t="s">
        <v>1737</v>
      </c>
      <c r="C20" s="612" t="s">
        <v>1756</v>
      </c>
      <c r="D20" s="612" t="s">
        <v>1757</v>
      </c>
      <c r="E20" s="612" t="s">
        <v>1758</v>
      </c>
      <c r="F20" s="615">
        <v>10</v>
      </c>
      <c r="G20" s="615">
        <v>15462.400000000001</v>
      </c>
      <c r="H20" s="615">
        <v>1</v>
      </c>
      <c r="I20" s="615">
        <v>1546.2400000000002</v>
      </c>
      <c r="J20" s="615">
        <v>5</v>
      </c>
      <c r="K20" s="615">
        <v>7934.6299999999992</v>
      </c>
      <c r="L20" s="615">
        <v>0.51315643108443698</v>
      </c>
      <c r="M20" s="615">
        <v>1586.9259999999999</v>
      </c>
      <c r="N20" s="615">
        <v>4</v>
      </c>
      <c r="O20" s="615">
        <v>6456.2</v>
      </c>
      <c r="P20" s="628">
        <v>0.41754190811258274</v>
      </c>
      <c r="Q20" s="616">
        <v>1614.05</v>
      </c>
    </row>
    <row r="21" spans="1:17" ht="14.4" customHeight="1" x14ac:dyDescent="0.3">
      <c r="A21" s="611" t="s">
        <v>550</v>
      </c>
      <c r="B21" s="612" t="s">
        <v>1737</v>
      </c>
      <c r="C21" s="612" t="s">
        <v>1756</v>
      </c>
      <c r="D21" s="612" t="s">
        <v>1757</v>
      </c>
      <c r="E21" s="612" t="s">
        <v>1759</v>
      </c>
      <c r="F21" s="615">
        <v>2</v>
      </c>
      <c r="G21" s="615">
        <v>3092.48</v>
      </c>
      <c r="H21" s="615">
        <v>1</v>
      </c>
      <c r="I21" s="615">
        <v>1546.24</v>
      </c>
      <c r="J21" s="615">
        <v>1</v>
      </c>
      <c r="K21" s="615">
        <v>1614.05</v>
      </c>
      <c r="L21" s="615">
        <v>0.52192738514072845</v>
      </c>
      <c r="M21" s="615">
        <v>1614.05</v>
      </c>
      <c r="N21" s="615"/>
      <c r="O21" s="615"/>
      <c r="P21" s="628"/>
      <c r="Q21" s="616"/>
    </row>
    <row r="22" spans="1:17" ht="14.4" customHeight="1" x14ac:dyDescent="0.3">
      <c r="A22" s="611" t="s">
        <v>550</v>
      </c>
      <c r="B22" s="612" t="s">
        <v>1737</v>
      </c>
      <c r="C22" s="612" t="s">
        <v>1756</v>
      </c>
      <c r="D22" s="612" t="s">
        <v>1760</v>
      </c>
      <c r="E22" s="612" t="s">
        <v>1758</v>
      </c>
      <c r="F22" s="615">
        <v>3</v>
      </c>
      <c r="G22" s="615">
        <v>10958.85</v>
      </c>
      <c r="H22" s="615">
        <v>1</v>
      </c>
      <c r="I22" s="615">
        <v>3652.9500000000003</v>
      </c>
      <c r="J22" s="615"/>
      <c r="K22" s="615"/>
      <c r="L22" s="615"/>
      <c r="M22" s="615"/>
      <c r="N22" s="615"/>
      <c r="O22" s="615"/>
      <c r="P22" s="628"/>
      <c r="Q22" s="616"/>
    </row>
    <row r="23" spans="1:17" ht="14.4" customHeight="1" x14ac:dyDescent="0.3">
      <c r="A23" s="611" t="s">
        <v>550</v>
      </c>
      <c r="B23" s="612" t="s">
        <v>1737</v>
      </c>
      <c r="C23" s="612" t="s">
        <v>1756</v>
      </c>
      <c r="D23" s="612" t="s">
        <v>1760</v>
      </c>
      <c r="E23" s="612" t="s">
        <v>1761</v>
      </c>
      <c r="F23" s="615">
        <v>1</v>
      </c>
      <c r="G23" s="615">
        <v>3722.45</v>
      </c>
      <c r="H23" s="615">
        <v>1</v>
      </c>
      <c r="I23" s="615">
        <v>3722.45</v>
      </c>
      <c r="J23" s="615"/>
      <c r="K23" s="615"/>
      <c r="L23" s="615"/>
      <c r="M23" s="615"/>
      <c r="N23" s="615"/>
      <c r="O23" s="615"/>
      <c r="P23" s="628"/>
      <c r="Q23" s="616"/>
    </row>
    <row r="24" spans="1:17" ht="14.4" customHeight="1" x14ac:dyDescent="0.3">
      <c r="A24" s="611" t="s">
        <v>550</v>
      </c>
      <c r="B24" s="612" t="s">
        <v>1737</v>
      </c>
      <c r="C24" s="612" t="s">
        <v>1756</v>
      </c>
      <c r="D24" s="612" t="s">
        <v>1762</v>
      </c>
      <c r="E24" s="612" t="s">
        <v>1758</v>
      </c>
      <c r="F24" s="615">
        <v>10</v>
      </c>
      <c r="G24" s="615">
        <v>2123.15</v>
      </c>
      <c r="H24" s="615">
        <v>1</v>
      </c>
      <c r="I24" s="615">
        <v>212.315</v>
      </c>
      <c r="J24" s="615">
        <v>5</v>
      </c>
      <c r="K24" s="615">
        <v>1186.42</v>
      </c>
      <c r="L24" s="615">
        <v>0.5588017803735017</v>
      </c>
      <c r="M24" s="615">
        <v>237.28400000000002</v>
      </c>
      <c r="N24" s="615">
        <v>4</v>
      </c>
      <c r="O24" s="615">
        <v>954.72</v>
      </c>
      <c r="P24" s="628">
        <v>0.44967147869910273</v>
      </c>
      <c r="Q24" s="616">
        <v>238.68</v>
      </c>
    </row>
    <row r="25" spans="1:17" ht="14.4" customHeight="1" x14ac:dyDescent="0.3">
      <c r="A25" s="611" t="s">
        <v>550</v>
      </c>
      <c r="B25" s="612" t="s">
        <v>1737</v>
      </c>
      <c r="C25" s="612" t="s">
        <v>1756</v>
      </c>
      <c r="D25" s="612" t="s">
        <v>1762</v>
      </c>
      <c r="E25" s="612" t="s">
        <v>1763</v>
      </c>
      <c r="F25" s="615">
        <v>2</v>
      </c>
      <c r="G25" s="615">
        <v>470.38</v>
      </c>
      <c r="H25" s="615">
        <v>1</v>
      </c>
      <c r="I25" s="615">
        <v>235.19</v>
      </c>
      <c r="J25" s="615">
        <v>1</v>
      </c>
      <c r="K25" s="615">
        <v>238.68</v>
      </c>
      <c r="L25" s="615">
        <v>0.50741953314341603</v>
      </c>
      <c r="M25" s="615">
        <v>238.68</v>
      </c>
      <c r="N25" s="615"/>
      <c r="O25" s="615"/>
      <c r="P25" s="628"/>
      <c r="Q25" s="616"/>
    </row>
    <row r="26" spans="1:17" ht="14.4" customHeight="1" x14ac:dyDescent="0.3">
      <c r="A26" s="611" t="s">
        <v>550</v>
      </c>
      <c r="B26" s="612" t="s">
        <v>1737</v>
      </c>
      <c r="C26" s="612" t="s">
        <v>1729</v>
      </c>
      <c r="D26" s="612" t="s">
        <v>1764</v>
      </c>
      <c r="E26" s="612" t="s">
        <v>1765</v>
      </c>
      <c r="F26" s="615">
        <v>395</v>
      </c>
      <c r="G26" s="615">
        <v>67545</v>
      </c>
      <c r="H26" s="615">
        <v>1</v>
      </c>
      <c r="I26" s="615">
        <v>171</v>
      </c>
      <c r="J26" s="615">
        <v>525</v>
      </c>
      <c r="K26" s="615">
        <v>90825</v>
      </c>
      <c r="L26" s="615">
        <v>1.3446591161447923</v>
      </c>
      <c r="M26" s="615">
        <v>173</v>
      </c>
      <c r="N26" s="615">
        <v>638</v>
      </c>
      <c r="O26" s="615">
        <v>111703</v>
      </c>
      <c r="P26" s="628">
        <v>1.6537567547560885</v>
      </c>
      <c r="Q26" s="616">
        <v>175.08307210031347</v>
      </c>
    </row>
    <row r="27" spans="1:17" ht="14.4" customHeight="1" x14ac:dyDescent="0.3">
      <c r="A27" s="611" t="s">
        <v>550</v>
      </c>
      <c r="B27" s="612" t="s">
        <v>1737</v>
      </c>
      <c r="C27" s="612" t="s">
        <v>1729</v>
      </c>
      <c r="D27" s="612" t="s">
        <v>1766</v>
      </c>
      <c r="E27" s="612" t="s">
        <v>1767</v>
      </c>
      <c r="F27" s="615">
        <v>12</v>
      </c>
      <c r="G27" s="615">
        <v>2220</v>
      </c>
      <c r="H27" s="615">
        <v>1</v>
      </c>
      <c r="I27" s="615">
        <v>185</v>
      </c>
      <c r="J27" s="615">
        <v>6</v>
      </c>
      <c r="K27" s="615">
        <v>1110</v>
      </c>
      <c r="L27" s="615">
        <v>0.5</v>
      </c>
      <c r="M27" s="615">
        <v>185</v>
      </c>
      <c r="N27" s="615">
        <v>4</v>
      </c>
      <c r="O27" s="615">
        <v>752</v>
      </c>
      <c r="P27" s="628">
        <v>0.33873873873873872</v>
      </c>
      <c r="Q27" s="616">
        <v>188</v>
      </c>
    </row>
    <row r="28" spans="1:17" ht="14.4" customHeight="1" x14ac:dyDescent="0.3">
      <c r="A28" s="611" t="s">
        <v>550</v>
      </c>
      <c r="B28" s="612" t="s">
        <v>1737</v>
      </c>
      <c r="C28" s="612" t="s">
        <v>1729</v>
      </c>
      <c r="D28" s="612" t="s">
        <v>1768</v>
      </c>
      <c r="E28" s="612" t="s">
        <v>1769</v>
      </c>
      <c r="F28" s="615">
        <v>20</v>
      </c>
      <c r="G28" s="615">
        <v>19560</v>
      </c>
      <c r="H28" s="615">
        <v>1</v>
      </c>
      <c r="I28" s="615">
        <v>978</v>
      </c>
      <c r="J28" s="615">
        <v>11</v>
      </c>
      <c r="K28" s="615">
        <v>10780</v>
      </c>
      <c r="L28" s="615">
        <v>0.55112474437627812</v>
      </c>
      <c r="M28" s="615">
        <v>980</v>
      </c>
      <c r="N28" s="615"/>
      <c r="O28" s="615"/>
      <c r="P28" s="628"/>
      <c r="Q28" s="616"/>
    </row>
    <row r="29" spans="1:17" ht="14.4" customHeight="1" x14ac:dyDescent="0.3">
      <c r="A29" s="611" t="s">
        <v>550</v>
      </c>
      <c r="B29" s="612" t="s">
        <v>1737</v>
      </c>
      <c r="C29" s="612" t="s">
        <v>1729</v>
      </c>
      <c r="D29" s="612" t="s">
        <v>1770</v>
      </c>
      <c r="E29" s="612" t="s">
        <v>1771</v>
      </c>
      <c r="F29" s="615">
        <v>0</v>
      </c>
      <c r="G29" s="615">
        <v>0</v>
      </c>
      <c r="H29" s="615"/>
      <c r="I29" s="615"/>
      <c r="J29" s="615">
        <v>0</v>
      </c>
      <c r="K29" s="615">
        <v>0</v>
      </c>
      <c r="L29" s="615"/>
      <c r="M29" s="615"/>
      <c r="N29" s="615">
        <v>0</v>
      </c>
      <c r="O29" s="615">
        <v>0</v>
      </c>
      <c r="P29" s="628"/>
      <c r="Q29" s="616"/>
    </row>
    <row r="30" spans="1:17" ht="14.4" customHeight="1" x14ac:dyDescent="0.3">
      <c r="A30" s="611" t="s">
        <v>550</v>
      </c>
      <c r="B30" s="612" t="s">
        <v>1737</v>
      </c>
      <c r="C30" s="612" t="s">
        <v>1729</v>
      </c>
      <c r="D30" s="612" t="s">
        <v>1772</v>
      </c>
      <c r="E30" s="612" t="s">
        <v>1773</v>
      </c>
      <c r="F30" s="615">
        <v>3062</v>
      </c>
      <c r="G30" s="615">
        <v>0</v>
      </c>
      <c r="H30" s="615"/>
      <c r="I30" s="615">
        <v>0</v>
      </c>
      <c r="J30" s="615">
        <v>3292</v>
      </c>
      <c r="K30" s="615">
        <v>0</v>
      </c>
      <c r="L30" s="615"/>
      <c r="M30" s="615">
        <v>0</v>
      </c>
      <c r="N30" s="615">
        <v>2918</v>
      </c>
      <c r="O30" s="615">
        <v>0</v>
      </c>
      <c r="P30" s="628"/>
      <c r="Q30" s="616">
        <v>0</v>
      </c>
    </row>
    <row r="31" spans="1:17" ht="14.4" customHeight="1" x14ac:dyDescent="0.3">
      <c r="A31" s="611" t="s">
        <v>550</v>
      </c>
      <c r="B31" s="612" t="s">
        <v>1737</v>
      </c>
      <c r="C31" s="612" t="s">
        <v>1729</v>
      </c>
      <c r="D31" s="612" t="s">
        <v>1774</v>
      </c>
      <c r="E31" s="612" t="s">
        <v>1775</v>
      </c>
      <c r="F31" s="615">
        <v>52</v>
      </c>
      <c r="G31" s="615">
        <v>0</v>
      </c>
      <c r="H31" s="615"/>
      <c r="I31" s="615">
        <v>0</v>
      </c>
      <c r="J31" s="615">
        <v>80</v>
      </c>
      <c r="K31" s="615">
        <v>0</v>
      </c>
      <c r="L31" s="615"/>
      <c r="M31" s="615">
        <v>0</v>
      </c>
      <c r="N31" s="615">
        <v>73</v>
      </c>
      <c r="O31" s="615">
        <v>0</v>
      </c>
      <c r="P31" s="628"/>
      <c r="Q31" s="616">
        <v>0</v>
      </c>
    </row>
    <row r="32" spans="1:17" ht="14.4" customHeight="1" x14ac:dyDescent="0.3">
      <c r="A32" s="611" t="s">
        <v>550</v>
      </c>
      <c r="B32" s="612" t="s">
        <v>1737</v>
      </c>
      <c r="C32" s="612" t="s">
        <v>1729</v>
      </c>
      <c r="D32" s="612" t="s">
        <v>1776</v>
      </c>
      <c r="E32" s="612" t="s">
        <v>1777</v>
      </c>
      <c r="F32" s="615">
        <v>1351</v>
      </c>
      <c r="G32" s="615">
        <v>0</v>
      </c>
      <c r="H32" s="615"/>
      <c r="I32" s="615">
        <v>0</v>
      </c>
      <c r="J32" s="615">
        <v>1478</v>
      </c>
      <c r="K32" s="615">
        <v>0</v>
      </c>
      <c r="L32" s="615"/>
      <c r="M32" s="615">
        <v>0</v>
      </c>
      <c r="N32" s="615">
        <v>1615</v>
      </c>
      <c r="O32" s="615">
        <v>0</v>
      </c>
      <c r="P32" s="628"/>
      <c r="Q32" s="616">
        <v>0</v>
      </c>
    </row>
    <row r="33" spans="1:17" ht="14.4" customHeight="1" x14ac:dyDescent="0.3">
      <c r="A33" s="611" t="s">
        <v>550</v>
      </c>
      <c r="B33" s="612" t="s">
        <v>1737</v>
      </c>
      <c r="C33" s="612" t="s">
        <v>1729</v>
      </c>
      <c r="D33" s="612" t="s">
        <v>1730</v>
      </c>
      <c r="E33" s="612" t="s">
        <v>1758</v>
      </c>
      <c r="F33" s="615">
        <v>5</v>
      </c>
      <c r="G33" s="615">
        <v>0</v>
      </c>
      <c r="H33" s="615"/>
      <c r="I33" s="615">
        <v>0</v>
      </c>
      <c r="J33" s="615">
        <v>14</v>
      </c>
      <c r="K33" s="615">
        <v>0</v>
      </c>
      <c r="L33" s="615"/>
      <c r="M33" s="615">
        <v>0</v>
      </c>
      <c r="N33" s="615"/>
      <c r="O33" s="615"/>
      <c r="P33" s="628"/>
      <c r="Q33" s="616"/>
    </row>
    <row r="34" spans="1:17" ht="14.4" customHeight="1" x14ac:dyDescent="0.3">
      <c r="A34" s="611" t="s">
        <v>550</v>
      </c>
      <c r="B34" s="612" t="s">
        <v>1737</v>
      </c>
      <c r="C34" s="612" t="s">
        <v>1729</v>
      </c>
      <c r="D34" s="612" t="s">
        <v>1730</v>
      </c>
      <c r="E34" s="612" t="s">
        <v>1731</v>
      </c>
      <c r="F34" s="615">
        <v>29</v>
      </c>
      <c r="G34" s="615">
        <v>0</v>
      </c>
      <c r="H34" s="615"/>
      <c r="I34" s="615">
        <v>0</v>
      </c>
      <c r="J34" s="615">
        <v>43</v>
      </c>
      <c r="K34" s="615">
        <v>0</v>
      </c>
      <c r="L34" s="615"/>
      <c r="M34" s="615">
        <v>0</v>
      </c>
      <c r="N34" s="615"/>
      <c r="O34" s="615"/>
      <c r="P34" s="628"/>
      <c r="Q34" s="616"/>
    </row>
    <row r="35" spans="1:17" ht="14.4" customHeight="1" x14ac:dyDescent="0.3">
      <c r="A35" s="611" t="s">
        <v>550</v>
      </c>
      <c r="B35" s="612" t="s">
        <v>1737</v>
      </c>
      <c r="C35" s="612" t="s">
        <v>1729</v>
      </c>
      <c r="D35" s="612" t="s">
        <v>1733</v>
      </c>
      <c r="E35" s="612" t="s">
        <v>1734</v>
      </c>
      <c r="F35" s="615">
        <v>1519</v>
      </c>
      <c r="G35" s="615">
        <v>498226</v>
      </c>
      <c r="H35" s="615">
        <v>1</v>
      </c>
      <c r="I35" s="615">
        <v>327.9960500329164</v>
      </c>
      <c r="J35" s="615">
        <v>1686</v>
      </c>
      <c r="K35" s="615">
        <v>551323</v>
      </c>
      <c r="L35" s="615">
        <v>1.1065721178742178</v>
      </c>
      <c r="M35" s="615">
        <v>327.00059311981022</v>
      </c>
      <c r="N35" s="615">
        <v>1803</v>
      </c>
      <c r="O35" s="615">
        <v>593556</v>
      </c>
      <c r="P35" s="628">
        <v>1.1913388703118666</v>
      </c>
      <c r="Q35" s="616">
        <v>329.20465890183027</v>
      </c>
    </row>
    <row r="36" spans="1:17" ht="14.4" customHeight="1" x14ac:dyDescent="0.3">
      <c r="A36" s="611" t="s">
        <v>550</v>
      </c>
      <c r="B36" s="612" t="s">
        <v>1737</v>
      </c>
      <c r="C36" s="612" t="s">
        <v>1729</v>
      </c>
      <c r="D36" s="612" t="s">
        <v>1735</v>
      </c>
      <c r="E36" s="612" t="s">
        <v>1736</v>
      </c>
      <c r="F36" s="615">
        <v>1388</v>
      </c>
      <c r="G36" s="615">
        <v>893836</v>
      </c>
      <c r="H36" s="615">
        <v>1</v>
      </c>
      <c r="I36" s="615">
        <v>643.97406340057637</v>
      </c>
      <c r="J36" s="615">
        <v>1545</v>
      </c>
      <c r="K36" s="615">
        <v>996508</v>
      </c>
      <c r="L36" s="615">
        <v>1.1148667093292282</v>
      </c>
      <c r="M36" s="615">
        <v>644.98899676375402</v>
      </c>
      <c r="N36" s="615">
        <v>1700</v>
      </c>
      <c r="O36" s="615">
        <v>1104024</v>
      </c>
      <c r="P36" s="628">
        <v>1.235152757329085</v>
      </c>
      <c r="Q36" s="616">
        <v>649.42588235294113</v>
      </c>
    </row>
    <row r="37" spans="1:17" ht="14.4" customHeight="1" x14ac:dyDescent="0.3">
      <c r="A37" s="611" t="s">
        <v>550</v>
      </c>
      <c r="B37" s="612" t="s">
        <v>1737</v>
      </c>
      <c r="C37" s="612" t="s">
        <v>1729</v>
      </c>
      <c r="D37" s="612" t="s">
        <v>1778</v>
      </c>
      <c r="E37" s="612" t="s">
        <v>1779</v>
      </c>
      <c r="F37" s="615"/>
      <c r="G37" s="615"/>
      <c r="H37" s="615"/>
      <c r="I37" s="615"/>
      <c r="J37" s="615">
        <v>3</v>
      </c>
      <c r="K37" s="615">
        <v>0</v>
      </c>
      <c r="L37" s="615"/>
      <c r="M37" s="615">
        <v>0</v>
      </c>
      <c r="N37" s="615"/>
      <c r="O37" s="615"/>
      <c r="P37" s="628"/>
      <c r="Q37" s="616"/>
    </row>
    <row r="38" spans="1:17" ht="14.4" customHeight="1" x14ac:dyDescent="0.3">
      <c r="A38" s="611" t="s">
        <v>550</v>
      </c>
      <c r="B38" s="612" t="s">
        <v>1737</v>
      </c>
      <c r="C38" s="612" t="s">
        <v>1729</v>
      </c>
      <c r="D38" s="612" t="s">
        <v>1780</v>
      </c>
      <c r="E38" s="612" t="s">
        <v>1758</v>
      </c>
      <c r="F38" s="615">
        <v>1</v>
      </c>
      <c r="G38" s="615">
        <v>418</v>
      </c>
      <c r="H38" s="615">
        <v>1</v>
      </c>
      <c r="I38" s="615">
        <v>418</v>
      </c>
      <c r="J38" s="615"/>
      <c r="K38" s="615"/>
      <c r="L38" s="615"/>
      <c r="M38" s="615"/>
      <c r="N38" s="615"/>
      <c r="O38" s="615"/>
      <c r="P38" s="628"/>
      <c r="Q38" s="616"/>
    </row>
    <row r="39" spans="1:17" ht="14.4" customHeight="1" x14ac:dyDescent="0.3">
      <c r="A39" s="611" t="s">
        <v>550</v>
      </c>
      <c r="B39" s="612" t="s">
        <v>1737</v>
      </c>
      <c r="C39" s="612" t="s">
        <v>1729</v>
      </c>
      <c r="D39" s="612" t="s">
        <v>1781</v>
      </c>
      <c r="E39" s="612" t="s">
        <v>1782</v>
      </c>
      <c r="F39" s="615">
        <v>5</v>
      </c>
      <c r="G39" s="615">
        <v>0</v>
      </c>
      <c r="H39" s="615"/>
      <c r="I39" s="615">
        <v>0</v>
      </c>
      <c r="J39" s="615">
        <v>17</v>
      </c>
      <c r="K39" s="615">
        <v>0</v>
      </c>
      <c r="L39" s="615"/>
      <c r="M39" s="615">
        <v>0</v>
      </c>
      <c r="N39" s="615">
        <v>10</v>
      </c>
      <c r="O39" s="615">
        <v>0</v>
      </c>
      <c r="P39" s="628"/>
      <c r="Q39" s="616">
        <v>0</v>
      </c>
    </row>
    <row r="40" spans="1:17" ht="14.4" customHeight="1" x14ac:dyDescent="0.3">
      <c r="A40" s="611" t="s">
        <v>550</v>
      </c>
      <c r="B40" s="612" t="s">
        <v>1737</v>
      </c>
      <c r="C40" s="612" t="s">
        <v>1729</v>
      </c>
      <c r="D40" s="612" t="s">
        <v>1783</v>
      </c>
      <c r="E40" s="612" t="s">
        <v>1784</v>
      </c>
      <c r="F40" s="615">
        <v>265</v>
      </c>
      <c r="G40" s="615">
        <v>38160</v>
      </c>
      <c r="H40" s="615">
        <v>1</v>
      </c>
      <c r="I40" s="615">
        <v>144</v>
      </c>
      <c r="J40" s="615">
        <v>254</v>
      </c>
      <c r="K40" s="615">
        <v>36829</v>
      </c>
      <c r="L40" s="615">
        <v>0.9651205450733753</v>
      </c>
      <c r="M40" s="615">
        <v>144.99606299212599</v>
      </c>
      <c r="N40" s="615">
        <v>307</v>
      </c>
      <c r="O40" s="615">
        <v>44943</v>
      </c>
      <c r="P40" s="628">
        <v>1.177751572327044</v>
      </c>
      <c r="Q40" s="616">
        <v>146.3941368078176</v>
      </c>
    </row>
    <row r="41" spans="1:17" ht="14.4" customHeight="1" x14ac:dyDescent="0.3">
      <c r="A41" s="611" t="s">
        <v>550</v>
      </c>
      <c r="B41" s="612" t="s">
        <v>1737</v>
      </c>
      <c r="C41" s="612" t="s">
        <v>1729</v>
      </c>
      <c r="D41" s="612" t="s">
        <v>1785</v>
      </c>
      <c r="E41" s="612" t="s">
        <v>1786</v>
      </c>
      <c r="F41" s="615">
        <v>7031</v>
      </c>
      <c r="G41" s="615">
        <v>6642069</v>
      </c>
      <c r="H41" s="615">
        <v>1</v>
      </c>
      <c r="I41" s="615">
        <v>944.68340207651829</v>
      </c>
      <c r="J41" s="615">
        <v>7647</v>
      </c>
      <c r="K41" s="615">
        <v>7255263</v>
      </c>
      <c r="L41" s="615">
        <v>1.0923197274825058</v>
      </c>
      <c r="M41" s="615">
        <v>948.77245978815222</v>
      </c>
      <c r="N41" s="615">
        <v>7501</v>
      </c>
      <c r="O41" s="615">
        <v>7118449</v>
      </c>
      <c r="P41" s="628">
        <v>1.0717216277036568</v>
      </c>
      <c r="Q41" s="616">
        <v>949</v>
      </c>
    </row>
    <row r="42" spans="1:17" ht="14.4" customHeight="1" x14ac:dyDescent="0.3">
      <c r="A42" s="611" t="s">
        <v>550</v>
      </c>
      <c r="B42" s="612" t="s">
        <v>1737</v>
      </c>
      <c r="C42" s="612" t="s">
        <v>1729</v>
      </c>
      <c r="D42" s="612" t="s">
        <v>1787</v>
      </c>
      <c r="E42" s="612" t="s">
        <v>1788</v>
      </c>
      <c r="F42" s="615">
        <v>1</v>
      </c>
      <c r="G42" s="615">
        <v>0</v>
      </c>
      <c r="H42" s="615"/>
      <c r="I42" s="615">
        <v>0</v>
      </c>
      <c r="J42" s="615"/>
      <c r="K42" s="615"/>
      <c r="L42" s="615"/>
      <c r="M42" s="615"/>
      <c r="N42" s="615"/>
      <c r="O42" s="615"/>
      <c r="P42" s="628"/>
      <c r="Q42" s="616"/>
    </row>
    <row r="43" spans="1:17" ht="14.4" customHeight="1" x14ac:dyDescent="0.3">
      <c r="A43" s="611" t="s">
        <v>550</v>
      </c>
      <c r="B43" s="612" t="s">
        <v>1737</v>
      </c>
      <c r="C43" s="612" t="s">
        <v>1729</v>
      </c>
      <c r="D43" s="612" t="s">
        <v>1789</v>
      </c>
      <c r="E43" s="612" t="s">
        <v>1790</v>
      </c>
      <c r="F43" s="615">
        <v>1</v>
      </c>
      <c r="G43" s="615">
        <v>102</v>
      </c>
      <c r="H43" s="615">
        <v>1</v>
      </c>
      <c r="I43" s="615">
        <v>102</v>
      </c>
      <c r="J43" s="615"/>
      <c r="K43" s="615"/>
      <c r="L43" s="615"/>
      <c r="M43" s="615"/>
      <c r="N43" s="615"/>
      <c r="O43" s="615"/>
      <c r="P43" s="628"/>
      <c r="Q43" s="616"/>
    </row>
    <row r="44" spans="1:17" ht="14.4" customHeight="1" x14ac:dyDescent="0.3">
      <c r="A44" s="611" t="s">
        <v>550</v>
      </c>
      <c r="B44" s="612" t="s">
        <v>1728</v>
      </c>
      <c r="C44" s="612" t="s">
        <v>1738</v>
      </c>
      <c r="D44" s="612" t="s">
        <v>1791</v>
      </c>
      <c r="E44" s="612" t="s">
        <v>1758</v>
      </c>
      <c r="F44" s="615"/>
      <c r="G44" s="615"/>
      <c r="H44" s="615"/>
      <c r="I44" s="615"/>
      <c r="J44" s="615">
        <v>9</v>
      </c>
      <c r="K44" s="615">
        <v>1031.22</v>
      </c>
      <c r="L44" s="615"/>
      <c r="M44" s="615">
        <v>114.58</v>
      </c>
      <c r="N44" s="615"/>
      <c r="O44" s="615"/>
      <c r="P44" s="628"/>
      <c r="Q44" s="616"/>
    </row>
    <row r="45" spans="1:17" ht="14.4" customHeight="1" x14ac:dyDescent="0.3">
      <c r="A45" s="611" t="s">
        <v>550</v>
      </c>
      <c r="B45" s="612" t="s">
        <v>1728</v>
      </c>
      <c r="C45" s="612" t="s">
        <v>1738</v>
      </c>
      <c r="D45" s="612" t="s">
        <v>1792</v>
      </c>
      <c r="E45" s="612" t="s">
        <v>1793</v>
      </c>
      <c r="F45" s="615">
        <v>25</v>
      </c>
      <c r="G45" s="615">
        <v>3792.8799999999997</v>
      </c>
      <c r="H45" s="615">
        <v>1</v>
      </c>
      <c r="I45" s="615">
        <v>151.71519999999998</v>
      </c>
      <c r="J45" s="615">
        <v>10</v>
      </c>
      <c r="K45" s="615">
        <v>833</v>
      </c>
      <c r="L45" s="615">
        <v>0.2196220286431419</v>
      </c>
      <c r="M45" s="615">
        <v>83.3</v>
      </c>
      <c r="N45" s="615">
        <v>16</v>
      </c>
      <c r="O45" s="615">
        <v>1468.15</v>
      </c>
      <c r="P45" s="628">
        <v>0.38708052983484853</v>
      </c>
      <c r="Q45" s="616">
        <v>91.759375000000006</v>
      </c>
    </row>
    <row r="46" spans="1:17" ht="14.4" customHeight="1" x14ac:dyDescent="0.3">
      <c r="A46" s="611" t="s">
        <v>550</v>
      </c>
      <c r="B46" s="612" t="s">
        <v>1728</v>
      </c>
      <c r="C46" s="612" t="s">
        <v>1738</v>
      </c>
      <c r="D46" s="612" t="s">
        <v>1739</v>
      </c>
      <c r="E46" s="612" t="s">
        <v>1214</v>
      </c>
      <c r="F46" s="615">
        <v>109</v>
      </c>
      <c r="G46" s="615">
        <v>85516.66</v>
      </c>
      <c r="H46" s="615">
        <v>1</v>
      </c>
      <c r="I46" s="615">
        <v>784.55651376146795</v>
      </c>
      <c r="J46" s="615">
        <v>119</v>
      </c>
      <c r="K46" s="615">
        <v>63299.32</v>
      </c>
      <c r="L46" s="615">
        <v>0.74019869344756917</v>
      </c>
      <c r="M46" s="615">
        <v>531.92705882352936</v>
      </c>
      <c r="N46" s="615">
        <v>165.2</v>
      </c>
      <c r="O46" s="615">
        <v>87912.83</v>
      </c>
      <c r="P46" s="628">
        <v>1.0280199203289744</v>
      </c>
      <c r="Q46" s="616">
        <v>532.15998789346247</v>
      </c>
    </row>
    <row r="47" spans="1:17" ht="14.4" customHeight="1" x14ac:dyDescent="0.3">
      <c r="A47" s="611" t="s">
        <v>550</v>
      </c>
      <c r="B47" s="612" t="s">
        <v>1728</v>
      </c>
      <c r="C47" s="612" t="s">
        <v>1738</v>
      </c>
      <c r="D47" s="612" t="s">
        <v>1794</v>
      </c>
      <c r="E47" s="612" t="s">
        <v>1795</v>
      </c>
      <c r="F47" s="615">
        <v>0.9</v>
      </c>
      <c r="G47" s="615">
        <v>523.1</v>
      </c>
      <c r="H47" s="615">
        <v>1</v>
      </c>
      <c r="I47" s="615">
        <v>581.22222222222229</v>
      </c>
      <c r="J47" s="615">
        <v>1.6</v>
      </c>
      <c r="K47" s="615">
        <v>1011</v>
      </c>
      <c r="L47" s="615">
        <v>1.9327088510800994</v>
      </c>
      <c r="M47" s="615">
        <v>631.875</v>
      </c>
      <c r="N47" s="615">
        <v>1.6</v>
      </c>
      <c r="O47" s="615">
        <v>1002.97</v>
      </c>
      <c r="P47" s="628">
        <v>1.9173580577327471</v>
      </c>
      <c r="Q47" s="616">
        <v>626.85624999999993</v>
      </c>
    </row>
    <row r="48" spans="1:17" ht="14.4" customHeight="1" x14ac:dyDescent="0.3">
      <c r="A48" s="611" t="s">
        <v>550</v>
      </c>
      <c r="B48" s="612" t="s">
        <v>1728</v>
      </c>
      <c r="C48" s="612" t="s">
        <v>1738</v>
      </c>
      <c r="D48" s="612" t="s">
        <v>1740</v>
      </c>
      <c r="E48" s="612" t="s">
        <v>1758</v>
      </c>
      <c r="F48" s="615">
        <v>4.4000000000000004</v>
      </c>
      <c r="G48" s="615">
        <v>4748.92</v>
      </c>
      <c r="H48" s="615">
        <v>1</v>
      </c>
      <c r="I48" s="615">
        <v>1079.3</v>
      </c>
      <c r="J48" s="615">
        <v>6.8</v>
      </c>
      <c r="K48" s="615">
        <v>7339.24</v>
      </c>
      <c r="L48" s="615">
        <v>1.5454545454545454</v>
      </c>
      <c r="M48" s="615">
        <v>1079.3</v>
      </c>
      <c r="N48" s="615"/>
      <c r="O48" s="615"/>
      <c r="P48" s="628"/>
      <c r="Q48" s="616"/>
    </row>
    <row r="49" spans="1:17" ht="14.4" customHeight="1" x14ac:dyDescent="0.3">
      <c r="A49" s="611" t="s">
        <v>550</v>
      </c>
      <c r="B49" s="612" t="s">
        <v>1728</v>
      </c>
      <c r="C49" s="612" t="s">
        <v>1738</v>
      </c>
      <c r="D49" s="612" t="s">
        <v>1740</v>
      </c>
      <c r="E49" s="612" t="s">
        <v>1148</v>
      </c>
      <c r="F49" s="615">
        <v>21.800000000000004</v>
      </c>
      <c r="G49" s="615">
        <v>29137.150000000005</v>
      </c>
      <c r="H49" s="615">
        <v>1</v>
      </c>
      <c r="I49" s="615">
        <v>1336.5665137614678</v>
      </c>
      <c r="J49" s="615">
        <v>21.900000000000002</v>
      </c>
      <c r="K49" s="615">
        <v>23636.67</v>
      </c>
      <c r="L49" s="615">
        <v>0.81122107000856269</v>
      </c>
      <c r="M49" s="615">
        <v>1079.2999999999997</v>
      </c>
      <c r="N49" s="615">
        <v>25.299999999999997</v>
      </c>
      <c r="O49" s="615">
        <v>27306.29</v>
      </c>
      <c r="P49" s="628">
        <v>0.93716406717884204</v>
      </c>
      <c r="Q49" s="616">
        <v>1079.3000000000002</v>
      </c>
    </row>
    <row r="50" spans="1:17" ht="14.4" customHeight="1" x14ac:dyDescent="0.3">
      <c r="A50" s="611" t="s">
        <v>550</v>
      </c>
      <c r="B50" s="612" t="s">
        <v>1728</v>
      </c>
      <c r="C50" s="612" t="s">
        <v>1738</v>
      </c>
      <c r="D50" s="612" t="s">
        <v>1796</v>
      </c>
      <c r="E50" s="612" t="s">
        <v>1797</v>
      </c>
      <c r="F50" s="615"/>
      <c r="G50" s="615"/>
      <c r="H50" s="615"/>
      <c r="I50" s="615"/>
      <c r="J50" s="615">
        <v>2</v>
      </c>
      <c r="K50" s="615">
        <v>368.84</v>
      </c>
      <c r="L50" s="615"/>
      <c r="M50" s="615">
        <v>184.42</v>
      </c>
      <c r="N50" s="615"/>
      <c r="O50" s="615"/>
      <c r="P50" s="628"/>
      <c r="Q50" s="616"/>
    </row>
    <row r="51" spans="1:17" ht="14.4" customHeight="1" x14ac:dyDescent="0.3">
      <c r="A51" s="611" t="s">
        <v>550</v>
      </c>
      <c r="B51" s="612" t="s">
        <v>1728</v>
      </c>
      <c r="C51" s="612" t="s">
        <v>1738</v>
      </c>
      <c r="D51" s="612" t="s">
        <v>1798</v>
      </c>
      <c r="E51" s="612" t="s">
        <v>1758</v>
      </c>
      <c r="F51" s="615">
        <v>0.4</v>
      </c>
      <c r="G51" s="615">
        <v>1451.2</v>
      </c>
      <c r="H51" s="615">
        <v>1</v>
      </c>
      <c r="I51" s="615">
        <v>3628</v>
      </c>
      <c r="J51" s="615"/>
      <c r="K51" s="615"/>
      <c r="L51" s="615"/>
      <c r="M51" s="615"/>
      <c r="N51" s="615"/>
      <c r="O51" s="615"/>
      <c r="P51" s="628"/>
      <c r="Q51" s="616"/>
    </row>
    <row r="52" spans="1:17" ht="14.4" customHeight="1" x14ac:dyDescent="0.3">
      <c r="A52" s="611" t="s">
        <v>550</v>
      </c>
      <c r="B52" s="612" t="s">
        <v>1728</v>
      </c>
      <c r="C52" s="612" t="s">
        <v>1738</v>
      </c>
      <c r="D52" s="612" t="s">
        <v>1799</v>
      </c>
      <c r="E52" s="612" t="s">
        <v>1800</v>
      </c>
      <c r="F52" s="615">
        <v>25</v>
      </c>
      <c r="G52" s="615">
        <v>32186.440000000002</v>
      </c>
      <c r="H52" s="615">
        <v>1</v>
      </c>
      <c r="I52" s="615">
        <v>1287.4576000000002</v>
      </c>
      <c r="J52" s="615">
        <v>21</v>
      </c>
      <c r="K52" s="615">
        <v>27174</v>
      </c>
      <c r="L52" s="615">
        <v>0.84426858018469886</v>
      </c>
      <c r="M52" s="615">
        <v>1294</v>
      </c>
      <c r="N52" s="615">
        <v>9.5</v>
      </c>
      <c r="O52" s="615">
        <v>12293</v>
      </c>
      <c r="P52" s="628">
        <v>0.38193102436926851</v>
      </c>
      <c r="Q52" s="616">
        <v>1294</v>
      </c>
    </row>
    <row r="53" spans="1:17" ht="14.4" customHeight="1" x14ac:dyDescent="0.3">
      <c r="A53" s="611" t="s">
        <v>550</v>
      </c>
      <c r="B53" s="612" t="s">
        <v>1728</v>
      </c>
      <c r="C53" s="612" t="s">
        <v>1738</v>
      </c>
      <c r="D53" s="612" t="s">
        <v>1799</v>
      </c>
      <c r="E53" s="612" t="s">
        <v>1801</v>
      </c>
      <c r="F53" s="615"/>
      <c r="G53" s="615"/>
      <c r="H53" s="615"/>
      <c r="I53" s="615"/>
      <c r="J53" s="615">
        <v>6</v>
      </c>
      <c r="K53" s="615">
        <v>7764</v>
      </c>
      <c r="L53" s="615"/>
      <c r="M53" s="615">
        <v>1294</v>
      </c>
      <c r="N53" s="615"/>
      <c r="O53" s="615"/>
      <c r="P53" s="628"/>
      <c r="Q53" s="616"/>
    </row>
    <row r="54" spans="1:17" ht="14.4" customHeight="1" x14ac:dyDescent="0.3">
      <c r="A54" s="611" t="s">
        <v>550</v>
      </c>
      <c r="B54" s="612" t="s">
        <v>1728</v>
      </c>
      <c r="C54" s="612" t="s">
        <v>1738</v>
      </c>
      <c r="D54" s="612" t="s">
        <v>1802</v>
      </c>
      <c r="E54" s="612" t="s">
        <v>1803</v>
      </c>
      <c r="F54" s="615">
        <v>0</v>
      </c>
      <c r="G54" s="615">
        <v>0</v>
      </c>
      <c r="H54" s="615"/>
      <c r="I54" s="615"/>
      <c r="J54" s="615">
        <v>0</v>
      </c>
      <c r="K54" s="615">
        <v>0</v>
      </c>
      <c r="L54" s="615"/>
      <c r="M54" s="615"/>
      <c r="N54" s="615"/>
      <c r="O54" s="615"/>
      <c r="P54" s="628"/>
      <c r="Q54" s="616"/>
    </row>
    <row r="55" spans="1:17" ht="14.4" customHeight="1" x14ac:dyDescent="0.3">
      <c r="A55" s="611" t="s">
        <v>550</v>
      </c>
      <c r="B55" s="612" t="s">
        <v>1728</v>
      </c>
      <c r="C55" s="612" t="s">
        <v>1738</v>
      </c>
      <c r="D55" s="612" t="s">
        <v>1802</v>
      </c>
      <c r="E55" s="612" t="s">
        <v>1804</v>
      </c>
      <c r="F55" s="615">
        <v>2</v>
      </c>
      <c r="G55" s="615">
        <v>48111.38</v>
      </c>
      <c r="H55" s="615">
        <v>1</v>
      </c>
      <c r="I55" s="615">
        <v>24055.69</v>
      </c>
      <c r="J55" s="615">
        <v>12</v>
      </c>
      <c r="K55" s="615">
        <v>246571.44</v>
      </c>
      <c r="L55" s="615">
        <v>5.1250128348012467</v>
      </c>
      <c r="M55" s="615">
        <v>20547.62</v>
      </c>
      <c r="N55" s="615"/>
      <c r="O55" s="615"/>
      <c r="P55" s="628"/>
      <c r="Q55" s="616"/>
    </row>
    <row r="56" spans="1:17" ht="14.4" customHeight="1" x14ac:dyDescent="0.3">
      <c r="A56" s="611" t="s">
        <v>550</v>
      </c>
      <c r="B56" s="612" t="s">
        <v>1728</v>
      </c>
      <c r="C56" s="612" t="s">
        <v>1738</v>
      </c>
      <c r="D56" s="612" t="s">
        <v>1805</v>
      </c>
      <c r="E56" s="612" t="s">
        <v>1806</v>
      </c>
      <c r="F56" s="615">
        <v>69</v>
      </c>
      <c r="G56" s="615">
        <v>9195.5399999999991</v>
      </c>
      <c r="H56" s="615">
        <v>1</v>
      </c>
      <c r="I56" s="615">
        <v>133.2686956521739</v>
      </c>
      <c r="J56" s="615">
        <v>61</v>
      </c>
      <c r="K56" s="615">
        <v>8209.99</v>
      </c>
      <c r="L56" s="615">
        <v>0.89282304247493904</v>
      </c>
      <c r="M56" s="615">
        <v>134.59</v>
      </c>
      <c r="N56" s="615">
        <v>37</v>
      </c>
      <c r="O56" s="615">
        <v>4979.83</v>
      </c>
      <c r="P56" s="628">
        <v>0.54154840281266792</v>
      </c>
      <c r="Q56" s="616">
        <v>134.59</v>
      </c>
    </row>
    <row r="57" spans="1:17" ht="14.4" customHeight="1" x14ac:dyDescent="0.3">
      <c r="A57" s="611" t="s">
        <v>550</v>
      </c>
      <c r="B57" s="612" t="s">
        <v>1728</v>
      </c>
      <c r="C57" s="612" t="s">
        <v>1738</v>
      </c>
      <c r="D57" s="612" t="s">
        <v>1807</v>
      </c>
      <c r="E57" s="612" t="s">
        <v>1808</v>
      </c>
      <c r="F57" s="615">
        <v>0.1</v>
      </c>
      <c r="G57" s="615">
        <v>68.25</v>
      </c>
      <c r="H57" s="615">
        <v>1</v>
      </c>
      <c r="I57" s="615">
        <v>682.5</v>
      </c>
      <c r="J57" s="615"/>
      <c r="K57" s="615"/>
      <c r="L57" s="615"/>
      <c r="M57" s="615"/>
      <c r="N57" s="615"/>
      <c r="O57" s="615"/>
      <c r="P57" s="628"/>
      <c r="Q57" s="616"/>
    </row>
    <row r="58" spans="1:17" ht="14.4" customHeight="1" x14ac:dyDescent="0.3">
      <c r="A58" s="611" t="s">
        <v>550</v>
      </c>
      <c r="B58" s="612" t="s">
        <v>1728</v>
      </c>
      <c r="C58" s="612" t="s">
        <v>1738</v>
      </c>
      <c r="D58" s="612" t="s">
        <v>1809</v>
      </c>
      <c r="E58" s="612" t="s">
        <v>1758</v>
      </c>
      <c r="F58" s="615">
        <v>21</v>
      </c>
      <c r="G58" s="615">
        <v>5709.6900000000005</v>
      </c>
      <c r="H58" s="615">
        <v>1</v>
      </c>
      <c r="I58" s="615">
        <v>271.89000000000004</v>
      </c>
      <c r="J58" s="615">
        <v>11</v>
      </c>
      <c r="K58" s="615">
        <v>3014.59</v>
      </c>
      <c r="L58" s="615">
        <v>0.52797787620693937</v>
      </c>
      <c r="M58" s="615">
        <v>274.05363636363637</v>
      </c>
      <c r="N58" s="615"/>
      <c r="O58" s="615"/>
      <c r="P58" s="628"/>
      <c r="Q58" s="616"/>
    </row>
    <row r="59" spans="1:17" ht="14.4" customHeight="1" x14ac:dyDescent="0.3">
      <c r="A59" s="611" t="s">
        <v>550</v>
      </c>
      <c r="B59" s="612" t="s">
        <v>1728</v>
      </c>
      <c r="C59" s="612" t="s">
        <v>1738</v>
      </c>
      <c r="D59" s="612" t="s">
        <v>1810</v>
      </c>
      <c r="E59" s="612" t="s">
        <v>1811</v>
      </c>
      <c r="F59" s="615">
        <v>8</v>
      </c>
      <c r="G59" s="615">
        <v>690.32</v>
      </c>
      <c r="H59" s="615">
        <v>1</v>
      </c>
      <c r="I59" s="615">
        <v>86.29</v>
      </c>
      <c r="J59" s="615"/>
      <c r="K59" s="615"/>
      <c r="L59" s="615"/>
      <c r="M59" s="615"/>
      <c r="N59" s="615"/>
      <c r="O59" s="615"/>
      <c r="P59" s="628"/>
      <c r="Q59" s="616"/>
    </row>
    <row r="60" spans="1:17" ht="14.4" customHeight="1" x14ac:dyDescent="0.3">
      <c r="A60" s="611" t="s">
        <v>550</v>
      </c>
      <c r="B60" s="612" t="s">
        <v>1728</v>
      </c>
      <c r="C60" s="612" t="s">
        <v>1738</v>
      </c>
      <c r="D60" s="612" t="s">
        <v>1812</v>
      </c>
      <c r="E60" s="612" t="s">
        <v>1232</v>
      </c>
      <c r="F60" s="615">
        <v>11.100000000000001</v>
      </c>
      <c r="G60" s="615">
        <v>1331.7</v>
      </c>
      <c r="H60" s="615">
        <v>1</v>
      </c>
      <c r="I60" s="615">
        <v>119.97297297297297</v>
      </c>
      <c r="J60" s="615">
        <v>11.100000000000001</v>
      </c>
      <c r="K60" s="615">
        <v>527.25</v>
      </c>
      <c r="L60" s="615">
        <v>0.39592250506870913</v>
      </c>
      <c r="M60" s="615">
        <v>47.499999999999993</v>
      </c>
      <c r="N60" s="615">
        <v>3.2999999999999994</v>
      </c>
      <c r="O60" s="615">
        <v>156.75</v>
      </c>
      <c r="P60" s="628">
        <v>0.11770669069610272</v>
      </c>
      <c r="Q60" s="616">
        <v>47.500000000000007</v>
      </c>
    </row>
    <row r="61" spans="1:17" ht="14.4" customHeight="1" x14ac:dyDescent="0.3">
      <c r="A61" s="611" t="s">
        <v>550</v>
      </c>
      <c r="B61" s="612" t="s">
        <v>1728</v>
      </c>
      <c r="C61" s="612" t="s">
        <v>1738</v>
      </c>
      <c r="D61" s="612" t="s">
        <v>1743</v>
      </c>
      <c r="E61" s="612" t="s">
        <v>719</v>
      </c>
      <c r="F61" s="615"/>
      <c r="G61" s="615"/>
      <c r="H61" s="615"/>
      <c r="I61" s="615"/>
      <c r="J61" s="615"/>
      <c r="K61" s="615"/>
      <c r="L61" s="615"/>
      <c r="M61" s="615"/>
      <c r="N61" s="615">
        <v>0.6</v>
      </c>
      <c r="O61" s="615">
        <v>150.9</v>
      </c>
      <c r="P61" s="628"/>
      <c r="Q61" s="616">
        <v>251.50000000000003</v>
      </c>
    </row>
    <row r="62" spans="1:17" ht="14.4" customHeight="1" x14ac:dyDescent="0.3">
      <c r="A62" s="611" t="s">
        <v>550</v>
      </c>
      <c r="B62" s="612" t="s">
        <v>1728</v>
      </c>
      <c r="C62" s="612" t="s">
        <v>1738</v>
      </c>
      <c r="D62" s="612" t="s">
        <v>1744</v>
      </c>
      <c r="E62" s="612" t="s">
        <v>1225</v>
      </c>
      <c r="F62" s="615">
        <v>3</v>
      </c>
      <c r="G62" s="615">
        <v>61.44</v>
      </c>
      <c r="H62" s="615">
        <v>1</v>
      </c>
      <c r="I62" s="615">
        <v>20.48</v>
      </c>
      <c r="J62" s="615"/>
      <c r="K62" s="615"/>
      <c r="L62" s="615"/>
      <c r="M62" s="615"/>
      <c r="N62" s="615">
        <v>14</v>
      </c>
      <c r="O62" s="615">
        <v>498.54</v>
      </c>
      <c r="P62" s="628">
        <v>8.1142578125</v>
      </c>
      <c r="Q62" s="616">
        <v>35.61</v>
      </c>
    </row>
    <row r="63" spans="1:17" ht="14.4" customHeight="1" x14ac:dyDescent="0.3">
      <c r="A63" s="611" t="s">
        <v>550</v>
      </c>
      <c r="B63" s="612" t="s">
        <v>1728</v>
      </c>
      <c r="C63" s="612" t="s">
        <v>1738</v>
      </c>
      <c r="D63" s="612" t="s">
        <v>1813</v>
      </c>
      <c r="E63" s="612" t="s">
        <v>1123</v>
      </c>
      <c r="F63" s="615"/>
      <c r="G63" s="615"/>
      <c r="H63" s="615"/>
      <c r="I63" s="615"/>
      <c r="J63" s="615">
        <v>16</v>
      </c>
      <c r="K63" s="615">
        <v>1168.8</v>
      </c>
      <c r="L63" s="615"/>
      <c r="M63" s="615">
        <v>73.05</v>
      </c>
      <c r="N63" s="615">
        <v>9</v>
      </c>
      <c r="O63" s="615">
        <v>618.66</v>
      </c>
      <c r="P63" s="628"/>
      <c r="Q63" s="616">
        <v>68.739999999999995</v>
      </c>
    </row>
    <row r="64" spans="1:17" ht="14.4" customHeight="1" x14ac:dyDescent="0.3">
      <c r="A64" s="611" t="s">
        <v>550</v>
      </c>
      <c r="B64" s="612" t="s">
        <v>1728</v>
      </c>
      <c r="C64" s="612" t="s">
        <v>1738</v>
      </c>
      <c r="D64" s="612" t="s">
        <v>1814</v>
      </c>
      <c r="E64" s="612" t="s">
        <v>1815</v>
      </c>
      <c r="F64" s="615">
        <v>9.1999999999999993</v>
      </c>
      <c r="G64" s="615">
        <v>28438.12</v>
      </c>
      <c r="H64" s="615">
        <v>1</v>
      </c>
      <c r="I64" s="615">
        <v>3091.1</v>
      </c>
      <c r="J64" s="615">
        <v>1.5</v>
      </c>
      <c r="K64" s="615">
        <v>3304.6499999999996</v>
      </c>
      <c r="L64" s="615">
        <v>0.11620493900440675</v>
      </c>
      <c r="M64" s="615">
        <v>2203.1</v>
      </c>
      <c r="N64" s="615">
        <v>2.2000000000000002</v>
      </c>
      <c r="O64" s="615">
        <v>4846.82</v>
      </c>
      <c r="P64" s="628">
        <v>0.17043391053979659</v>
      </c>
      <c r="Q64" s="616">
        <v>2203.1</v>
      </c>
    </row>
    <row r="65" spans="1:17" ht="14.4" customHeight="1" x14ac:dyDescent="0.3">
      <c r="A65" s="611" t="s">
        <v>550</v>
      </c>
      <c r="B65" s="612" t="s">
        <v>1728</v>
      </c>
      <c r="C65" s="612" t="s">
        <v>1738</v>
      </c>
      <c r="D65" s="612" t="s">
        <v>1816</v>
      </c>
      <c r="E65" s="612" t="s">
        <v>1029</v>
      </c>
      <c r="F65" s="615">
        <v>9.5</v>
      </c>
      <c r="G65" s="615">
        <v>137773.44</v>
      </c>
      <c r="H65" s="615">
        <v>1</v>
      </c>
      <c r="I65" s="615">
        <v>14502.467368421052</v>
      </c>
      <c r="J65" s="615">
        <v>16</v>
      </c>
      <c r="K65" s="615">
        <v>261044.45</v>
      </c>
      <c r="L65" s="615">
        <v>1.8947371133362134</v>
      </c>
      <c r="M65" s="615">
        <v>16315.278125000001</v>
      </c>
      <c r="N65" s="615">
        <v>17</v>
      </c>
      <c r="O65" s="615">
        <v>277395.25</v>
      </c>
      <c r="P65" s="628">
        <v>2.0134160110976396</v>
      </c>
      <c r="Q65" s="616">
        <v>16317.367647058823</v>
      </c>
    </row>
    <row r="66" spans="1:17" ht="14.4" customHeight="1" x14ac:dyDescent="0.3">
      <c r="A66" s="611" t="s">
        <v>550</v>
      </c>
      <c r="B66" s="612" t="s">
        <v>1728</v>
      </c>
      <c r="C66" s="612" t="s">
        <v>1738</v>
      </c>
      <c r="D66" s="612" t="s">
        <v>1745</v>
      </c>
      <c r="E66" s="612" t="s">
        <v>1746</v>
      </c>
      <c r="F66" s="615">
        <v>2.7</v>
      </c>
      <c r="G66" s="615">
        <v>1651.35</v>
      </c>
      <c r="H66" s="615">
        <v>1</v>
      </c>
      <c r="I66" s="615">
        <v>611.61111111111109</v>
      </c>
      <c r="J66" s="615">
        <v>2.6799999999999997</v>
      </c>
      <c r="K66" s="615">
        <v>1190.29</v>
      </c>
      <c r="L66" s="615">
        <v>0.72079813485935751</v>
      </c>
      <c r="M66" s="615">
        <v>444.13805970149258</v>
      </c>
      <c r="N66" s="615">
        <v>1.7000000000000002</v>
      </c>
      <c r="O66" s="615">
        <v>753.43999999999994</v>
      </c>
      <c r="P66" s="628">
        <v>0.45625700184697365</v>
      </c>
      <c r="Q66" s="616">
        <v>443.19999999999993</v>
      </c>
    </row>
    <row r="67" spans="1:17" ht="14.4" customHeight="1" x14ac:dyDescent="0.3">
      <c r="A67" s="611" t="s">
        <v>550</v>
      </c>
      <c r="B67" s="612" t="s">
        <v>1728</v>
      </c>
      <c r="C67" s="612" t="s">
        <v>1738</v>
      </c>
      <c r="D67" s="612" t="s">
        <v>1747</v>
      </c>
      <c r="E67" s="612" t="s">
        <v>1748</v>
      </c>
      <c r="F67" s="615">
        <v>76.3</v>
      </c>
      <c r="G67" s="615">
        <v>22475.29</v>
      </c>
      <c r="H67" s="615">
        <v>1</v>
      </c>
      <c r="I67" s="615">
        <v>294.56474442988207</v>
      </c>
      <c r="J67" s="615">
        <v>23.1</v>
      </c>
      <c r="K67" s="615">
        <v>2646.79</v>
      </c>
      <c r="L67" s="615">
        <v>0.11776444263900487</v>
      </c>
      <c r="M67" s="615">
        <v>114.57965367965367</v>
      </c>
      <c r="N67" s="615">
        <v>22.1</v>
      </c>
      <c r="O67" s="615">
        <v>2532.21</v>
      </c>
      <c r="P67" s="628">
        <v>0.11266639941019671</v>
      </c>
      <c r="Q67" s="616">
        <v>114.57963800904977</v>
      </c>
    </row>
    <row r="68" spans="1:17" ht="14.4" customHeight="1" x14ac:dyDescent="0.3">
      <c r="A68" s="611" t="s">
        <v>550</v>
      </c>
      <c r="B68" s="612" t="s">
        <v>1728</v>
      </c>
      <c r="C68" s="612" t="s">
        <v>1738</v>
      </c>
      <c r="D68" s="612" t="s">
        <v>1751</v>
      </c>
      <c r="E68" s="612" t="s">
        <v>1752</v>
      </c>
      <c r="F68" s="615">
        <v>30.4</v>
      </c>
      <c r="G68" s="615">
        <v>1959.1699999999996</v>
      </c>
      <c r="H68" s="615">
        <v>1</v>
      </c>
      <c r="I68" s="615">
        <v>64.446381578947353</v>
      </c>
      <c r="J68" s="615">
        <v>30.400000000000002</v>
      </c>
      <c r="K68" s="615">
        <v>1470.1899999999998</v>
      </c>
      <c r="L68" s="615">
        <v>0.75041471643604185</v>
      </c>
      <c r="M68" s="615">
        <v>48.361513157894727</v>
      </c>
      <c r="N68" s="615">
        <v>31.3</v>
      </c>
      <c r="O68" s="615">
        <v>1515.0100000000002</v>
      </c>
      <c r="P68" s="628">
        <v>0.77329175109867976</v>
      </c>
      <c r="Q68" s="616">
        <v>48.402875399361029</v>
      </c>
    </row>
    <row r="69" spans="1:17" ht="14.4" customHeight="1" x14ac:dyDescent="0.3">
      <c r="A69" s="611" t="s">
        <v>550</v>
      </c>
      <c r="B69" s="612" t="s">
        <v>1728</v>
      </c>
      <c r="C69" s="612" t="s">
        <v>1738</v>
      </c>
      <c r="D69" s="612" t="s">
        <v>1817</v>
      </c>
      <c r="E69" s="612" t="s">
        <v>1818</v>
      </c>
      <c r="F69" s="615"/>
      <c r="G69" s="615"/>
      <c r="H69" s="615"/>
      <c r="I69" s="615"/>
      <c r="J69" s="615">
        <v>1.8</v>
      </c>
      <c r="K69" s="615">
        <v>1100.18</v>
      </c>
      <c r="L69" s="615"/>
      <c r="M69" s="615">
        <v>611.21111111111111</v>
      </c>
      <c r="N69" s="615">
        <v>0.7</v>
      </c>
      <c r="O69" s="615">
        <v>423.57</v>
      </c>
      <c r="P69" s="628"/>
      <c r="Q69" s="616">
        <v>605.1</v>
      </c>
    </row>
    <row r="70" spans="1:17" ht="14.4" customHeight="1" x14ac:dyDescent="0.3">
      <c r="A70" s="611" t="s">
        <v>550</v>
      </c>
      <c r="B70" s="612" t="s">
        <v>1728</v>
      </c>
      <c r="C70" s="612" t="s">
        <v>1738</v>
      </c>
      <c r="D70" s="612" t="s">
        <v>1819</v>
      </c>
      <c r="E70" s="612" t="s">
        <v>1820</v>
      </c>
      <c r="F70" s="615">
        <v>3</v>
      </c>
      <c r="G70" s="615">
        <v>10515.3</v>
      </c>
      <c r="H70" s="615">
        <v>1</v>
      </c>
      <c r="I70" s="615">
        <v>3505.1</v>
      </c>
      <c r="J70" s="615">
        <v>5</v>
      </c>
      <c r="K70" s="615">
        <v>17679.2</v>
      </c>
      <c r="L70" s="615">
        <v>1.6812834631441806</v>
      </c>
      <c r="M70" s="615">
        <v>3535.84</v>
      </c>
      <c r="N70" s="615"/>
      <c r="O70" s="615"/>
      <c r="P70" s="628"/>
      <c r="Q70" s="616"/>
    </row>
    <row r="71" spans="1:17" ht="14.4" customHeight="1" x14ac:dyDescent="0.3">
      <c r="A71" s="611" t="s">
        <v>550</v>
      </c>
      <c r="B71" s="612" t="s">
        <v>1728</v>
      </c>
      <c r="C71" s="612" t="s">
        <v>1738</v>
      </c>
      <c r="D71" s="612" t="s">
        <v>1821</v>
      </c>
      <c r="E71" s="612" t="s">
        <v>1160</v>
      </c>
      <c r="F71" s="615"/>
      <c r="G71" s="615"/>
      <c r="H71" s="615"/>
      <c r="I71" s="615"/>
      <c r="J71" s="615">
        <v>6</v>
      </c>
      <c r="K71" s="615">
        <v>1645.62</v>
      </c>
      <c r="L71" s="615"/>
      <c r="M71" s="615">
        <v>274.27</v>
      </c>
      <c r="N71" s="615">
        <v>14</v>
      </c>
      <c r="O71" s="615">
        <v>1353.66</v>
      </c>
      <c r="P71" s="628"/>
      <c r="Q71" s="616">
        <v>96.690000000000012</v>
      </c>
    </row>
    <row r="72" spans="1:17" ht="14.4" customHeight="1" x14ac:dyDescent="0.3">
      <c r="A72" s="611" t="s">
        <v>550</v>
      </c>
      <c r="B72" s="612" t="s">
        <v>1728</v>
      </c>
      <c r="C72" s="612" t="s">
        <v>1738</v>
      </c>
      <c r="D72" s="612" t="s">
        <v>1822</v>
      </c>
      <c r="E72" s="612" t="s">
        <v>1148</v>
      </c>
      <c r="F72" s="615"/>
      <c r="G72" s="615"/>
      <c r="H72" s="615"/>
      <c r="I72" s="615"/>
      <c r="J72" s="615"/>
      <c r="K72" s="615"/>
      <c r="L72" s="615"/>
      <c r="M72" s="615"/>
      <c r="N72" s="615">
        <v>5</v>
      </c>
      <c r="O72" s="615">
        <v>9174.09</v>
      </c>
      <c r="P72" s="628"/>
      <c r="Q72" s="616">
        <v>1834.818</v>
      </c>
    </row>
    <row r="73" spans="1:17" ht="14.4" customHeight="1" x14ac:dyDescent="0.3">
      <c r="A73" s="611" t="s">
        <v>550</v>
      </c>
      <c r="B73" s="612" t="s">
        <v>1728</v>
      </c>
      <c r="C73" s="612" t="s">
        <v>1738</v>
      </c>
      <c r="D73" s="612" t="s">
        <v>1753</v>
      </c>
      <c r="E73" s="612" t="s">
        <v>1754</v>
      </c>
      <c r="F73" s="615"/>
      <c r="G73" s="615"/>
      <c r="H73" s="615"/>
      <c r="I73" s="615"/>
      <c r="J73" s="615">
        <v>3.42</v>
      </c>
      <c r="K73" s="615">
        <v>12407.82</v>
      </c>
      <c r="L73" s="615"/>
      <c r="M73" s="615">
        <v>3628.0175438596493</v>
      </c>
      <c r="N73" s="615">
        <v>1.04</v>
      </c>
      <c r="O73" s="615">
        <v>3773.12</v>
      </c>
      <c r="P73" s="628"/>
      <c r="Q73" s="616">
        <v>3627.9999999999995</v>
      </c>
    </row>
    <row r="74" spans="1:17" ht="14.4" customHeight="1" x14ac:dyDescent="0.3">
      <c r="A74" s="611" t="s">
        <v>550</v>
      </c>
      <c r="B74" s="612" t="s">
        <v>1728</v>
      </c>
      <c r="C74" s="612" t="s">
        <v>1738</v>
      </c>
      <c r="D74" s="612" t="s">
        <v>1176</v>
      </c>
      <c r="E74" s="612" t="s">
        <v>1823</v>
      </c>
      <c r="F74" s="615"/>
      <c r="G74" s="615"/>
      <c r="H74" s="615"/>
      <c r="I74" s="615"/>
      <c r="J74" s="615"/>
      <c r="K74" s="615"/>
      <c r="L74" s="615"/>
      <c r="M74" s="615"/>
      <c r="N74" s="615">
        <v>1</v>
      </c>
      <c r="O74" s="615">
        <v>3503.39</v>
      </c>
      <c r="P74" s="628"/>
      <c r="Q74" s="616">
        <v>3503.39</v>
      </c>
    </row>
    <row r="75" spans="1:17" ht="14.4" customHeight="1" x14ac:dyDescent="0.3">
      <c r="A75" s="611" t="s">
        <v>550</v>
      </c>
      <c r="B75" s="612" t="s">
        <v>1728</v>
      </c>
      <c r="C75" s="612" t="s">
        <v>1738</v>
      </c>
      <c r="D75" s="612" t="s">
        <v>1824</v>
      </c>
      <c r="E75" s="612" t="s">
        <v>1825</v>
      </c>
      <c r="F75" s="615"/>
      <c r="G75" s="615"/>
      <c r="H75" s="615"/>
      <c r="I75" s="615"/>
      <c r="J75" s="615">
        <v>4</v>
      </c>
      <c r="K75" s="615">
        <v>140.5</v>
      </c>
      <c r="L75" s="615"/>
      <c r="M75" s="615">
        <v>35.125</v>
      </c>
      <c r="N75" s="615"/>
      <c r="O75" s="615"/>
      <c r="P75" s="628"/>
      <c r="Q75" s="616"/>
    </row>
    <row r="76" spans="1:17" ht="14.4" customHeight="1" x14ac:dyDescent="0.3">
      <c r="A76" s="611" t="s">
        <v>550</v>
      </c>
      <c r="B76" s="612" t="s">
        <v>1728</v>
      </c>
      <c r="C76" s="612" t="s">
        <v>1756</v>
      </c>
      <c r="D76" s="612" t="s">
        <v>1826</v>
      </c>
      <c r="E76" s="612" t="s">
        <v>1758</v>
      </c>
      <c r="F76" s="615">
        <v>1</v>
      </c>
      <c r="G76" s="615">
        <v>2579.8200000000002</v>
      </c>
      <c r="H76" s="615">
        <v>1</v>
      </c>
      <c r="I76" s="615">
        <v>2579.8200000000002</v>
      </c>
      <c r="J76" s="615"/>
      <c r="K76" s="615"/>
      <c r="L76" s="615"/>
      <c r="M76" s="615"/>
      <c r="N76" s="615"/>
      <c r="O76" s="615"/>
      <c r="P76" s="628"/>
      <c r="Q76" s="616"/>
    </row>
    <row r="77" spans="1:17" ht="14.4" customHeight="1" x14ac:dyDescent="0.3">
      <c r="A77" s="611" t="s">
        <v>550</v>
      </c>
      <c r="B77" s="612" t="s">
        <v>1728</v>
      </c>
      <c r="C77" s="612" t="s">
        <v>1756</v>
      </c>
      <c r="D77" s="612" t="s">
        <v>1757</v>
      </c>
      <c r="E77" s="612" t="s">
        <v>1758</v>
      </c>
      <c r="F77" s="615">
        <v>84</v>
      </c>
      <c r="G77" s="615">
        <v>129782.20000000001</v>
      </c>
      <c r="H77" s="615">
        <v>1</v>
      </c>
      <c r="I77" s="615">
        <v>1545.0261904761905</v>
      </c>
      <c r="J77" s="615">
        <v>109</v>
      </c>
      <c r="K77" s="615">
        <v>174168.38999999998</v>
      </c>
      <c r="L77" s="615">
        <v>1.3420052210549673</v>
      </c>
      <c r="M77" s="615">
        <v>1597.8751376146788</v>
      </c>
      <c r="N77" s="615">
        <v>72</v>
      </c>
      <c r="O77" s="615">
        <v>116211.6</v>
      </c>
      <c r="P77" s="628">
        <v>0.8954355836162432</v>
      </c>
      <c r="Q77" s="616">
        <v>1614.0500000000002</v>
      </c>
    </row>
    <row r="78" spans="1:17" ht="14.4" customHeight="1" x14ac:dyDescent="0.3">
      <c r="A78" s="611" t="s">
        <v>550</v>
      </c>
      <c r="B78" s="612" t="s">
        <v>1728</v>
      </c>
      <c r="C78" s="612" t="s">
        <v>1756</v>
      </c>
      <c r="D78" s="612" t="s">
        <v>1757</v>
      </c>
      <c r="E78" s="612" t="s">
        <v>1759</v>
      </c>
      <c r="F78" s="615">
        <v>15</v>
      </c>
      <c r="G78" s="615">
        <v>23193.599999999999</v>
      </c>
      <c r="H78" s="615">
        <v>1</v>
      </c>
      <c r="I78" s="615">
        <v>1546.24</v>
      </c>
      <c r="J78" s="615">
        <v>21</v>
      </c>
      <c r="K78" s="615">
        <v>33895.050000000003</v>
      </c>
      <c r="L78" s="615">
        <v>1.46139667839404</v>
      </c>
      <c r="M78" s="615">
        <v>1614.0500000000002</v>
      </c>
      <c r="N78" s="615">
        <v>8</v>
      </c>
      <c r="O78" s="615">
        <v>12912.4</v>
      </c>
      <c r="P78" s="628">
        <v>0.55672254415011035</v>
      </c>
      <c r="Q78" s="616">
        <v>1614.05</v>
      </c>
    </row>
    <row r="79" spans="1:17" ht="14.4" customHeight="1" x14ac:dyDescent="0.3">
      <c r="A79" s="611" t="s">
        <v>550</v>
      </c>
      <c r="B79" s="612" t="s">
        <v>1728</v>
      </c>
      <c r="C79" s="612" t="s">
        <v>1756</v>
      </c>
      <c r="D79" s="612" t="s">
        <v>1760</v>
      </c>
      <c r="E79" s="612" t="s">
        <v>1758</v>
      </c>
      <c r="F79" s="615">
        <v>20</v>
      </c>
      <c r="G79" s="615">
        <v>73128.499999999985</v>
      </c>
      <c r="H79" s="615">
        <v>1</v>
      </c>
      <c r="I79" s="615">
        <v>3656.4249999999993</v>
      </c>
      <c r="J79" s="615">
        <v>14</v>
      </c>
      <c r="K79" s="615">
        <v>54676.720000000008</v>
      </c>
      <c r="L79" s="615">
        <v>0.74768004266462484</v>
      </c>
      <c r="M79" s="615">
        <v>3905.4800000000005</v>
      </c>
      <c r="N79" s="615">
        <v>16</v>
      </c>
      <c r="O79" s="615">
        <v>62487.680000000008</v>
      </c>
      <c r="P79" s="628">
        <v>0.85449147733099984</v>
      </c>
      <c r="Q79" s="616">
        <v>3905.4800000000005</v>
      </c>
    </row>
    <row r="80" spans="1:17" ht="14.4" customHeight="1" x14ac:dyDescent="0.3">
      <c r="A80" s="611" t="s">
        <v>550</v>
      </c>
      <c r="B80" s="612" t="s">
        <v>1728</v>
      </c>
      <c r="C80" s="612" t="s">
        <v>1756</v>
      </c>
      <c r="D80" s="612" t="s">
        <v>1760</v>
      </c>
      <c r="E80" s="612" t="s">
        <v>1761</v>
      </c>
      <c r="F80" s="615">
        <v>2</v>
      </c>
      <c r="G80" s="615">
        <v>7444.9</v>
      </c>
      <c r="H80" s="615">
        <v>1</v>
      </c>
      <c r="I80" s="615">
        <v>3722.45</v>
      </c>
      <c r="J80" s="615">
        <v>10</v>
      </c>
      <c r="K80" s="615">
        <v>39054.800000000003</v>
      </c>
      <c r="L80" s="615">
        <v>5.2458461497132269</v>
      </c>
      <c r="M80" s="615">
        <v>3905.4800000000005</v>
      </c>
      <c r="N80" s="615">
        <v>6</v>
      </c>
      <c r="O80" s="615">
        <v>23432.880000000001</v>
      </c>
      <c r="P80" s="628">
        <v>3.1475076898279362</v>
      </c>
      <c r="Q80" s="616">
        <v>3905.48</v>
      </c>
    </row>
    <row r="81" spans="1:17" ht="14.4" customHeight="1" x14ac:dyDescent="0.3">
      <c r="A81" s="611" t="s">
        <v>550</v>
      </c>
      <c r="B81" s="612" t="s">
        <v>1728</v>
      </c>
      <c r="C81" s="612" t="s">
        <v>1756</v>
      </c>
      <c r="D81" s="612" t="s">
        <v>1827</v>
      </c>
      <c r="E81" s="612" t="s">
        <v>1758</v>
      </c>
      <c r="F81" s="615">
        <v>8</v>
      </c>
      <c r="G81" s="615">
        <v>6906.9500000000007</v>
      </c>
      <c r="H81" s="615">
        <v>1</v>
      </c>
      <c r="I81" s="615">
        <v>863.36875000000009</v>
      </c>
      <c r="J81" s="615">
        <v>19</v>
      </c>
      <c r="K81" s="615">
        <v>17549.169999999998</v>
      </c>
      <c r="L81" s="615">
        <v>2.5407987606686016</v>
      </c>
      <c r="M81" s="615">
        <v>923.64052631578943</v>
      </c>
      <c r="N81" s="615">
        <v>22</v>
      </c>
      <c r="O81" s="615">
        <v>20362.54</v>
      </c>
      <c r="P81" s="628">
        <v>2.9481232671439637</v>
      </c>
      <c r="Q81" s="616">
        <v>925.57</v>
      </c>
    </row>
    <row r="82" spans="1:17" ht="14.4" customHeight="1" x14ac:dyDescent="0.3">
      <c r="A82" s="611" t="s">
        <v>550</v>
      </c>
      <c r="B82" s="612" t="s">
        <v>1728</v>
      </c>
      <c r="C82" s="612" t="s">
        <v>1756</v>
      </c>
      <c r="D82" s="612" t="s">
        <v>1827</v>
      </c>
      <c r="E82" s="612" t="s">
        <v>1828</v>
      </c>
      <c r="F82" s="615">
        <v>4</v>
      </c>
      <c r="G82" s="615">
        <v>3555.64</v>
      </c>
      <c r="H82" s="615">
        <v>1</v>
      </c>
      <c r="I82" s="615">
        <v>888.91</v>
      </c>
      <c r="J82" s="615">
        <v>1</v>
      </c>
      <c r="K82" s="615">
        <v>925.57</v>
      </c>
      <c r="L82" s="615">
        <v>0.26031038012847196</v>
      </c>
      <c r="M82" s="615">
        <v>925.57</v>
      </c>
      <c r="N82" s="615">
        <v>7</v>
      </c>
      <c r="O82" s="615">
        <v>6478.9900000000007</v>
      </c>
      <c r="P82" s="628">
        <v>1.8221726608993039</v>
      </c>
      <c r="Q82" s="616">
        <v>925.57</v>
      </c>
    </row>
    <row r="83" spans="1:17" ht="14.4" customHeight="1" x14ac:dyDescent="0.3">
      <c r="A83" s="611" t="s">
        <v>550</v>
      </c>
      <c r="B83" s="612" t="s">
        <v>1728</v>
      </c>
      <c r="C83" s="612" t="s">
        <v>1756</v>
      </c>
      <c r="D83" s="612" t="s">
        <v>1762</v>
      </c>
      <c r="E83" s="612" t="s">
        <v>1758</v>
      </c>
      <c r="F83" s="615">
        <v>89</v>
      </c>
      <c r="G83" s="615">
        <v>17683.660000000003</v>
      </c>
      <c r="H83" s="615">
        <v>1</v>
      </c>
      <c r="I83" s="615">
        <v>198.69280898876409</v>
      </c>
      <c r="J83" s="615">
        <v>104</v>
      </c>
      <c r="K83" s="615">
        <v>24731.98</v>
      </c>
      <c r="L83" s="615">
        <v>1.3985781224022626</v>
      </c>
      <c r="M83" s="615">
        <v>237.8075</v>
      </c>
      <c r="N83" s="615">
        <v>72</v>
      </c>
      <c r="O83" s="615">
        <v>17184.960000000003</v>
      </c>
      <c r="P83" s="628">
        <v>0.97179882445149923</v>
      </c>
      <c r="Q83" s="616">
        <v>238.68000000000004</v>
      </c>
    </row>
    <row r="84" spans="1:17" ht="14.4" customHeight="1" x14ac:dyDescent="0.3">
      <c r="A84" s="611" t="s">
        <v>550</v>
      </c>
      <c r="B84" s="612" t="s">
        <v>1728</v>
      </c>
      <c r="C84" s="612" t="s">
        <v>1756</v>
      </c>
      <c r="D84" s="612" t="s">
        <v>1762</v>
      </c>
      <c r="E84" s="612" t="s">
        <v>1763</v>
      </c>
      <c r="F84" s="615">
        <v>15</v>
      </c>
      <c r="G84" s="615">
        <v>3527.8500000000004</v>
      </c>
      <c r="H84" s="615">
        <v>1</v>
      </c>
      <c r="I84" s="615">
        <v>235.19000000000003</v>
      </c>
      <c r="J84" s="615">
        <v>22</v>
      </c>
      <c r="K84" s="615">
        <v>5250.96</v>
      </c>
      <c r="L84" s="615">
        <v>1.48843063055402</v>
      </c>
      <c r="M84" s="615">
        <v>238.68</v>
      </c>
      <c r="N84" s="615">
        <v>8</v>
      </c>
      <c r="O84" s="615">
        <v>1909.44</v>
      </c>
      <c r="P84" s="628">
        <v>0.54124750201964367</v>
      </c>
      <c r="Q84" s="616">
        <v>238.68</v>
      </c>
    </row>
    <row r="85" spans="1:17" ht="14.4" customHeight="1" x14ac:dyDescent="0.3">
      <c r="A85" s="611" t="s">
        <v>550</v>
      </c>
      <c r="B85" s="612" t="s">
        <v>1728</v>
      </c>
      <c r="C85" s="612" t="s">
        <v>1756</v>
      </c>
      <c r="D85" s="612" t="s">
        <v>1829</v>
      </c>
      <c r="E85" s="612" t="s">
        <v>1758</v>
      </c>
      <c r="F85" s="615"/>
      <c r="G85" s="615"/>
      <c r="H85" s="615"/>
      <c r="I85" s="615"/>
      <c r="J85" s="615">
        <v>1</v>
      </c>
      <c r="K85" s="615">
        <v>9686.1</v>
      </c>
      <c r="L85" s="615"/>
      <c r="M85" s="615">
        <v>9686.1</v>
      </c>
      <c r="N85" s="615"/>
      <c r="O85" s="615"/>
      <c r="P85" s="628"/>
      <c r="Q85" s="616"/>
    </row>
    <row r="86" spans="1:17" ht="14.4" customHeight="1" x14ac:dyDescent="0.3">
      <c r="A86" s="611" t="s">
        <v>550</v>
      </c>
      <c r="B86" s="612" t="s">
        <v>1728</v>
      </c>
      <c r="C86" s="612" t="s">
        <v>1830</v>
      </c>
      <c r="D86" s="612" t="s">
        <v>1831</v>
      </c>
      <c r="E86" s="612" t="s">
        <v>1832</v>
      </c>
      <c r="F86" s="615"/>
      <c r="G86" s="615"/>
      <c r="H86" s="615"/>
      <c r="I86" s="615"/>
      <c r="J86" s="615"/>
      <c r="K86" s="615"/>
      <c r="L86" s="615"/>
      <c r="M86" s="615"/>
      <c r="N86" s="615">
        <v>1</v>
      </c>
      <c r="O86" s="615">
        <v>5440.91</v>
      </c>
      <c r="P86" s="628"/>
      <c r="Q86" s="616">
        <v>5440.91</v>
      </c>
    </row>
    <row r="87" spans="1:17" ht="14.4" customHeight="1" x14ac:dyDescent="0.3">
      <c r="A87" s="611" t="s">
        <v>550</v>
      </c>
      <c r="B87" s="612" t="s">
        <v>1728</v>
      </c>
      <c r="C87" s="612" t="s">
        <v>1830</v>
      </c>
      <c r="D87" s="612" t="s">
        <v>1833</v>
      </c>
      <c r="E87" s="612" t="s">
        <v>1834</v>
      </c>
      <c r="F87" s="615">
        <v>1</v>
      </c>
      <c r="G87" s="615">
        <v>10478</v>
      </c>
      <c r="H87" s="615">
        <v>1</v>
      </c>
      <c r="I87" s="615">
        <v>10478</v>
      </c>
      <c r="J87" s="615"/>
      <c r="K87" s="615"/>
      <c r="L87" s="615"/>
      <c r="M87" s="615"/>
      <c r="N87" s="615"/>
      <c r="O87" s="615"/>
      <c r="P87" s="628"/>
      <c r="Q87" s="616"/>
    </row>
    <row r="88" spans="1:17" ht="14.4" customHeight="1" x14ac:dyDescent="0.3">
      <c r="A88" s="611" t="s">
        <v>550</v>
      </c>
      <c r="B88" s="612" t="s">
        <v>1728</v>
      </c>
      <c r="C88" s="612" t="s">
        <v>1830</v>
      </c>
      <c r="D88" s="612" t="s">
        <v>1835</v>
      </c>
      <c r="E88" s="612" t="s">
        <v>1836</v>
      </c>
      <c r="F88" s="615"/>
      <c r="G88" s="615"/>
      <c r="H88" s="615"/>
      <c r="I88" s="615"/>
      <c r="J88" s="615"/>
      <c r="K88" s="615"/>
      <c r="L88" s="615"/>
      <c r="M88" s="615"/>
      <c r="N88" s="615">
        <v>1</v>
      </c>
      <c r="O88" s="615">
        <v>61920</v>
      </c>
      <c r="P88" s="628"/>
      <c r="Q88" s="616">
        <v>61920</v>
      </c>
    </row>
    <row r="89" spans="1:17" ht="14.4" customHeight="1" x14ac:dyDescent="0.3">
      <c r="A89" s="611" t="s">
        <v>550</v>
      </c>
      <c r="B89" s="612" t="s">
        <v>1728</v>
      </c>
      <c r="C89" s="612" t="s">
        <v>1830</v>
      </c>
      <c r="D89" s="612" t="s">
        <v>1837</v>
      </c>
      <c r="E89" s="612" t="s">
        <v>1838</v>
      </c>
      <c r="F89" s="615"/>
      <c r="G89" s="615"/>
      <c r="H89" s="615"/>
      <c r="I89" s="615"/>
      <c r="J89" s="615"/>
      <c r="K89" s="615"/>
      <c r="L89" s="615"/>
      <c r="M89" s="615"/>
      <c r="N89" s="615">
        <v>1</v>
      </c>
      <c r="O89" s="615">
        <v>8073</v>
      </c>
      <c r="P89" s="628"/>
      <c r="Q89" s="616">
        <v>8073</v>
      </c>
    </row>
    <row r="90" spans="1:17" ht="14.4" customHeight="1" x14ac:dyDescent="0.3">
      <c r="A90" s="611" t="s">
        <v>550</v>
      </c>
      <c r="B90" s="612" t="s">
        <v>1728</v>
      </c>
      <c r="C90" s="612" t="s">
        <v>1830</v>
      </c>
      <c r="D90" s="612" t="s">
        <v>1839</v>
      </c>
      <c r="E90" s="612" t="s">
        <v>1840</v>
      </c>
      <c r="F90" s="615"/>
      <c r="G90" s="615"/>
      <c r="H90" s="615"/>
      <c r="I90" s="615"/>
      <c r="J90" s="615"/>
      <c r="K90" s="615"/>
      <c r="L90" s="615"/>
      <c r="M90" s="615"/>
      <c r="N90" s="615">
        <v>1</v>
      </c>
      <c r="O90" s="615">
        <v>5610</v>
      </c>
      <c r="P90" s="628"/>
      <c r="Q90" s="616">
        <v>5610</v>
      </c>
    </row>
    <row r="91" spans="1:17" ht="14.4" customHeight="1" x14ac:dyDescent="0.3">
      <c r="A91" s="611" t="s">
        <v>550</v>
      </c>
      <c r="B91" s="612" t="s">
        <v>1728</v>
      </c>
      <c r="C91" s="612" t="s">
        <v>1729</v>
      </c>
      <c r="D91" s="612" t="s">
        <v>1841</v>
      </c>
      <c r="E91" s="612" t="s">
        <v>1842</v>
      </c>
      <c r="F91" s="615">
        <v>293</v>
      </c>
      <c r="G91" s="615">
        <v>8485439</v>
      </c>
      <c r="H91" s="615">
        <v>1</v>
      </c>
      <c r="I91" s="615">
        <v>28960.54266211604</v>
      </c>
      <c r="J91" s="615">
        <v>317</v>
      </c>
      <c r="K91" s="615">
        <v>9181839</v>
      </c>
      <c r="L91" s="615">
        <v>1.082070002506647</v>
      </c>
      <c r="M91" s="615">
        <v>28964.791798107257</v>
      </c>
      <c r="N91" s="615">
        <v>209</v>
      </c>
      <c r="O91" s="615">
        <v>6053685</v>
      </c>
      <c r="P91" s="628">
        <v>0.713420366347575</v>
      </c>
      <c r="Q91" s="616">
        <v>28965</v>
      </c>
    </row>
    <row r="92" spans="1:17" ht="14.4" customHeight="1" x14ac:dyDescent="0.3">
      <c r="A92" s="611" t="s">
        <v>550</v>
      </c>
      <c r="B92" s="612" t="s">
        <v>1728</v>
      </c>
      <c r="C92" s="612" t="s">
        <v>1729</v>
      </c>
      <c r="D92" s="612" t="s">
        <v>1843</v>
      </c>
      <c r="E92" s="612" t="s">
        <v>1844</v>
      </c>
      <c r="F92" s="615">
        <v>499</v>
      </c>
      <c r="G92" s="615">
        <v>6820498</v>
      </c>
      <c r="H92" s="615">
        <v>1</v>
      </c>
      <c r="I92" s="615">
        <v>13668.332665330661</v>
      </c>
      <c r="J92" s="615">
        <v>634</v>
      </c>
      <c r="K92" s="615">
        <v>8667878</v>
      </c>
      <c r="L92" s="615">
        <v>1.2708570547194649</v>
      </c>
      <c r="M92" s="615">
        <v>13671.731861198738</v>
      </c>
      <c r="N92" s="615">
        <v>508</v>
      </c>
      <c r="O92" s="615">
        <v>6945376</v>
      </c>
      <c r="P92" s="628">
        <v>1.0183092202358244</v>
      </c>
      <c r="Q92" s="616">
        <v>13672</v>
      </c>
    </row>
    <row r="93" spans="1:17" ht="14.4" customHeight="1" x14ac:dyDescent="0.3">
      <c r="A93" s="611" t="s">
        <v>550</v>
      </c>
      <c r="B93" s="612" t="s">
        <v>1728</v>
      </c>
      <c r="C93" s="612" t="s">
        <v>1729</v>
      </c>
      <c r="D93" s="612" t="s">
        <v>1770</v>
      </c>
      <c r="E93" s="612" t="s">
        <v>1771</v>
      </c>
      <c r="F93" s="615">
        <v>0</v>
      </c>
      <c r="G93" s="615">
        <v>0</v>
      </c>
      <c r="H93" s="615"/>
      <c r="I93" s="615"/>
      <c r="J93" s="615">
        <v>0</v>
      </c>
      <c r="K93" s="615">
        <v>0</v>
      </c>
      <c r="L93" s="615"/>
      <c r="M93" s="615"/>
      <c r="N93" s="615">
        <v>0</v>
      </c>
      <c r="O93" s="615">
        <v>0</v>
      </c>
      <c r="P93" s="628"/>
      <c r="Q93" s="616"/>
    </row>
    <row r="94" spans="1:17" ht="14.4" customHeight="1" x14ac:dyDescent="0.3">
      <c r="A94" s="611" t="s">
        <v>550</v>
      </c>
      <c r="B94" s="612" t="s">
        <v>1728</v>
      </c>
      <c r="C94" s="612" t="s">
        <v>1729</v>
      </c>
      <c r="D94" s="612" t="s">
        <v>1772</v>
      </c>
      <c r="E94" s="612" t="s">
        <v>1773</v>
      </c>
      <c r="F94" s="615">
        <v>1565</v>
      </c>
      <c r="G94" s="615">
        <v>0</v>
      </c>
      <c r="H94" s="615"/>
      <c r="I94" s="615">
        <v>0</v>
      </c>
      <c r="J94" s="615">
        <v>1911</v>
      </c>
      <c r="K94" s="615">
        <v>0</v>
      </c>
      <c r="L94" s="615"/>
      <c r="M94" s="615">
        <v>0</v>
      </c>
      <c r="N94" s="615">
        <v>1442</v>
      </c>
      <c r="O94" s="615">
        <v>0</v>
      </c>
      <c r="P94" s="628"/>
      <c r="Q94" s="616">
        <v>0</v>
      </c>
    </row>
    <row r="95" spans="1:17" ht="14.4" customHeight="1" x14ac:dyDescent="0.3">
      <c r="A95" s="611" t="s">
        <v>550</v>
      </c>
      <c r="B95" s="612" t="s">
        <v>1728</v>
      </c>
      <c r="C95" s="612" t="s">
        <v>1729</v>
      </c>
      <c r="D95" s="612" t="s">
        <v>1845</v>
      </c>
      <c r="E95" s="612" t="s">
        <v>1846</v>
      </c>
      <c r="F95" s="615">
        <v>17</v>
      </c>
      <c r="G95" s="615">
        <v>0</v>
      </c>
      <c r="H95" s="615"/>
      <c r="I95" s="615">
        <v>0</v>
      </c>
      <c r="J95" s="615">
        <v>7</v>
      </c>
      <c r="K95" s="615">
        <v>0</v>
      </c>
      <c r="L95" s="615"/>
      <c r="M95" s="615">
        <v>0</v>
      </c>
      <c r="N95" s="615"/>
      <c r="O95" s="615"/>
      <c r="P95" s="628"/>
      <c r="Q95" s="616"/>
    </row>
    <row r="96" spans="1:17" ht="14.4" customHeight="1" x14ac:dyDescent="0.3">
      <c r="A96" s="611" t="s">
        <v>550</v>
      </c>
      <c r="B96" s="612" t="s">
        <v>1728</v>
      </c>
      <c r="C96" s="612" t="s">
        <v>1729</v>
      </c>
      <c r="D96" s="612" t="s">
        <v>1847</v>
      </c>
      <c r="E96" s="612" t="s">
        <v>1848</v>
      </c>
      <c r="F96" s="615"/>
      <c r="G96" s="615"/>
      <c r="H96" s="615"/>
      <c r="I96" s="615"/>
      <c r="J96" s="615">
        <v>13</v>
      </c>
      <c r="K96" s="615">
        <v>0</v>
      </c>
      <c r="L96" s="615"/>
      <c r="M96" s="615">
        <v>0</v>
      </c>
      <c r="N96" s="615">
        <v>3</v>
      </c>
      <c r="O96" s="615">
        <v>0</v>
      </c>
      <c r="P96" s="628"/>
      <c r="Q96" s="616">
        <v>0</v>
      </c>
    </row>
    <row r="97" spans="1:17" ht="14.4" customHeight="1" x14ac:dyDescent="0.3">
      <c r="A97" s="611" t="s">
        <v>550</v>
      </c>
      <c r="B97" s="612" t="s">
        <v>1728</v>
      </c>
      <c r="C97" s="612" t="s">
        <v>1729</v>
      </c>
      <c r="D97" s="612" t="s">
        <v>1849</v>
      </c>
      <c r="E97" s="612" t="s">
        <v>1850</v>
      </c>
      <c r="F97" s="615"/>
      <c r="G97" s="615"/>
      <c r="H97" s="615"/>
      <c r="I97" s="615"/>
      <c r="J97" s="615">
        <v>32</v>
      </c>
      <c r="K97" s="615">
        <v>0</v>
      </c>
      <c r="L97" s="615"/>
      <c r="M97" s="615">
        <v>0</v>
      </c>
      <c r="N97" s="615">
        <v>11</v>
      </c>
      <c r="O97" s="615">
        <v>0</v>
      </c>
      <c r="P97" s="628"/>
      <c r="Q97" s="616">
        <v>0</v>
      </c>
    </row>
    <row r="98" spans="1:17" ht="14.4" customHeight="1" x14ac:dyDescent="0.3">
      <c r="A98" s="611" t="s">
        <v>550</v>
      </c>
      <c r="B98" s="612" t="s">
        <v>1728</v>
      </c>
      <c r="C98" s="612" t="s">
        <v>1729</v>
      </c>
      <c r="D98" s="612" t="s">
        <v>1774</v>
      </c>
      <c r="E98" s="612" t="s">
        <v>1775</v>
      </c>
      <c r="F98" s="615">
        <v>50</v>
      </c>
      <c r="G98" s="615">
        <v>0</v>
      </c>
      <c r="H98" s="615"/>
      <c r="I98" s="615">
        <v>0</v>
      </c>
      <c r="J98" s="615">
        <v>25</v>
      </c>
      <c r="K98" s="615">
        <v>0</v>
      </c>
      <c r="L98" s="615"/>
      <c r="M98" s="615">
        <v>0</v>
      </c>
      <c r="N98" s="615">
        <v>36</v>
      </c>
      <c r="O98" s="615">
        <v>0</v>
      </c>
      <c r="P98" s="628"/>
      <c r="Q98" s="616">
        <v>0</v>
      </c>
    </row>
    <row r="99" spans="1:17" ht="14.4" customHeight="1" x14ac:dyDescent="0.3">
      <c r="A99" s="611" t="s">
        <v>550</v>
      </c>
      <c r="B99" s="612" t="s">
        <v>1728</v>
      </c>
      <c r="C99" s="612" t="s">
        <v>1729</v>
      </c>
      <c r="D99" s="612" t="s">
        <v>1851</v>
      </c>
      <c r="E99" s="612" t="s">
        <v>1852</v>
      </c>
      <c r="F99" s="615">
        <v>7</v>
      </c>
      <c r="G99" s="615">
        <v>0</v>
      </c>
      <c r="H99" s="615"/>
      <c r="I99" s="615">
        <v>0</v>
      </c>
      <c r="J99" s="615">
        <v>11</v>
      </c>
      <c r="K99" s="615">
        <v>0</v>
      </c>
      <c r="L99" s="615"/>
      <c r="M99" s="615">
        <v>0</v>
      </c>
      <c r="N99" s="615">
        <v>9</v>
      </c>
      <c r="O99" s="615">
        <v>0</v>
      </c>
      <c r="P99" s="628"/>
      <c r="Q99" s="616">
        <v>0</v>
      </c>
    </row>
    <row r="100" spans="1:17" ht="14.4" customHeight="1" x14ac:dyDescent="0.3">
      <c r="A100" s="611" t="s">
        <v>550</v>
      </c>
      <c r="B100" s="612" t="s">
        <v>1728</v>
      </c>
      <c r="C100" s="612" t="s">
        <v>1729</v>
      </c>
      <c r="D100" s="612" t="s">
        <v>1776</v>
      </c>
      <c r="E100" s="612" t="s">
        <v>1777</v>
      </c>
      <c r="F100" s="615">
        <v>50</v>
      </c>
      <c r="G100" s="615">
        <v>0</v>
      </c>
      <c r="H100" s="615"/>
      <c r="I100" s="615">
        <v>0</v>
      </c>
      <c r="J100" s="615">
        <v>54</v>
      </c>
      <c r="K100" s="615">
        <v>0</v>
      </c>
      <c r="L100" s="615"/>
      <c r="M100" s="615">
        <v>0</v>
      </c>
      <c r="N100" s="615">
        <v>43</v>
      </c>
      <c r="O100" s="615">
        <v>0</v>
      </c>
      <c r="P100" s="628"/>
      <c r="Q100" s="616">
        <v>0</v>
      </c>
    </row>
    <row r="101" spans="1:17" ht="14.4" customHeight="1" x14ac:dyDescent="0.3">
      <c r="A101" s="611" t="s">
        <v>550</v>
      </c>
      <c r="B101" s="612" t="s">
        <v>1728</v>
      </c>
      <c r="C101" s="612" t="s">
        <v>1729</v>
      </c>
      <c r="D101" s="612" t="s">
        <v>1853</v>
      </c>
      <c r="E101" s="612" t="s">
        <v>1854</v>
      </c>
      <c r="F101" s="615"/>
      <c r="G101" s="615"/>
      <c r="H101" s="615"/>
      <c r="I101" s="615"/>
      <c r="J101" s="615">
        <v>5</v>
      </c>
      <c r="K101" s="615">
        <v>0</v>
      </c>
      <c r="L101" s="615"/>
      <c r="M101" s="615">
        <v>0</v>
      </c>
      <c r="N101" s="615"/>
      <c r="O101" s="615"/>
      <c r="P101" s="628"/>
      <c r="Q101" s="616"/>
    </row>
    <row r="102" spans="1:17" ht="14.4" customHeight="1" x14ac:dyDescent="0.3">
      <c r="A102" s="611" t="s">
        <v>550</v>
      </c>
      <c r="B102" s="612" t="s">
        <v>1728</v>
      </c>
      <c r="C102" s="612" t="s">
        <v>1729</v>
      </c>
      <c r="D102" s="612" t="s">
        <v>1855</v>
      </c>
      <c r="E102" s="612" t="s">
        <v>1850</v>
      </c>
      <c r="F102" s="615"/>
      <c r="G102" s="615"/>
      <c r="H102" s="615"/>
      <c r="I102" s="615"/>
      <c r="J102" s="615">
        <v>1</v>
      </c>
      <c r="K102" s="615">
        <v>0</v>
      </c>
      <c r="L102" s="615"/>
      <c r="M102" s="615">
        <v>0</v>
      </c>
      <c r="N102" s="615">
        <v>4</v>
      </c>
      <c r="O102" s="615">
        <v>0</v>
      </c>
      <c r="P102" s="628"/>
      <c r="Q102" s="616">
        <v>0</v>
      </c>
    </row>
    <row r="103" spans="1:17" ht="14.4" customHeight="1" x14ac:dyDescent="0.3">
      <c r="A103" s="611" t="s">
        <v>550</v>
      </c>
      <c r="B103" s="612" t="s">
        <v>1728</v>
      </c>
      <c r="C103" s="612" t="s">
        <v>1729</v>
      </c>
      <c r="D103" s="612" t="s">
        <v>1856</v>
      </c>
      <c r="E103" s="612" t="s">
        <v>1850</v>
      </c>
      <c r="F103" s="615"/>
      <c r="G103" s="615"/>
      <c r="H103" s="615"/>
      <c r="I103" s="615"/>
      <c r="J103" s="615">
        <v>1</v>
      </c>
      <c r="K103" s="615">
        <v>0</v>
      </c>
      <c r="L103" s="615"/>
      <c r="M103" s="615">
        <v>0</v>
      </c>
      <c r="N103" s="615">
        <v>2</v>
      </c>
      <c r="O103" s="615">
        <v>0</v>
      </c>
      <c r="P103" s="628"/>
      <c r="Q103" s="616">
        <v>0</v>
      </c>
    </row>
    <row r="104" spans="1:17" ht="14.4" customHeight="1" x14ac:dyDescent="0.3">
      <c r="A104" s="611" t="s">
        <v>550</v>
      </c>
      <c r="B104" s="612" t="s">
        <v>1728</v>
      </c>
      <c r="C104" s="612" t="s">
        <v>1729</v>
      </c>
      <c r="D104" s="612" t="s">
        <v>1730</v>
      </c>
      <c r="E104" s="612" t="s">
        <v>1758</v>
      </c>
      <c r="F104" s="615">
        <v>61</v>
      </c>
      <c r="G104" s="615">
        <v>0</v>
      </c>
      <c r="H104" s="615"/>
      <c r="I104" s="615">
        <v>0</v>
      </c>
      <c r="J104" s="615">
        <v>44</v>
      </c>
      <c r="K104" s="615">
        <v>0</v>
      </c>
      <c r="L104" s="615"/>
      <c r="M104" s="615">
        <v>0</v>
      </c>
      <c r="N104" s="615"/>
      <c r="O104" s="615"/>
      <c r="P104" s="628"/>
      <c r="Q104" s="616"/>
    </row>
    <row r="105" spans="1:17" ht="14.4" customHeight="1" x14ac:dyDescent="0.3">
      <c r="A105" s="611" t="s">
        <v>550</v>
      </c>
      <c r="B105" s="612" t="s">
        <v>1728</v>
      </c>
      <c r="C105" s="612" t="s">
        <v>1729</v>
      </c>
      <c r="D105" s="612" t="s">
        <v>1730</v>
      </c>
      <c r="E105" s="612" t="s">
        <v>1731</v>
      </c>
      <c r="F105" s="615">
        <v>281</v>
      </c>
      <c r="G105" s="615">
        <v>0</v>
      </c>
      <c r="H105" s="615"/>
      <c r="I105" s="615">
        <v>0</v>
      </c>
      <c r="J105" s="615">
        <v>431</v>
      </c>
      <c r="K105" s="615">
        <v>0</v>
      </c>
      <c r="L105" s="615"/>
      <c r="M105" s="615">
        <v>0</v>
      </c>
      <c r="N105" s="615"/>
      <c r="O105" s="615"/>
      <c r="P105" s="628"/>
      <c r="Q105" s="616"/>
    </row>
    <row r="106" spans="1:17" ht="14.4" customHeight="1" x14ac:dyDescent="0.3">
      <c r="A106" s="611" t="s">
        <v>550</v>
      </c>
      <c r="B106" s="612" t="s">
        <v>1728</v>
      </c>
      <c r="C106" s="612" t="s">
        <v>1729</v>
      </c>
      <c r="D106" s="612" t="s">
        <v>1733</v>
      </c>
      <c r="E106" s="612" t="s">
        <v>1734</v>
      </c>
      <c r="F106" s="615">
        <v>54</v>
      </c>
      <c r="G106" s="615">
        <v>17710</v>
      </c>
      <c r="H106" s="615">
        <v>1</v>
      </c>
      <c r="I106" s="615">
        <v>327.96296296296299</v>
      </c>
      <c r="J106" s="615">
        <v>51</v>
      </c>
      <c r="K106" s="615">
        <v>16678</v>
      </c>
      <c r="L106" s="615">
        <v>0.94172783738001131</v>
      </c>
      <c r="M106" s="615">
        <v>327.01960784313724</v>
      </c>
      <c r="N106" s="615">
        <v>50</v>
      </c>
      <c r="O106" s="615">
        <v>16449</v>
      </c>
      <c r="P106" s="628">
        <v>0.92879728966685493</v>
      </c>
      <c r="Q106" s="616">
        <v>328.98</v>
      </c>
    </row>
    <row r="107" spans="1:17" ht="14.4" customHeight="1" x14ac:dyDescent="0.3">
      <c r="A107" s="611" t="s">
        <v>550</v>
      </c>
      <c r="B107" s="612" t="s">
        <v>1728</v>
      </c>
      <c r="C107" s="612" t="s">
        <v>1729</v>
      </c>
      <c r="D107" s="612" t="s">
        <v>1857</v>
      </c>
      <c r="E107" s="612" t="s">
        <v>1850</v>
      </c>
      <c r="F107" s="615"/>
      <c r="G107" s="615"/>
      <c r="H107" s="615"/>
      <c r="I107" s="615"/>
      <c r="J107" s="615">
        <v>21</v>
      </c>
      <c r="K107" s="615">
        <v>0</v>
      </c>
      <c r="L107" s="615"/>
      <c r="M107" s="615">
        <v>0</v>
      </c>
      <c r="N107" s="615">
        <v>10</v>
      </c>
      <c r="O107" s="615">
        <v>0</v>
      </c>
      <c r="P107" s="628"/>
      <c r="Q107" s="616">
        <v>0</v>
      </c>
    </row>
    <row r="108" spans="1:17" ht="14.4" customHeight="1" x14ac:dyDescent="0.3">
      <c r="A108" s="611" t="s">
        <v>550</v>
      </c>
      <c r="B108" s="612" t="s">
        <v>1728</v>
      </c>
      <c r="C108" s="612" t="s">
        <v>1729</v>
      </c>
      <c r="D108" s="612" t="s">
        <v>1735</v>
      </c>
      <c r="E108" s="612" t="s">
        <v>1736</v>
      </c>
      <c r="F108" s="615">
        <v>184</v>
      </c>
      <c r="G108" s="615">
        <v>118482</v>
      </c>
      <c r="H108" s="615">
        <v>1</v>
      </c>
      <c r="I108" s="615">
        <v>643.92391304347825</v>
      </c>
      <c r="J108" s="615">
        <v>172</v>
      </c>
      <c r="K108" s="615">
        <v>110932</v>
      </c>
      <c r="L108" s="615">
        <v>0.93627724042470584</v>
      </c>
      <c r="M108" s="615">
        <v>644.95348837209303</v>
      </c>
      <c r="N108" s="615">
        <v>153</v>
      </c>
      <c r="O108" s="615">
        <v>99339</v>
      </c>
      <c r="P108" s="628">
        <v>0.83843115409935687</v>
      </c>
      <c r="Q108" s="616">
        <v>649.27450980392155</v>
      </c>
    </row>
    <row r="109" spans="1:17" ht="14.4" customHeight="1" x14ac:dyDescent="0.3">
      <c r="A109" s="611" t="s">
        <v>550</v>
      </c>
      <c r="B109" s="612" t="s">
        <v>1728</v>
      </c>
      <c r="C109" s="612" t="s">
        <v>1729</v>
      </c>
      <c r="D109" s="612" t="s">
        <v>1858</v>
      </c>
      <c r="E109" s="612" t="s">
        <v>1850</v>
      </c>
      <c r="F109" s="615"/>
      <c r="G109" s="615"/>
      <c r="H109" s="615"/>
      <c r="I109" s="615"/>
      <c r="J109" s="615">
        <v>6</v>
      </c>
      <c r="K109" s="615">
        <v>0</v>
      </c>
      <c r="L109" s="615"/>
      <c r="M109" s="615">
        <v>0</v>
      </c>
      <c r="N109" s="615">
        <v>6</v>
      </c>
      <c r="O109" s="615">
        <v>0</v>
      </c>
      <c r="P109" s="628"/>
      <c r="Q109" s="616">
        <v>0</v>
      </c>
    </row>
    <row r="110" spans="1:17" ht="14.4" customHeight="1" x14ac:dyDescent="0.3">
      <c r="A110" s="611" t="s">
        <v>550</v>
      </c>
      <c r="B110" s="612" t="s">
        <v>1728</v>
      </c>
      <c r="C110" s="612" t="s">
        <v>1729</v>
      </c>
      <c r="D110" s="612" t="s">
        <v>1859</v>
      </c>
      <c r="E110" s="612" t="s">
        <v>1860</v>
      </c>
      <c r="F110" s="615">
        <v>1955</v>
      </c>
      <c r="G110" s="615">
        <v>12332994</v>
      </c>
      <c r="H110" s="615">
        <v>1</v>
      </c>
      <c r="I110" s="615">
        <v>6308.4368286445015</v>
      </c>
      <c r="J110" s="615">
        <v>1795</v>
      </c>
      <c r="K110" s="615">
        <v>11329796</v>
      </c>
      <c r="L110" s="615">
        <v>0.91865738360044613</v>
      </c>
      <c r="M110" s="615">
        <v>6311.8640668523676</v>
      </c>
      <c r="N110" s="615">
        <v>1814</v>
      </c>
      <c r="O110" s="615">
        <v>11449968</v>
      </c>
      <c r="P110" s="628">
        <v>0.92840132736625025</v>
      </c>
      <c r="Q110" s="616">
        <v>6312</v>
      </c>
    </row>
    <row r="111" spans="1:17" ht="14.4" customHeight="1" x14ac:dyDescent="0.3">
      <c r="A111" s="611" t="s">
        <v>550</v>
      </c>
      <c r="B111" s="612" t="s">
        <v>1728</v>
      </c>
      <c r="C111" s="612" t="s">
        <v>1729</v>
      </c>
      <c r="D111" s="612" t="s">
        <v>1781</v>
      </c>
      <c r="E111" s="612" t="s">
        <v>1782</v>
      </c>
      <c r="F111" s="615">
        <v>48</v>
      </c>
      <c r="G111" s="615">
        <v>0</v>
      </c>
      <c r="H111" s="615"/>
      <c r="I111" s="615">
        <v>0</v>
      </c>
      <c r="J111" s="615">
        <v>47</v>
      </c>
      <c r="K111" s="615">
        <v>0</v>
      </c>
      <c r="L111" s="615"/>
      <c r="M111" s="615">
        <v>0</v>
      </c>
      <c r="N111" s="615">
        <v>29</v>
      </c>
      <c r="O111" s="615">
        <v>0</v>
      </c>
      <c r="P111" s="628"/>
      <c r="Q111" s="616">
        <v>0</v>
      </c>
    </row>
    <row r="112" spans="1:17" ht="14.4" customHeight="1" x14ac:dyDescent="0.3">
      <c r="A112" s="611" t="s">
        <v>550</v>
      </c>
      <c r="B112" s="612" t="s">
        <v>1728</v>
      </c>
      <c r="C112" s="612" t="s">
        <v>1729</v>
      </c>
      <c r="D112" s="612" t="s">
        <v>1861</v>
      </c>
      <c r="E112" s="612" t="s">
        <v>1862</v>
      </c>
      <c r="F112" s="615">
        <v>742</v>
      </c>
      <c r="G112" s="615">
        <v>18350246</v>
      </c>
      <c r="H112" s="615">
        <v>1</v>
      </c>
      <c r="I112" s="615">
        <v>24730.7897574124</v>
      </c>
      <c r="J112" s="615">
        <v>899</v>
      </c>
      <c r="K112" s="615">
        <v>22236503</v>
      </c>
      <c r="L112" s="615">
        <v>1.2117822834636658</v>
      </c>
      <c r="M112" s="615">
        <v>24734.708565072302</v>
      </c>
      <c r="N112" s="615">
        <v>961</v>
      </c>
      <c r="O112" s="615">
        <v>23770335</v>
      </c>
      <c r="P112" s="628">
        <v>1.2953687378359942</v>
      </c>
      <c r="Q112" s="616">
        <v>24735</v>
      </c>
    </row>
    <row r="113" spans="1:17" ht="14.4" customHeight="1" x14ac:dyDescent="0.3">
      <c r="A113" s="611" t="s">
        <v>550</v>
      </c>
      <c r="B113" s="612" t="s">
        <v>1728</v>
      </c>
      <c r="C113" s="612" t="s">
        <v>1729</v>
      </c>
      <c r="D113" s="612" t="s">
        <v>1863</v>
      </c>
      <c r="E113" s="612" t="s">
        <v>1864</v>
      </c>
      <c r="F113" s="615">
        <v>27</v>
      </c>
      <c r="G113" s="615">
        <v>0</v>
      </c>
      <c r="H113" s="615"/>
      <c r="I113" s="615">
        <v>0</v>
      </c>
      <c r="J113" s="615">
        <v>31</v>
      </c>
      <c r="K113" s="615">
        <v>0</v>
      </c>
      <c r="L113" s="615"/>
      <c r="M113" s="615">
        <v>0</v>
      </c>
      <c r="N113" s="615">
        <v>33</v>
      </c>
      <c r="O113" s="615">
        <v>0</v>
      </c>
      <c r="P113" s="628"/>
      <c r="Q113" s="616">
        <v>0</v>
      </c>
    </row>
    <row r="114" spans="1:17" ht="14.4" customHeight="1" x14ac:dyDescent="0.3">
      <c r="A114" s="611" t="s">
        <v>550</v>
      </c>
      <c r="B114" s="612" t="s">
        <v>1728</v>
      </c>
      <c r="C114" s="612" t="s">
        <v>1729</v>
      </c>
      <c r="D114" s="612" t="s">
        <v>1865</v>
      </c>
      <c r="E114" s="612" t="s">
        <v>1866</v>
      </c>
      <c r="F114" s="615">
        <v>3</v>
      </c>
      <c r="G114" s="615">
        <v>1812</v>
      </c>
      <c r="H114" s="615">
        <v>1</v>
      </c>
      <c r="I114" s="615">
        <v>604</v>
      </c>
      <c r="J114" s="615"/>
      <c r="K114" s="615"/>
      <c r="L114" s="615"/>
      <c r="M114" s="615"/>
      <c r="N114" s="615"/>
      <c r="O114" s="615"/>
      <c r="P114" s="628"/>
      <c r="Q114" s="616"/>
    </row>
    <row r="115" spans="1:17" ht="14.4" customHeight="1" x14ac:dyDescent="0.3">
      <c r="A115" s="611" t="s">
        <v>550</v>
      </c>
      <c r="B115" s="612" t="s">
        <v>1728</v>
      </c>
      <c r="C115" s="612" t="s">
        <v>1729</v>
      </c>
      <c r="D115" s="612" t="s">
        <v>1867</v>
      </c>
      <c r="E115" s="612" t="s">
        <v>1866</v>
      </c>
      <c r="F115" s="615">
        <v>1</v>
      </c>
      <c r="G115" s="615">
        <v>518</v>
      </c>
      <c r="H115" s="615">
        <v>1</v>
      </c>
      <c r="I115" s="615">
        <v>518</v>
      </c>
      <c r="J115" s="615"/>
      <c r="K115" s="615"/>
      <c r="L115" s="615"/>
      <c r="M115" s="615"/>
      <c r="N115" s="615">
        <v>2</v>
      </c>
      <c r="O115" s="615">
        <v>1048</v>
      </c>
      <c r="P115" s="628">
        <v>2.0231660231660231</v>
      </c>
      <c r="Q115" s="616">
        <v>524</v>
      </c>
    </row>
    <row r="116" spans="1:17" ht="14.4" customHeight="1" x14ac:dyDescent="0.3">
      <c r="A116" s="611" t="s">
        <v>550</v>
      </c>
      <c r="B116" s="612" t="s">
        <v>1728</v>
      </c>
      <c r="C116" s="612" t="s">
        <v>1729</v>
      </c>
      <c r="D116" s="612" t="s">
        <v>1868</v>
      </c>
      <c r="E116" s="612" t="s">
        <v>1850</v>
      </c>
      <c r="F116" s="615"/>
      <c r="G116" s="615"/>
      <c r="H116" s="615"/>
      <c r="I116" s="615"/>
      <c r="J116" s="615">
        <v>6</v>
      </c>
      <c r="K116" s="615">
        <v>0</v>
      </c>
      <c r="L116" s="615"/>
      <c r="M116" s="615">
        <v>0</v>
      </c>
      <c r="N116" s="615">
        <v>12</v>
      </c>
      <c r="O116" s="615">
        <v>0</v>
      </c>
      <c r="P116" s="628"/>
      <c r="Q116" s="616">
        <v>0</v>
      </c>
    </row>
    <row r="117" spans="1:17" ht="14.4" customHeight="1" x14ac:dyDescent="0.3">
      <c r="A117" s="611" t="s">
        <v>550</v>
      </c>
      <c r="B117" s="612" t="s">
        <v>1728</v>
      </c>
      <c r="C117" s="612" t="s">
        <v>1729</v>
      </c>
      <c r="D117" s="612" t="s">
        <v>1787</v>
      </c>
      <c r="E117" s="612" t="s">
        <v>1788</v>
      </c>
      <c r="F117" s="615">
        <v>14</v>
      </c>
      <c r="G117" s="615">
        <v>0</v>
      </c>
      <c r="H117" s="615"/>
      <c r="I117" s="615">
        <v>0</v>
      </c>
      <c r="J117" s="615">
        <v>17</v>
      </c>
      <c r="K117" s="615">
        <v>0</v>
      </c>
      <c r="L117" s="615"/>
      <c r="M117" s="615">
        <v>0</v>
      </c>
      <c r="N117" s="615">
        <v>18</v>
      </c>
      <c r="O117" s="615">
        <v>0</v>
      </c>
      <c r="P117" s="628"/>
      <c r="Q117" s="616">
        <v>0</v>
      </c>
    </row>
    <row r="118" spans="1:17" ht="14.4" customHeight="1" x14ac:dyDescent="0.3">
      <c r="A118" s="611" t="s">
        <v>550</v>
      </c>
      <c r="B118" s="612" t="s">
        <v>1728</v>
      </c>
      <c r="C118" s="612" t="s">
        <v>1729</v>
      </c>
      <c r="D118" s="612" t="s">
        <v>1789</v>
      </c>
      <c r="E118" s="612" t="s">
        <v>1790</v>
      </c>
      <c r="F118" s="615">
        <v>1</v>
      </c>
      <c r="G118" s="615">
        <v>102</v>
      </c>
      <c r="H118" s="615">
        <v>1</v>
      </c>
      <c r="I118" s="615">
        <v>102</v>
      </c>
      <c r="J118" s="615">
        <v>3</v>
      </c>
      <c r="K118" s="615">
        <v>309</v>
      </c>
      <c r="L118" s="615">
        <v>3.0294117647058822</v>
      </c>
      <c r="M118" s="615">
        <v>103</v>
      </c>
      <c r="N118" s="615"/>
      <c r="O118" s="615"/>
      <c r="P118" s="628"/>
      <c r="Q118" s="616"/>
    </row>
    <row r="119" spans="1:17" ht="14.4" customHeight="1" x14ac:dyDescent="0.3">
      <c r="A119" s="611" t="s">
        <v>550</v>
      </c>
      <c r="B119" s="612" t="s">
        <v>1728</v>
      </c>
      <c r="C119" s="612" t="s">
        <v>1729</v>
      </c>
      <c r="D119" s="612" t="s">
        <v>1869</v>
      </c>
      <c r="E119" s="612" t="s">
        <v>1758</v>
      </c>
      <c r="F119" s="615"/>
      <c r="G119" s="615"/>
      <c r="H119" s="615"/>
      <c r="I119" s="615"/>
      <c r="J119" s="615"/>
      <c r="K119" s="615"/>
      <c r="L119" s="615"/>
      <c r="M119" s="615"/>
      <c r="N119" s="615">
        <v>123</v>
      </c>
      <c r="O119" s="615">
        <v>0</v>
      </c>
      <c r="P119" s="628"/>
      <c r="Q119" s="616">
        <v>0</v>
      </c>
    </row>
    <row r="120" spans="1:17" ht="14.4" customHeight="1" x14ac:dyDescent="0.3">
      <c r="A120" s="611" t="s">
        <v>550</v>
      </c>
      <c r="B120" s="612" t="s">
        <v>1728</v>
      </c>
      <c r="C120" s="612" t="s">
        <v>1729</v>
      </c>
      <c r="D120" s="612" t="s">
        <v>1869</v>
      </c>
      <c r="E120" s="612" t="s">
        <v>1870</v>
      </c>
      <c r="F120" s="615"/>
      <c r="G120" s="615"/>
      <c r="H120" s="615"/>
      <c r="I120" s="615"/>
      <c r="J120" s="615"/>
      <c r="K120" s="615"/>
      <c r="L120" s="615"/>
      <c r="M120" s="615"/>
      <c r="N120" s="615">
        <v>87</v>
      </c>
      <c r="O120" s="615">
        <v>0</v>
      </c>
      <c r="P120" s="628"/>
      <c r="Q120" s="616">
        <v>0</v>
      </c>
    </row>
    <row r="121" spans="1:17" ht="14.4" customHeight="1" x14ac:dyDescent="0.3">
      <c r="A121" s="611" t="s">
        <v>550</v>
      </c>
      <c r="B121" s="612" t="s">
        <v>1871</v>
      </c>
      <c r="C121" s="612" t="s">
        <v>1729</v>
      </c>
      <c r="D121" s="612" t="s">
        <v>1872</v>
      </c>
      <c r="E121" s="612" t="s">
        <v>1873</v>
      </c>
      <c r="F121" s="615"/>
      <c r="G121" s="615"/>
      <c r="H121" s="615"/>
      <c r="I121" s="615"/>
      <c r="J121" s="615">
        <v>1</v>
      </c>
      <c r="K121" s="615">
        <v>3459</v>
      </c>
      <c r="L121" s="615"/>
      <c r="M121" s="615">
        <v>3459</v>
      </c>
      <c r="N121" s="615"/>
      <c r="O121" s="615"/>
      <c r="P121" s="628"/>
      <c r="Q121" s="616"/>
    </row>
    <row r="122" spans="1:17" ht="14.4" customHeight="1" x14ac:dyDescent="0.3">
      <c r="A122" s="611" t="s">
        <v>550</v>
      </c>
      <c r="B122" s="612" t="s">
        <v>1871</v>
      </c>
      <c r="C122" s="612" t="s">
        <v>1729</v>
      </c>
      <c r="D122" s="612" t="s">
        <v>881</v>
      </c>
      <c r="E122" s="612" t="s">
        <v>1874</v>
      </c>
      <c r="F122" s="615"/>
      <c r="G122" s="615"/>
      <c r="H122" s="615"/>
      <c r="I122" s="615"/>
      <c r="J122" s="615">
        <v>1</v>
      </c>
      <c r="K122" s="615">
        <v>1892</v>
      </c>
      <c r="L122" s="615"/>
      <c r="M122" s="615">
        <v>1892</v>
      </c>
      <c r="N122" s="615"/>
      <c r="O122" s="615"/>
      <c r="P122" s="628"/>
      <c r="Q122" s="616"/>
    </row>
    <row r="123" spans="1:17" ht="14.4" customHeight="1" x14ac:dyDescent="0.3">
      <c r="A123" s="611" t="s">
        <v>550</v>
      </c>
      <c r="B123" s="612" t="s">
        <v>1871</v>
      </c>
      <c r="C123" s="612" t="s">
        <v>1729</v>
      </c>
      <c r="D123" s="612" t="s">
        <v>1875</v>
      </c>
      <c r="E123" s="612" t="s">
        <v>1876</v>
      </c>
      <c r="F123" s="615"/>
      <c r="G123" s="615"/>
      <c r="H123" s="615"/>
      <c r="I123" s="615"/>
      <c r="J123" s="615">
        <v>1</v>
      </c>
      <c r="K123" s="615">
        <v>5390</v>
      </c>
      <c r="L123" s="615"/>
      <c r="M123" s="615">
        <v>5390</v>
      </c>
      <c r="N123" s="615"/>
      <c r="O123" s="615"/>
      <c r="P123" s="628"/>
      <c r="Q123" s="616"/>
    </row>
    <row r="124" spans="1:17" ht="14.4" customHeight="1" x14ac:dyDescent="0.3">
      <c r="A124" s="611" t="s">
        <v>550</v>
      </c>
      <c r="B124" s="612" t="s">
        <v>1877</v>
      </c>
      <c r="C124" s="612" t="s">
        <v>1729</v>
      </c>
      <c r="D124" s="612" t="s">
        <v>1878</v>
      </c>
      <c r="E124" s="612" t="s">
        <v>1879</v>
      </c>
      <c r="F124" s="615">
        <v>2</v>
      </c>
      <c r="G124" s="615">
        <v>5330</v>
      </c>
      <c r="H124" s="615">
        <v>1</v>
      </c>
      <c r="I124" s="615">
        <v>2665</v>
      </c>
      <c r="J124" s="615">
        <v>4</v>
      </c>
      <c r="K124" s="615">
        <v>10712</v>
      </c>
      <c r="L124" s="615">
        <v>2.0097560975609756</v>
      </c>
      <c r="M124" s="615">
        <v>2678</v>
      </c>
      <c r="N124" s="615">
        <v>3</v>
      </c>
      <c r="O124" s="615">
        <v>8048</v>
      </c>
      <c r="P124" s="628">
        <v>1.5099437148217636</v>
      </c>
      <c r="Q124" s="616">
        <v>2682.6666666666665</v>
      </c>
    </row>
    <row r="125" spans="1:17" ht="14.4" customHeight="1" x14ac:dyDescent="0.3">
      <c r="A125" s="611" t="s">
        <v>550</v>
      </c>
      <c r="B125" s="612" t="s">
        <v>1877</v>
      </c>
      <c r="C125" s="612" t="s">
        <v>1729</v>
      </c>
      <c r="D125" s="612" t="s">
        <v>1880</v>
      </c>
      <c r="E125" s="612" t="s">
        <v>1881</v>
      </c>
      <c r="F125" s="615">
        <v>1</v>
      </c>
      <c r="G125" s="615">
        <v>5905</v>
      </c>
      <c r="H125" s="615">
        <v>1</v>
      </c>
      <c r="I125" s="615">
        <v>5905</v>
      </c>
      <c r="J125" s="615">
        <v>2</v>
      </c>
      <c r="K125" s="615">
        <v>11880</v>
      </c>
      <c r="L125" s="615">
        <v>2.0118543607112618</v>
      </c>
      <c r="M125" s="615">
        <v>5940</v>
      </c>
      <c r="N125" s="615">
        <v>1</v>
      </c>
      <c r="O125" s="615">
        <v>5940</v>
      </c>
      <c r="P125" s="628">
        <v>1.0059271803556309</v>
      </c>
      <c r="Q125" s="616">
        <v>5940</v>
      </c>
    </row>
    <row r="126" spans="1:17" ht="14.4" customHeight="1" x14ac:dyDescent="0.3">
      <c r="A126" s="611" t="s">
        <v>550</v>
      </c>
      <c r="B126" s="612" t="s">
        <v>1877</v>
      </c>
      <c r="C126" s="612" t="s">
        <v>1729</v>
      </c>
      <c r="D126" s="612" t="s">
        <v>1882</v>
      </c>
      <c r="E126" s="612" t="s">
        <v>1883</v>
      </c>
      <c r="F126" s="615"/>
      <c r="G126" s="615"/>
      <c r="H126" s="615"/>
      <c r="I126" s="615"/>
      <c r="J126" s="615">
        <v>1</v>
      </c>
      <c r="K126" s="615">
        <v>2370</v>
      </c>
      <c r="L126" s="615"/>
      <c r="M126" s="615">
        <v>2370</v>
      </c>
      <c r="N126" s="615">
        <v>1</v>
      </c>
      <c r="O126" s="615">
        <v>2384</v>
      </c>
      <c r="P126" s="628"/>
      <c r="Q126" s="616">
        <v>2384</v>
      </c>
    </row>
    <row r="127" spans="1:17" ht="14.4" customHeight="1" x14ac:dyDescent="0.3">
      <c r="A127" s="611" t="s">
        <v>550</v>
      </c>
      <c r="B127" s="612" t="s">
        <v>1877</v>
      </c>
      <c r="C127" s="612" t="s">
        <v>1729</v>
      </c>
      <c r="D127" s="612" t="s">
        <v>1884</v>
      </c>
      <c r="E127" s="612" t="s">
        <v>1885</v>
      </c>
      <c r="F127" s="615"/>
      <c r="G127" s="615"/>
      <c r="H127" s="615"/>
      <c r="I127" s="615"/>
      <c r="J127" s="615"/>
      <c r="K127" s="615"/>
      <c r="L127" s="615"/>
      <c r="M127" s="615"/>
      <c r="N127" s="615">
        <v>1</v>
      </c>
      <c r="O127" s="615">
        <v>9851</v>
      </c>
      <c r="P127" s="628"/>
      <c r="Q127" s="616">
        <v>9851</v>
      </c>
    </row>
    <row r="128" spans="1:17" ht="14.4" customHeight="1" x14ac:dyDescent="0.3">
      <c r="A128" s="611" t="s">
        <v>550</v>
      </c>
      <c r="B128" s="612" t="s">
        <v>1877</v>
      </c>
      <c r="C128" s="612" t="s">
        <v>1729</v>
      </c>
      <c r="D128" s="612" t="s">
        <v>1886</v>
      </c>
      <c r="E128" s="612" t="s">
        <v>1887</v>
      </c>
      <c r="F128" s="615"/>
      <c r="G128" s="615"/>
      <c r="H128" s="615"/>
      <c r="I128" s="615"/>
      <c r="J128" s="615"/>
      <c r="K128" s="615"/>
      <c r="L128" s="615"/>
      <c r="M128" s="615"/>
      <c r="N128" s="615">
        <v>1</v>
      </c>
      <c r="O128" s="615">
        <v>3361</v>
      </c>
      <c r="P128" s="628"/>
      <c r="Q128" s="616">
        <v>3361</v>
      </c>
    </row>
    <row r="129" spans="1:17" ht="14.4" customHeight="1" x14ac:dyDescent="0.3">
      <c r="A129" s="611" t="s">
        <v>550</v>
      </c>
      <c r="B129" s="612" t="s">
        <v>1877</v>
      </c>
      <c r="C129" s="612" t="s">
        <v>1729</v>
      </c>
      <c r="D129" s="612" t="s">
        <v>1888</v>
      </c>
      <c r="E129" s="612" t="s">
        <v>1889</v>
      </c>
      <c r="F129" s="615"/>
      <c r="G129" s="615"/>
      <c r="H129" s="615"/>
      <c r="I129" s="615"/>
      <c r="J129" s="615">
        <v>2</v>
      </c>
      <c r="K129" s="615">
        <v>11402</v>
      </c>
      <c r="L129" s="615"/>
      <c r="M129" s="615">
        <v>5701</v>
      </c>
      <c r="N129" s="615"/>
      <c r="O129" s="615"/>
      <c r="P129" s="628"/>
      <c r="Q129" s="616"/>
    </row>
    <row r="130" spans="1:17" ht="14.4" customHeight="1" x14ac:dyDescent="0.3">
      <c r="A130" s="611" t="s">
        <v>550</v>
      </c>
      <c r="B130" s="612" t="s">
        <v>1877</v>
      </c>
      <c r="C130" s="612" t="s">
        <v>1729</v>
      </c>
      <c r="D130" s="612" t="s">
        <v>1890</v>
      </c>
      <c r="E130" s="612" t="s">
        <v>1891</v>
      </c>
      <c r="F130" s="615"/>
      <c r="G130" s="615"/>
      <c r="H130" s="615"/>
      <c r="I130" s="615"/>
      <c r="J130" s="615">
        <v>1</v>
      </c>
      <c r="K130" s="615">
        <v>1788</v>
      </c>
      <c r="L130" s="615"/>
      <c r="M130" s="615">
        <v>1788</v>
      </c>
      <c r="N130" s="615"/>
      <c r="O130" s="615"/>
      <c r="P130" s="628"/>
      <c r="Q130" s="616"/>
    </row>
    <row r="131" spans="1:17" ht="14.4" customHeight="1" x14ac:dyDescent="0.3">
      <c r="A131" s="611" t="s">
        <v>550</v>
      </c>
      <c r="B131" s="612" t="s">
        <v>1877</v>
      </c>
      <c r="C131" s="612" t="s">
        <v>1729</v>
      </c>
      <c r="D131" s="612" t="s">
        <v>1872</v>
      </c>
      <c r="E131" s="612" t="s">
        <v>1873</v>
      </c>
      <c r="F131" s="615"/>
      <c r="G131" s="615"/>
      <c r="H131" s="615"/>
      <c r="I131" s="615"/>
      <c r="J131" s="615">
        <v>1</v>
      </c>
      <c r="K131" s="615">
        <v>3459</v>
      </c>
      <c r="L131" s="615"/>
      <c r="M131" s="615">
        <v>3459</v>
      </c>
      <c r="N131" s="615">
        <v>2</v>
      </c>
      <c r="O131" s="615">
        <v>6941</v>
      </c>
      <c r="P131" s="628"/>
      <c r="Q131" s="616">
        <v>3470.5</v>
      </c>
    </row>
    <row r="132" spans="1:17" ht="14.4" customHeight="1" x14ac:dyDescent="0.3">
      <c r="A132" s="611" t="s">
        <v>550</v>
      </c>
      <c r="B132" s="612" t="s">
        <v>1877</v>
      </c>
      <c r="C132" s="612" t="s">
        <v>1729</v>
      </c>
      <c r="D132" s="612" t="s">
        <v>881</v>
      </c>
      <c r="E132" s="612" t="s">
        <v>1874</v>
      </c>
      <c r="F132" s="615"/>
      <c r="G132" s="615"/>
      <c r="H132" s="615"/>
      <c r="I132" s="615"/>
      <c r="J132" s="615">
        <v>2</v>
      </c>
      <c r="K132" s="615">
        <v>3784</v>
      </c>
      <c r="L132" s="615"/>
      <c r="M132" s="615">
        <v>1892</v>
      </c>
      <c r="N132" s="615">
        <v>2</v>
      </c>
      <c r="O132" s="615">
        <v>3798</v>
      </c>
      <c r="P132" s="628"/>
      <c r="Q132" s="616">
        <v>1899</v>
      </c>
    </row>
    <row r="133" spans="1:17" ht="14.4" customHeight="1" x14ac:dyDescent="0.3">
      <c r="A133" s="611" t="s">
        <v>550</v>
      </c>
      <c r="B133" s="612" t="s">
        <v>1877</v>
      </c>
      <c r="C133" s="612" t="s">
        <v>1729</v>
      </c>
      <c r="D133" s="612" t="s">
        <v>1892</v>
      </c>
      <c r="E133" s="612" t="s">
        <v>1893</v>
      </c>
      <c r="F133" s="615">
        <v>1</v>
      </c>
      <c r="G133" s="615">
        <v>5070</v>
      </c>
      <c r="H133" s="615">
        <v>1</v>
      </c>
      <c r="I133" s="615">
        <v>5070</v>
      </c>
      <c r="J133" s="615"/>
      <c r="K133" s="615"/>
      <c r="L133" s="615"/>
      <c r="M133" s="615"/>
      <c r="N133" s="615"/>
      <c r="O133" s="615"/>
      <c r="P133" s="628"/>
      <c r="Q133" s="616"/>
    </row>
    <row r="134" spans="1:17" ht="14.4" customHeight="1" x14ac:dyDescent="0.3">
      <c r="A134" s="611" t="s">
        <v>550</v>
      </c>
      <c r="B134" s="612" t="s">
        <v>1877</v>
      </c>
      <c r="C134" s="612" t="s">
        <v>1729</v>
      </c>
      <c r="D134" s="612" t="s">
        <v>1875</v>
      </c>
      <c r="E134" s="612" t="s">
        <v>1876</v>
      </c>
      <c r="F134" s="615"/>
      <c r="G134" s="615"/>
      <c r="H134" s="615"/>
      <c r="I134" s="615"/>
      <c r="J134" s="615">
        <v>4</v>
      </c>
      <c r="K134" s="615">
        <v>21560</v>
      </c>
      <c r="L134" s="615"/>
      <c r="M134" s="615">
        <v>5390</v>
      </c>
      <c r="N134" s="615">
        <v>3</v>
      </c>
      <c r="O134" s="615">
        <v>16294</v>
      </c>
      <c r="P134" s="628"/>
      <c r="Q134" s="616">
        <v>5431.333333333333</v>
      </c>
    </row>
    <row r="135" spans="1:17" ht="14.4" customHeight="1" x14ac:dyDescent="0.3">
      <c r="A135" s="611" t="s">
        <v>550</v>
      </c>
      <c r="B135" s="612" t="s">
        <v>1877</v>
      </c>
      <c r="C135" s="612" t="s">
        <v>1729</v>
      </c>
      <c r="D135" s="612" t="s">
        <v>1894</v>
      </c>
      <c r="E135" s="612" t="s">
        <v>1895</v>
      </c>
      <c r="F135" s="615">
        <v>1</v>
      </c>
      <c r="G135" s="615">
        <v>7990</v>
      </c>
      <c r="H135" s="615">
        <v>1</v>
      </c>
      <c r="I135" s="615">
        <v>7990</v>
      </c>
      <c r="J135" s="615">
        <v>1</v>
      </c>
      <c r="K135" s="615">
        <v>8028</v>
      </c>
      <c r="L135" s="615">
        <v>1.004755944931164</v>
      </c>
      <c r="M135" s="615">
        <v>8028</v>
      </c>
      <c r="N135" s="615"/>
      <c r="O135" s="615"/>
      <c r="P135" s="628"/>
      <c r="Q135" s="616"/>
    </row>
    <row r="136" spans="1:17" ht="14.4" customHeight="1" x14ac:dyDescent="0.3">
      <c r="A136" s="611" t="s">
        <v>550</v>
      </c>
      <c r="B136" s="612" t="s">
        <v>1877</v>
      </c>
      <c r="C136" s="612" t="s">
        <v>1729</v>
      </c>
      <c r="D136" s="612" t="s">
        <v>1896</v>
      </c>
      <c r="E136" s="612" t="s">
        <v>1897</v>
      </c>
      <c r="F136" s="615">
        <v>2</v>
      </c>
      <c r="G136" s="615">
        <v>12944</v>
      </c>
      <c r="H136" s="615">
        <v>1</v>
      </c>
      <c r="I136" s="615">
        <v>6472</v>
      </c>
      <c r="J136" s="615"/>
      <c r="K136" s="615"/>
      <c r="L136" s="615"/>
      <c r="M136" s="615"/>
      <c r="N136" s="615"/>
      <c r="O136" s="615"/>
      <c r="P136" s="628"/>
      <c r="Q136" s="616"/>
    </row>
    <row r="137" spans="1:17" ht="14.4" customHeight="1" x14ac:dyDescent="0.3">
      <c r="A137" s="611" t="s">
        <v>550</v>
      </c>
      <c r="B137" s="612" t="s">
        <v>1877</v>
      </c>
      <c r="C137" s="612" t="s">
        <v>1729</v>
      </c>
      <c r="D137" s="612" t="s">
        <v>1898</v>
      </c>
      <c r="E137" s="612" t="s">
        <v>1899</v>
      </c>
      <c r="F137" s="615">
        <v>1</v>
      </c>
      <c r="G137" s="615">
        <v>9319</v>
      </c>
      <c r="H137" s="615">
        <v>1</v>
      </c>
      <c r="I137" s="615">
        <v>9319</v>
      </c>
      <c r="J137" s="615"/>
      <c r="K137" s="615"/>
      <c r="L137" s="615"/>
      <c r="M137" s="615"/>
      <c r="N137" s="615"/>
      <c r="O137" s="615"/>
      <c r="P137" s="628"/>
      <c r="Q137" s="616"/>
    </row>
    <row r="138" spans="1:17" ht="14.4" customHeight="1" x14ac:dyDescent="0.3">
      <c r="A138" s="611" t="s">
        <v>550</v>
      </c>
      <c r="B138" s="612" t="s">
        <v>1900</v>
      </c>
      <c r="C138" s="612" t="s">
        <v>1729</v>
      </c>
      <c r="D138" s="612" t="s">
        <v>1901</v>
      </c>
      <c r="E138" s="612" t="s">
        <v>1902</v>
      </c>
      <c r="F138" s="615">
        <v>1</v>
      </c>
      <c r="G138" s="615">
        <v>2196</v>
      </c>
      <c r="H138" s="615">
        <v>1</v>
      </c>
      <c r="I138" s="615">
        <v>2196</v>
      </c>
      <c r="J138" s="615"/>
      <c r="K138" s="615"/>
      <c r="L138" s="615"/>
      <c r="M138" s="615"/>
      <c r="N138" s="615">
        <v>2</v>
      </c>
      <c r="O138" s="615">
        <v>4416</v>
      </c>
      <c r="P138" s="628">
        <v>2.0109289617486339</v>
      </c>
      <c r="Q138" s="616">
        <v>2208</v>
      </c>
    </row>
    <row r="139" spans="1:17" ht="14.4" customHeight="1" x14ac:dyDescent="0.3">
      <c r="A139" s="611" t="s">
        <v>550</v>
      </c>
      <c r="B139" s="612" t="s">
        <v>1900</v>
      </c>
      <c r="C139" s="612" t="s">
        <v>1729</v>
      </c>
      <c r="D139" s="612" t="s">
        <v>1903</v>
      </c>
      <c r="E139" s="612" t="s">
        <v>1904</v>
      </c>
      <c r="F139" s="615"/>
      <c r="G139" s="615"/>
      <c r="H139" s="615"/>
      <c r="I139" s="615"/>
      <c r="J139" s="615"/>
      <c r="K139" s="615"/>
      <c r="L139" s="615"/>
      <c r="M139" s="615"/>
      <c r="N139" s="615">
        <v>1</v>
      </c>
      <c r="O139" s="615">
        <v>4421</v>
      </c>
      <c r="P139" s="628"/>
      <c r="Q139" s="616">
        <v>4421</v>
      </c>
    </row>
    <row r="140" spans="1:17" ht="14.4" customHeight="1" x14ac:dyDescent="0.3">
      <c r="A140" s="611" t="s">
        <v>550</v>
      </c>
      <c r="B140" s="612" t="s">
        <v>1900</v>
      </c>
      <c r="C140" s="612" t="s">
        <v>1729</v>
      </c>
      <c r="D140" s="612" t="s">
        <v>1905</v>
      </c>
      <c r="E140" s="612" t="s">
        <v>1906</v>
      </c>
      <c r="F140" s="615">
        <v>1</v>
      </c>
      <c r="G140" s="615">
        <v>4398</v>
      </c>
      <c r="H140" s="615">
        <v>1</v>
      </c>
      <c r="I140" s="615">
        <v>4398</v>
      </c>
      <c r="J140" s="615"/>
      <c r="K140" s="615"/>
      <c r="L140" s="615"/>
      <c r="M140" s="615"/>
      <c r="N140" s="615"/>
      <c r="O140" s="615"/>
      <c r="P140" s="628"/>
      <c r="Q140" s="616"/>
    </row>
    <row r="141" spans="1:17" ht="14.4" customHeight="1" x14ac:dyDescent="0.3">
      <c r="A141" s="611" t="s">
        <v>550</v>
      </c>
      <c r="B141" s="612" t="s">
        <v>1907</v>
      </c>
      <c r="C141" s="612" t="s">
        <v>1729</v>
      </c>
      <c r="D141" s="612" t="s">
        <v>1908</v>
      </c>
      <c r="E141" s="612" t="s">
        <v>1909</v>
      </c>
      <c r="F141" s="615"/>
      <c r="G141" s="615"/>
      <c r="H141" s="615"/>
      <c r="I141" s="615"/>
      <c r="J141" s="615">
        <v>1</v>
      </c>
      <c r="K141" s="615">
        <v>344</v>
      </c>
      <c r="L141" s="615"/>
      <c r="M141" s="615">
        <v>344</v>
      </c>
      <c r="N141" s="615"/>
      <c r="O141" s="615"/>
      <c r="P141" s="628"/>
      <c r="Q141" s="616"/>
    </row>
    <row r="142" spans="1:17" ht="14.4" customHeight="1" x14ac:dyDescent="0.3">
      <c r="A142" s="611" t="s">
        <v>550</v>
      </c>
      <c r="B142" s="612" t="s">
        <v>1907</v>
      </c>
      <c r="C142" s="612" t="s">
        <v>1729</v>
      </c>
      <c r="D142" s="612" t="s">
        <v>1910</v>
      </c>
      <c r="E142" s="612" t="s">
        <v>1911</v>
      </c>
      <c r="F142" s="615">
        <v>1191</v>
      </c>
      <c r="G142" s="615">
        <v>232239</v>
      </c>
      <c r="H142" s="615">
        <v>1</v>
      </c>
      <c r="I142" s="615">
        <v>194.99496221662469</v>
      </c>
      <c r="J142" s="615">
        <v>1298</v>
      </c>
      <c r="K142" s="615">
        <v>254405</v>
      </c>
      <c r="L142" s="615">
        <v>1.0954447788700434</v>
      </c>
      <c r="M142" s="615">
        <v>195.99768875192603</v>
      </c>
      <c r="N142" s="615">
        <v>1343</v>
      </c>
      <c r="O142" s="615">
        <v>264192</v>
      </c>
      <c r="P142" s="628">
        <v>1.1375867102424657</v>
      </c>
      <c r="Q142" s="616">
        <v>196.71779597915116</v>
      </c>
    </row>
    <row r="143" spans="1:17" ht="14.4" customHeight="1" thickBot="1" x14ac:dyDescent="0.35">
      <c r="A143" s="617" t="s">
        <v>550</v>
      </c>
      <c r="B143" s="618" t="s">
        <v>1912</v>
      </c>
      <c r="C143" s="618" t="s">
        <v>1729</v>
      </c>
      <c r="D143" s="618" t="s">
        <v>1913</v>
      </c>
      <c r="E143" s="618" t="s">
        <v>1914</v>
      </c>
      <c r="F143" s="621">
        <v>2</v>
      </c>
      <c r="G143" s="621">
        <v>1022</v>
      </c>
      <c r="H143" s="621">
        <v>1</v>
      </c>
      <c r="I143" s="621">
        <v>511</v>
      </c>
      <c r="J143" s="621"/>
      <c r="K143" s="621"/>
      <c r="L143" s="621"/>
      <c r="M143" s="621"/>
      <c r="N143" s="621"/>
      <c r="O143" s="621"/>
      <c r="P143" s="629"/>
      <c r="Q143" s="62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9" customWidth="1"/>
    <col min="2" max="4" width="7.88671875" style="339" customWidth="1"/>
    <col min="5" max="5" width="7.88671875" style="348" customWidth="1"/>
    <col min="6" max="8" width="7.88671875" style="339" customWidth="1"/>
    <col min="9" max="9" width="7.88671875" style="349" customWidth="1"/>
    <col min="10" max="13" width="7.88671875" style="339" customWidth="1"/>
    <col min="14" max="16384" width="9.33203125" style="339"/>
  </cols>
  <sheetData>
    <row r="1" spans="1:13" ht="18.600000000000001" customHeight="1" thickBot="1" x14ac:dyDescent="0.4">
      <c r="A1" s="540" t="s">
        <v>122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thickBot="1" x14ac:dyDescent="0.35">
      <c r="A2" s="361" t="s">
        <v>305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ht="14.4" customHeight="1" thickBot="1" x14ac:dyDescent="0.35">
      <c r="A3" s="541" t="s">
        <v>57</v>
      </c>
      <c r="B3" s="511" t="s">
        <v>58</v>
      </c>
      <c r="C3" s="512"/>
      <c r="D3" s="512"/>
      <c r="E3" s="513"/>
      <c r="F3" s="511" t="s">
        <v>287</v>
      </c>
      <c r="G3" s="512"/>
      <c r="H3" s="512"/>
      <c r="I3" s="513"/>
      <c r="J3" s="108"/>
      <c r="K3" s="109"/>
      <c r="L3" s="108"/>
      <c r="M3" s="110"/>
    </row>
    <row r="4" spans="1:13" ht="14.4" customHeight="1" thickBot="1" x14ac:dyDescent="0.35">
      <c r="A4" s="542"/>
      <c r="B4" s="111">
        <v>2012</v>
      </c>
      <c r="C4" s="112">
        <v>2013</v>
      </c>
      <c r="D4" s="112">
        <v>2014</v>
      </c>
      <c r="E4" s="113" t="s">
        <v>2</v>
      </c>
      <c r="F4" s="112">
        <v>2012</v>
      </c>
      <c r="G4" s="112">
        <v>2013</v>
      </c>
      <c r="H4" s="112">
        <v>2014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592.67700000000002</v>
      </c>
      <c r="C5" s="99">
        <v>785.00099999999998</v>
      </c>
      <c r="D5" s="99">
        <v>722.90899999999999</v>
      </c>
      <c r="E5" s="116">
        <v>1.2197352014672409</v>
      </c>
      <c r="F5" s="117">
        <v>389</v>
      </c>
      <c r="G5" s="99">
        <v>464</v>
      </c>
      <c r="H5" s="99">
        <v>425</v>
      </c>
      <c r="I5" s="118">
        <v>1.0925449871465296</v>
      </c>
      <c r="J5" s="108"/>
      <c r="K5" s="108"/>
      <c r="L5" s="7">
        <f>D5-B5</f>
        <v>130.23199999999997</v>
      </c>
      <c r="M5" s="8">
        <f>H5-F5</f>
        <v>36</v>
      </c>
    </row>
    <row r="6" spans="1:13" ht="14.4" hidden="1" customHeight="1" outlineLevel="1" x14ac:dyDescent="0.3">
      <c r="A6" s="104" t="s">
        <v>151</v>
      </c>
      <c r="B6" s="107">
        <v>142.49</v>
      </c>
      <c r="C6" s="98">
        <v>382.28500000000003</v>
      </c>
      <c r="D6" s="98">
        <v>255.08199999999999</v>
      </c>
      <c r="E6" s="119">
        <v>1.7901747491052002</v>
      </c>
      <c r="F6" s="120">
        <v>176</v>
      </c>
      <c r="G6" s="98">
        <v>212</v>
      </c>
      <c r="H6" s="98">
        <v>201</v>
      </c>
      <c r="I6" s="121">
        <v>1.1420454545454546</v>
      </c>
      <c r="J6" s="108"/>
      <c r="K6" s="108"/>
      <c r="L6" s="5">
        <f t="shared" ref="L6:L11" si="0">D6-B6</f>
        <v>112.59199999999998</v>
      </c>
      <c r="M6" s="6">
        <f t="shared" ref="M6:M13" si="1">H6-F6</f>
        <v>25</v>
      </c>
    </row>
    <row r="7" spans="1:13" ht="14.4" hidden="1" customHeight="1" outlineLevel="1" x14ac:dyDescent="0.3">
      <c r="A7" s="104" t="s">
        <v>152</v>
      </c>
      <c r="B7" s="107">
        <v>1054.462</v>
      </c>
      <c r="C7" s="98">
        <v>1009.412</v>
      </c>
      <c r="D7" s="98">
        <v>816.65499999999997</v>
      </c>
      <c r="E7" s="119">
        <v>0.77447551452778762</v>
      </c>
      <c r="F7" s="120">
        <v>734</v>
      </c>
      <c r="G7" s="98">
        <v>759</v>
      </c>
      <c r="H7" s="98">
        <v>849</v>
      </c>
      <c r="I7" s="121">
        <v>1.1566757493188011</v>
      </c>
      <c r="J7" s="108"/>
      <c r="K7" s="108"/>
      <c r="L7" s="5">
        <f t="shared" si="0"/>
        <v>-237.80700000000002</v>
      </c>
      <c r="M7" s="6">
        <f t="shared" si="1"/>
        <v>115</v>
      </c>
    </row>
    <row r="8" spans="1:13" ht="14.4" hidden="1" customHeight="1" outlineLevel="1" x14ac:dyDescent="0.3">
      <c r="A8" s="104" t="s">
        <v>153</v>
      </c>
      <c r="B8" s="107">
        <v>50.965000000000003</v>
      </c>
      <c r="C8" s="98">
        <v>79.75</v>
      </c>
      <c r="D8" s="98">
        <v>116.078</v>
      </c>
      <c r="E8" s="119">
        <v>2.2776022760718138</v>
      </c>
      <c r="F8" s="120">
        <v>44</v>
      </c>
      <c r="G8" s="98">
        <v>64</v>
      </c>
      <c r="H8" s="98">
        <v>76</v>
      </c>
      <c r="I8" s="121">
        <v>1.7272727272727273</v>
      </c>
      <c r="J8" s="108"/>
      <c r="K8" s="108"/>
      <c r="L8" s="5">
        <f t="shared" si="0"/>
        <v>65.113</v>
      </c>
      <c r="M8" s="6">
        <f t="shared" si="1"/>
        <v>32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44.591000000000001</v>
      </c>
      <c r="E9" s="119" t="s">
        <v>552</v>
      </c>
      <c r="F9" s="120">
        <v>0</v>
      </c>
      <c r="G9" s="98">
        <v>0</v>
      </c>
      <c r="H9" s="98">
        <v>2</v>
      </c>
      <c r="I9" s="121" t="s">
        <v>552</v>
      </c>
      <c r="J9" s="108"/>
      <c r="K9" s="108"/>
      <c r="L9" s="5">
        <f t="shared" si="0"/>
        <v>44.591000000000001</v>
      </c>
      <c r="M9" s="6">
        <f t="shared" si="1"/>
        <v>2</v>
      </c>
    </row>
    <row r="10" spans="1:13" ht="14.4" hidden="1" customHeight="1" outlineLevel="1" x14ac:dyDescent="0.3">
      <c r="A10" s="104" t="s">
        <v>155</v>
      </c>
      <c r="B10" s="107">
        <v>228.792</v>
      </c>
      <c r="C10" s="98">
        <v>253.428</v>
      </c>
      <c r="D10" s="98">
        <v>339.041</v>
      </c>
      <c r="E10" s="119">
        <v>1.4818743662365816</v>
      </c>
      <c r="F10" s="120">
        <v>199</v>
      </c>
      <c r="G10" s="98">
        <v>237</v>
      </c>
      <c r="H10" s="98">
        <v>270</v>
      </c>
      <c r="I10" s="121">
        <v>1.3567839195979901</v>
      </c>
      <c r="J10" s="108"/>
      <c r="K10" s="108"/>
      <c r="L10" s="5">
        <f t="shared" si="0"/>
        <v>110.249</v>
      </c>
      <c r="M10" s="6">
        <f t="shared" si="1"/>
        <v>71</v>
      </c>
    </row>
    <row r="11" spans="1:13" ht="14.4" hidden="1" customHeight="1" outlineLevel="1" x14ac:dyDescent="0.3">
      <c r="A11" s="104" t="s">
        <v>156</v>
      </c>
      <c r="B11" s="107">
        <v>120.913</v>
      </c>
      <c r="C11" s="98">
        <v>21.655999999999999</v>
      </c>
      <c r="D11" s="98">
        <v>90.272000000000006</v>
      </c>
      <c r="E11" s="119">
        <v>0.74658638856036996</v>
      </c>
      <c r="F11" s="120">
        <v>38</v>
      </c>
      <c r="G11" s="98">
        <v>23</v>
      </c>
      <c r="H11" s="98">
        <v>33</v>
      </c>
      <c r="I11" s="121">
        <v>0.86842105263157898</v>
      </c>
      <c r="J11" s="108"/>
      <c r="K11" s="108"/>
      <c r="L11" s="5">
        <f t="shared" si="0"/>
        <v>-30.640999999999991</v>
      </c>
      <c r="M11" s="6">
        <f t="shared" si="1"/>
        <v>-5</v>
      </c>
    </row>
    <row r="12" spans="1:13" ht="14.4" hidden="1" customHeight="1" outlineLevel="1" thickBot="1" x14ac:dyDescent="0.35">
      <c r="A12" s="228" t="s">
        <v>207</v>
      </c>
      <c r="B12" s="229">
        <v>3.1110000000000002</v>
      </c>
      <c r="C12" s="230">
        <v>3.028</v>
      </c>
      <c r="D12" s="230">
        <v>24.67</v>
      </c>
      <c r="E12" s="231"/>
      <c r="F12" s="232">
        <v>11</v>
      </c>
      <c r="G12" s="230">
        <v>6</v>
      </c>
      <c r="H12" s="230">
        <v>7</v>
      </c>
      <c r="I12" s="233"/>
      <c r="J12" s="108"/>
      <c r="K12" s="108"/>
      <c r="L12" s="234">
        <f>D12-B12</f>
        <v>21.559000000000001</v>
      </c>
      <c r="M12" s="235">
        <f>H12-F12</f>
        <v>-4</v>
      </c>
    </row>
    <row r="13" spans="1:13" ht="14.4" customHeight="1" collapsed="1" thickBot="1" x14ac:dyDescent="0.35">
      <c r="A13" s="105" t="s">
        <v>3</v>
      </c>
      <c r="B13" s="100">
        <f>SUM(B5:B12)</f>
        <v>2193.41</v>
      </c>
      <c r="C13" s="101">
        <f>SUM(C5:C12)</f>
        <v>2534.56</v>
      </c>
      <c r="D13" s="101">
        <f>SUM(D5:D12)</f>
        <v>2409.2979999999998</v>
      </c>
      <c r="E13" s="122">
        <f>IF(OR(D13=0,B13=0),0,D13/B13)</f>
        <v>1.0984257389179406</v>
      </c>
      <c r="F13" s="123">
        <f>SUM(F5:F12)</f>
        <v>1591</v>
      </c>
      <c r="G13" s="101">
        <f>SUM(G5:G12)</f>
        <v>1765</v>
      </c>
      <c r="H13" s="101">
        <f>SUM(H5:H12)</f>
        <v>1863</v>
      </c>
      <c r="I13" s="124">
        <f>IF(OR(H13=0,F13=0),0,H13/F13)</f>
        <v>1.1709616593337524</v>
      </c>
      <c r="J13" s="108"/>
      <c r="K13" s="108"/>
      <c r="L13" s="114">
        <f>D13-B13</f>
        <v>215.88799999999992</v>
      </c>
      <c r="M13" s="125">
        <f t="shared" si="1"/>
        <v>272</v>
      </c>
    </row>
    <row r="14" spans="1:13" ht="14.4" customHeight="1" x14ac:dyDescent="0.3">
      <c r="A14" s="126"/>
      <c r="B14" s="534"/>
      <c r="C14" s="534"/>
      <c r="D14" s="534"/>
      <c r="E14" s="534"/>
      <c r="F14" s="534"/>
      <c r="G14" s="534"/>
      <c r="H14" s="534"/>
      <c r="I14" s="534"/>
      <c r="J14" s="108"/>
      <c r="K14" s="108"/>
      <c r="L14" s="108"/>
      <c r="M14" s="110"/>
    </row>
    <row r="15" spans="1:13" ht="14.4" customHeight="1" thickBot="1" x14ac:dyDescent="0.35">
      <c r="A15" s="126"/>
      <c r="B15" s="341"/>
      <c r="C15" s="342"/>
      <c r="D15" s="342"/>
      <c r="E15" s="342"/>
      <c r="F15" s="341"/>
      <c r="G15" s="342"/>
      <c r="H15" s="342"/>
      <c r="I15" s="342"/>
      <c r="J15" s="108"/>
      <c r="K15" s="108"/>
      <c r="L15" s="108"/>
      <c r="M15" s="110"/>
    </row>
    <row r="16" spans="1:13" ht="14.4" customHeight="1" thickBot="1" x14ac:dyDescent="0.35">
      <c r="A16" s="529" t="s">
        <v>203</v>
      </c>
      <c r="B16" s="531" t="s">
        <v>58</v>
      </c>
      <c r="C16" s="532"/>
      <c r="D16" s="532"/>
      <c r="E16" s="533"/>
      <c r="F16" s="531" t="s">
        <v>287</v>
      </c>
      <c r="G16" s="532"/>
      <c r="H16" s="532"/>
      <c r="I16" s="533"/>
      <c r="J16" s="536" t="s">
        <v>160</v>
      </c>
      <c r="K16" s="537"/>
      <c r="L16" s="143"/>
      <c r="M16" s="143"/>
    </row>
    <row r="17" spans="1:13" ht="14.4" customHeight="1" thickBot="1" x14ac:dyDescent="0.35">
      <c r="A17" s="530"/>
      <c r="B17" s="127">
        <v>2012</v>
      </c>
      <c r="C17" s="128">
        <v>2013</v>
      </c>
      <c r="D17" s="128">
        <v>2014</v>
      </c>
      <c r="E17" s="129" t="s">
        <v>2</v>
      </c>
      <c r="F17" s="127">
        <v>2012</v>
      </c>
      <c r="G17" s="128">
        <v>2013</v>
      </c>
      <c r="H17" s="128">
        <v>2014</v>
      </c>
      <c r="I17" s="129" t="s">
        <v>2</v>
      </c>
      <c r="J17" s="538" t="s">
        <v>161</v>
      </c>
      <c r="K17" s="539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592.67700000000002</v>
      </c>
      <c r="C18" s="99">
        <v>785.00099999999998</v>
      </c>
      <c r="D18" s="99">
        <v>722.90899999999999</v>
      </c>
      <c r="E18" s="116">
        <v>1.2197352014672409</v>
      </c>
      <c r="F18" s="106">
        <v>389</v>
      </c>
      <c r="G18" s="99">
        <v>464</v>
      </c>
      <c r="H18" s="99">
        <v>425</v>
      </c>
      <c r="I18" s="118">
        <v>1.0925449871465296</v>
      </c>
      <c r="J18" s="522">
        <f>0.97*0.976</f>
        <v>0.94672000000000001</v>
      </c>
      <c r="K18" s="523"/>
      <c r="L18" s="132">
        <f>D18-B18</f>
        <v>130.23199999999997</v>
      </c>
      <c r="M18" s="133">
        <f>H18-F18</f>
        <v>36</v>
      </c>
    </row>
    <row r="19" spans="1:13" ht="14.4" hidden="1" customHeight="1" outlineLevel="1" x14ac:dyDescent="0.3">
      <c r="A19" s="104" t="s">
        <v>151</v>
      </c>
      <c r="B19" s="107">
        <v>142.49</v>
      </c>
      <c r="C19" s="98">
        <v>382.28500000000003</v>
      </c>
      <c r="D19" s="98">
        <v>255.08199999999999</v>
      </c>
      <c r="E19" s="119">
        <v>1.7901747491052002</v>
      </c>
      <c r="F19" s="107">
        <v>176</v>
      </c>
      <c r="G19" s="98">
        <v>212</v>
      </c>
      <c r="H19" s="98">
        <v>201</v>
      </c>
      <c r="I19" s="121">
        <v>1.1420454545454546</v>
      </c>
      <c r="J19" s="522">
        <f>0.97*1.096</f>
        <v>1.0631200000000001</v>
      </c>
      <c r="K19" s="523"/>
      <c r="L19" s="134">
        <f t="shared" ref="L19:L26" si="2">D19-B19</f>
        <v>112.59199999999998</v>
      </c>
      <c r="M19" s="135">
        <f t="shared" ref="M19:M26" si="3">H19-F19</f>
        <v>25</v>
      </c>
    </row>
    <row r="20" spans="1:13" ht="14.4" hidden="1" customHeight="1" outlineLevel="1" x14ac:dyDescent="0.3">
      <c r="A20" s="104" t="s">
        <v>152</v>
      </c>
      <c r="B20" s="107">
        <v>1054.462</v>
      </c>
      <c r="C20" s="98">
        <v>1009.412</v>
      </c>
      <c r="D20" s="98">
        <v>816.65499999999997</v>
      </c>
      <c r="E20" s="119">
        <v>0.77447551452778762</v>
      </c>
      <c r="F20" s="107">
        <v>734</v>
      </c>
      <c r="G20" s="98">
        <v>759</v>
      </c>
      <c r="H20" s="98">
        <v>849</v>
      </c>
      <c r="I20" s="121">
        <v>1.1566757493188011</v>
      </c>
      <c r="J20" s="522">
        <f>0.97*1.047</f>
        <v>1.01559</v>
      </c>
      <c r="K20" s="523"/>
      <c r="L20" s="134">
        <f t="shared" si="2"/>
        <v>-237.80700000000002</v>
      </c>
      <c r="M20" s="135">
        <f t="shared" si="3"/>
        <v>115</v>
      </c>
    </row>
    <row r="21" spans="1:13" ht="14.4" hidden="1" customHeight="1" outlineLevel="1" x14ac:dyDescent="0.3">
      <c r="A21" s="104" t="s">
        <v>153</v>
      </c>
      <c r="B21" s="107">
        <v>50.965000000000003</v>
      </c>
      <c r="C21" s="98">
        <v>79.75</v>
      </c>
      <c r="D21" s="98">
        <v>116.078</v>
      </c>
      <c r="E21" s="119">
        <v>2.2776022760718138</v>
      </c>
      <c r="F21" s="107">
        <v>44</v>
      </c>
      <c r="G21" s="98">
        <v>64</v>
      </c>
      <c r="H21" s="98">
        <v>76</v>
      </c>
      <c r="I21" s="121">
        <v>1.7272727272727273</v>
      </c>
      <c r="J21" s="522">
        <f>0.97*1.091</f>
        <v>1.05827</v>
      </c>
      <c r="K21" s="523"/>
      <c r="L21" s="134">
        <f t="shared" si="2"/>
        <v>65.113</v>
      </c>
      <c r="M21" s="135">
        <f t="shared" si="3"/>
        <v>32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44.591000000000001</v>
      </c>
      <c r="E22" s="119" t="s">
        <v>552</v>
      </c>
      <c r="F22" s="107">
        <v>0</v>
      </c>
      <c r="G22" s="98">
        <v>0</v>
      </c>
      <c r="H22" s="98">
        <v>2</v>
      </c>
      <c r="I22" s="121" t="s">
        <v>552</v>
      </c>
      <c r="J22" s="522">
        <f>0.97*1</f>
        <v>0.97</v>
      </c>
      <c r="K22" s="523"/>
      <c r="L22" s="134">
        <f t="shared" si="2"/>
        <v>44.591000000000001</v>
      </c>
      <c r="M22" s="135">
        <f t="shared" si="3"/>
        <v>2</v>
      </c>
    </row>
    <row r="23" spans="1:13" ht="14.4" hidden="1" customHeight="1" outlineLevel="1" x14ac:dyDescent="0.3">
      <c r="A23" s="104" t="s">
        <v>155</v>
      </c>
      <c r="B23" s="107">
        <v>228.792</v>
      </c>
      <c r="C23" s="98">
        <v>253.428</v>
      </c>
      <c r="D23" s="98">
        <v>339.041</v>
      </c>
      <c r="E23" s="119">
        <v>1.4818743662365816</v>
      </c>
      <c r="F23" s="107">
        <v>199</v>
      </c>
      <c r="G23" s="98">
        <v>237</v>
      </c>
      <c r="H23" s="98">
        <v>270</v>
      </c>
      <c r="I23" s="121">
        <v>1.3567839195979901</v>
      </c>
      <c r="J23" s="522">
        <f>0.97*1.096</f>
        <v>1.0631200000000001</v>
      </c>
      <c r="K23" s="523"/>
      <c r="L23" s="134">
        <f t="shared" si="2"/>
        <v>110.249</v>
      </c>
      <c r="M23" s="135">
        <f t="shared" si="3"/>
        <v>71</v>
      </c>
    </row>
    <row r="24" spans="1:13" ht="14.4" hidden="1" customHeight="1" outlineLevel="1" x14ac:dyDescent="0.3">
      <c r="A24" s="104" t="s">
        <v>156</v>
      </c>
      <c r="B24" s="107">
        <v>120.913</v>
      </c>
      <c r="C24" s="98">
        <v>21.655999999999999</v>
      </c>
      <c r="D24" s="98">
        <v>90.272000000000006</v>
      </c>
      <c r="E24" s="119">
        <v>0.74658638856036996</v>
      </c>
      <c r="F24" s="107">
        <v>38</v>
      </c>
      <c r="G24" s="98">
        <v>23</v>
      </c>
      <c r="H24" s="98">
        <v>33</v>
      </c>
      <c r="I24" s="121">
        <v>0.86842105263157898</v>
      </c>
      <c r="J24" s="522">
        <f>0.97*0.989</f>
        <v>0.95933000000000002</v>
      </c>
      <c r="K24" s="523"/>
      <c r="L24" s="134">
        <f t="shared" si="2"/>
        <v>-30.640999999999991</v>
      </c>
      <c r="M24" s="135">
        <f t="shared" si="3"/>
        <v>-5</v>
      </c>
    </row>
    <row r="25" spans="1:13" ht="14.4" hidden="1" customHeight="1" outlineLevel="1" thickBot="1" x14ac:dyDescent="0.35">
      <c r="A25" s="228" t="s">
        <v>207</v>
      </c>
      <c r="B25" s="229">
        <v>3.1110000000000002</v>
      </c>
      <c r="C25" s="230">
        <v>3.028</v>
      </c>
      <c r="D25" s="230">
        <v>24.67</v>
      </c>
      <c r="E25" s="231"/>
      <c r="F25" s="229">
        <v>11</v>
      </c>
      <c r="G25" s="230">
        <v>6</v>
      </c>
      <c r="H25" s="230">
        <v>7</v>
      </c>
      <c r="I25" s="233"/>
      <c r="J25" s="343"/>
      <c r="K25" s="344"/>
      <c r="L25" s="236">
        <f>D25-B25</f>
        <v>21.559000000000001</v>
      </c>
      <c r="M25" s="237">
        <f>H25-F25</f>
        <v>-4</v>
      </c>
    </row>
    <row r="26" spans="1:13" ht="14.4" customHeight="1" collapsed="1" thickBot="1" x14ac:dyDescent="0.35">
      <c r="A26" s="136" t="s">
        <v>3</v>
      </c>
      <c r="B26" s="137">
        <f>SUM(B18:B25)</f>
        <v>2193.41</v>
      </c>
      <c r="C26" s="138">
        <f>SUM(C18:C25)</f>
        <v>2534.56</v>
      </c>
      <c r="D26" s="138">
        <f>SUM(D18:D25)</f>
        <v>2409.2979999999998</v>
      </c>
      <c r="E26" s="139">
        <f>IF(OR(D26=0,B26=0),0,D26/B26)</f>
        <v>1.0984257389179406</v>
      </c>
      <c r="F26" s="137">
        <f>SUM(F18:F25)</f>
        <v>1591</v>
      </c>
      <c r="G26" s="138">
        <f>SUM(G18:G25)</f>
        <v>1765</v>
      </c>
      <c r="H26" s="138">
        <f>SUM(H18:H25)</f>
        <v>1863</v>
      </c>
      <c r="I26" s="140">
        <f>IF(OR(H26=0,F26=0),0,H26/F26)</f>
        <v>1.1709616593337524</v>
      </c>
      <c r="J26" s="108"/>
      <c r="K26" s="108"/>
      <c r="L26" s="130">
        <f t="shared" si="2"/>
        <v>215.88799999999992</v>
      </c>
      <c r="M26" s="141">
        <f t="shared" si="3"/>
        <v>272</v>
      </c>
    </row>
    <row r="27" spans="1:13" ht="14.4" customHeight="1" x14ac:dyDescent="0.3">
      <c r="A27" s="142"/>
      <c r="B27" s="534" t="s">
        <v>205</v>
      </c>
      <c r="C27" s="535"/>
      <c r="D27" s="535"/>
      <c r="E27" s="535"/>
      <c r="F27" s="534" t="s">
        <v>206</v>
      </c>
      <c r="G27" s="535"/>
      <c r="H27" s="535"/>
      <c r="I27" s="535"/>
      <c r="J27" s="143"/>
      <c r="K27" s="143"/>
      <c r="L27" s="143"/>
      <c r="M27" s="144"/>
    </row>
    <row r="28" spans="1:13" ht="14.4" customHeight="1" thickBot="1" x14ac:dyDescent="0.35">
      <c r="A28" s="142"/>
      <c r="B28" s="341"/>
      <c r="C28" s="342"/>
      <c r="D28" s="342"/>
      <c r="E28" s="342"/>
      <c r="F28" s="341"/>
      <c r="G28" s="342"/>
      <c r="H28" s="342"/>
      <c r="I28" s="342"/>
      <c r="J28" s="143"/>
      <c r="K28" s="143"/>
      <c r="L28" s="143"/>
      <c r="M28" s="144"/>
    </row>
    <row r="29" spans="1:13" ht="14.4" customHeight="1" thickBot="1" x14ac:dyDescent="0.35">
      <c r="A29" s="524" t="s">
        <v>204</v>
      </c>
      <c r="B29" s="526" t="s">
        <v>58</v>
      </c>
      <c r="C29" s="527"/>
      <c r="D29" s="527"/>
      <c r="E29" s="528"/>
      <c r="F29" s="527" t="s">
        <v>287</v>
      </c>
      <c r="G29" s="527"/>
      <c r="H29" s="527"/>
      <c r="I29" s="528"/>
      <c r="J29" s="143"/>
      <c r="K29" s="143"/>
      <c r="L29" s="143"/>
      <c r="M29" s="144"/>
    </row>
    <row r="30" spans="1:13" ht="14.4" customHeight="1" thickBot="1" x14ac:dyDescent="0.35">
      <c r="A30" s="525"/>
      <c r="B30" s="145">
        <v>2012</v>
      </c>
      <c r="C30" s="146">
        <v>2013</v>
      </c>
      <c r="D30" s="146">
        <v>2014</v>
      </c>
      <c r="E30" s="147" t="s">
        <v>2</v>
      </c>
      <c r="F30" s="146">
        <v>2012</v>
      </c>
      <c r="G30" s="146">
        <v>2013</v>
      </c>
      <c r="H30" s="146">
        <v>2014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552</v>
      </c>
      <c r="F31" s="117">
        <v>0</v>
      </c>
      <c r="G31" s="99">
        <v>0</v>
      </c>
      <c r="H31" s="99">
        <v>0</v>
      </c>
      <c r="I31" s="118" t="s">
        <v>552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552</v>
      </c>
      <c r="F32" s="120">
        <v>0</v>
      </c>
      <c r="G32" s="98">
        <v>0</v>
      </c>
      <c r="H32" s="98">
        <v>0</v>
      </c>
      <c r="I32" s="121" t="s">
        <v>552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552</v>
      </c>
      <c r="F33" s="120">
        <v>0</v>
      </c>
      <c r="G33" s="98">
        <v>0</v>
      </c>
      <c r="H33" s="98">
        <v>0</v>
      </c>
      <c r="I33" s="121" t="s">
        <v>552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552</v>
      </c>
      <c r="F34" s="120">
        <v>0</v>
      </c>
      <c r="G34" s="98">
        <v>0</v>
      </c>
      <c r="H34" s="98">
        <v>0</v>
      </c>
      <c r="I34" s="121" t="s">
        <v>552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552</v>
      </c>
      <c r="F35" s="120">
        <v>0</v>
      </c>
      <c r="G35" s="98">
        <v>0</v>
      </c>
      <c r="H35" s="98">
        <v>0</v>
      </c>
      <c r="I35" s="121" t="s">
        <v>552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552</v>
      </c>
      <c r="F36" s="120">
        <v>0</v>
      </c>
      <c r="G36" s="98">
        <v>0</v>
      </c>
      <c r="H36" s="98">
        <v>0</v>
      </c>
      <c r="I36" s="121" t="s">
        <v>552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552</v>
      </c>
      <c r="F37" s="120">
        <v>0</v>
      </c>
      <c r="G37" s="98">
        <v>0</v>
      </c>
      <c r="H37" s="98">
        <v>0</v>
      </c>
      <c r="I37" s="121" t="s">
        <v>552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207</v>
      </c>
      <c r="B38" s="229">
        <v>0</v>
      </c>
      <c r="C38" s="230">
        <v>0</v>
      </c>
      <c r="D38" s="230">
        <v>0</v>
      </c>
      <c r="E38" s="231"/>
      <c r="F38" s="232">
        <v>0</v>
      </c>
      <c r="G38" s="230">
        <v>0</v>
      </c>
      <c r="H38" s="230">
        <v>0</v>
      </c>
      <c r="I38" s="233"/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5"/>
      <c r="B40" s="345"/>
      <c r="C40" s="345"/>
      <c r="D40" s="345"/>
      <c r="E40" s="346"/>
      <c r="F40" s="345"/>
      <c r="G40" s="345"/>
      <c r="H40" s="345"/>
      <c r="I40" s="347"/>
      <c r="J40" s="345"/>
      <c r="K40" s="345"/>
      <c r="L40" s="345"/>
      <c r="M40" s="345"/>
    </row>
    <row r="41" spans="1:13" ht="14.4" customHeight="1" x14ac:dyDescent="0.3">
      <c r="A41" s="246" t="s">
        <v>290</v>
      </c>
      <c r="B41" s="345"/>
      <c r="C41" s="345"/>
      <c r="D41" s="345"/>
      <c r="E41" s="346"/>
      <c r="F41" s="345"/>
      <c r="G41" s="345"/>
      <c r="H41" s="345"/>
      <c r="I41" s="347"/>
      <c r="J41" s="345"/>
      <c r="K41" s="345"/>
      <c r="L41" s="345"/>
      <c r="M41" s="345"/>
    </row>
    <row r="42" spans="1:13" ht="14.4" customHeight="1" x14ac:dyDescent="0.25">
      <c r="A42" s="427" t="s">
        <v>286</v>
      </c>
    </row>
    <row r="43" spans="1:13" ht="14.4" customHeight="1" x14ac:dyDescent="0.25">
      <c r="A43" s="428" t="s">
        <v>292</v>
      </c>
    </row>
    <row r="44" spans="1:13" ht="14.4" customHeight="1" x14ac:dyDescent="0.25">
      <c r="A44" s="427" t="s">
        <v>288</v>
      </c>
    </row>
    <row r="45" spans="1:13" ht="14.4" customHeight="1" x14ac:dyDescent="0.25">
      <c r="A45" s="428" t="s">
        <v>289</v>
      </c>
    </row>
    <row r="46" spans="1:13" ht="14.4" customHeight="1" x14ac:dyDescent="0.3">
      <c r="A46" s="227" t="s">
        <v>291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2" t="s">
        <v>102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x14ac:dyDescent="0.3">
      <c r="A2" s="361" t="s">
        <v>305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0"/>
      <c r="C3" s="35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0"/>
      <c r="C4" s="35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0"/>
      <c r="C5" s="35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0"/>
      <c r="C6" s="35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0"/>
      <c r="C7" s="35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0"/>
      <c r="C8" s="35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0"/>
      <c r="C9" s="35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0"/>
      <c r="C10" s="35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0"/>
      <c r="C11" s="35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0"/>
      <c r="C12" s="35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0"/>
      <c r="C13" s="35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0"/>
      <c r="C14" s="35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0"/>
      <c r="C15" s="35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0"/>
      <c r="C16" s="35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0"/>
      <c r="C17" s="35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0"/>
      <c r="C18" s="35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0"/>
      <c r="C19" s="35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0"/>
      <c r="C20" s="35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0"/>
      <c r="C21" s="35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0"/>
      <c r="C22" s="35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0"/>
      <c r="C23" s="35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0"/>
      <c r="C24" s="35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0"/>
      <c r="C25" s="35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0"/>
      <c r="C26" s="35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0"/>
      <c r="C27" s="35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0"/>
      <c r="C28" s="35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0"/>
      <c r="C29" s="35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0"/>
      <c r="C30" s="35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3" t="s">
        <v>70</v>
      </c>
      <c r="C31" s="544"/>
      <c r="D31" s="544"/>
      <c r="E31" s="545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1"/>
      <c r="H32" s="35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1247.47</v>
      </c>
      <c r="C33" s="188">
        <v>1110</v>
      </c>
      <c r="D33" s="75">
        <f>IF(C33="","",C33-B33)</f>
        <v>-137.47000000000003</v>
      </c>
      <c r="E33" s="76">
        <f>IF(C33="","",C33/B33)</f>
        <v>0.88980095713724572</v>
      </c>
      <c r="F33" s="77">
        <v>61.67</v>
      </c>
      <c r="G33" s="351">
        <v>0</v>
      </c>
      <c r="H33" s="352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2557.8200000000002</v>
      </c>
      <c r="C34" s="189">
        <v>2355</v>
      </c>
      <c r="D34" s="78">
        <f t="shared" ref="D34:D45" si="0">IF(C34="","",C34-B34)</f>
        <v>-202.82000000000016</v>
      </c>
      <c r="E34" s="79">
        <f t="shared" ref="E34:E45" si="1">IF(C34="","",C34/B34)</f>
        <v>0.9207059136295751</v>
      </c>
      <c r="F34" s="80">
        <v>217.78</v>
      </c>
      <c r="G34" s="351">
        <v>1</v>
      </c>
      <c r="H34" s="352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4211.2299999999996</v>
      </c>
      <c r="C35" s="189">
        <v>3801</v>
      </c>
      <c r="D35" s="78">
        <f t="shared" si="0"/>
        <v>-410.22999999999956</v>
      </c>
      <c r="E35" s="79">
        <f t="shared" si="1"/>
        <v>0.90258665520524894</v>
      </c>
      <c r="F35" s="80">
        <v>347.2</v>
      </c>
      <c r="G35" s="353"/>
      <c r="H35" s="353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5782.16</v>
      </c>
      <c r="C36" s="189">
        <v>5298</v>
      </c>
      <c r="D36" s="78">
        <f t="shared" si="0"/>
        <v>-484.15999999999985</v>
      </c>
      <c r="E36" s="79">
        <f t="shared" si="1"/>
        <v>0.91626658549746121</v>
      </c>
      <c r="F36" s="80">
        <v>535.35</v>
      </c>
      <c r="G36" s="353"/>
      <c r="H36" s="353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7067.62</v>
      </c>
      <c r="C37" s="189">
        <v>6511</v>
      </c>
      <c r="D37" s="78">
        <f t="shared" si="0"/>
        <v>-556.61999999999989</v>
      </c>
      <c r="E37" s="79">
        <f t="shared" si="1"/>
        <v>0.92124364354620081</v>
      </c>
      <c r="F37" s="80">
        <v>683.99</v>
      </c>
      <c r="G37" s="353"/>
      <c r="H37" s="353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8252.77</v>
      </c>
      <c r="C38" s="189">
        <v>7634</v>
      </c>
      <c r="D38" s="78">
        <f t="shared" si="0"/>
        <v>-618.77000000000044</v>
      </c>
      <c r="E38" s="79">
        <f t="shared" si="1"/>
        <v>0.92502274993729372</v>
      </c>
      <c r="F38" s="80">
        <v>832.65</v>
      </c>
      <c r="G38" s="353"/>
      <c r="H38" s="353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10686.33</v>
      </c>
      <c r="C39" s="189">
        <v>9817</v>
      </c>
      <c r="D39" s="78">
        <f t="shared" si="0"/>
        <v>-869.32999999999993</v>
      </c>
      <c r="E39" s="79">
        <f t="shared" si="1"/>
        <v>0.91865027563251367</v>
      </c>
      <c r="F39" s="80">
        <v>1038.8</v>
      </c>
      <c r="G39" s="353"/>
      <c r="H39" s="353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>
        <v>12468.19</v>
      </c>
      <c r="C40" s="189">
        <v>11413</v>
      </c>
      <c r="D40" s="78">
        <f t="shared" si="0"/>
        <v>-1055.1900000000005</v>
      </c>
      <c r="E40" s="79">
        <f t="shared" si="1"/>
        <v>0.91536943213088662</v>
      </c>
      <c r="F40" s="80">
        <v>1195.94</v>
      </c>
      <c r="G40" s="353"/>
      <c r="H40" s="353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>
        <v>14137.2</v>
      </c>
      <c r="C41" s="189">
        <v>12926</v>
      </c>
      <c r="D41" s="78">
        <f t="shared" si="0"/>
        <v>-1211.2000000000007</v>
      </c>
      <c r="E41" s="79">
        <f t="shared" si="1"/>
        <v>0.91432532609003192</v>
      </c>
      <c r="F41" s="80">
        <v>1308.49</v>
      </c>
      <c r="G41" s="353"/>
      <c r="H41" s="353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3"/>
      <c r="H42" s="353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3"/>
      <c r="H43" s="353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3"/>
      <c r="H44" s="353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3"/>
      <c r="H45" s="35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2" t="s">
        <v>136</v>
      </c>
      <c r="B1" s="452"/>
      <c r="C1" s="453"/>
      <c r="D1" s="453"/>
      <c r="E1" s="453"/>
    </row>
    <row r="2" spans="1:5" ht="14.4" customHeight="1" thickBot="1" x14ac:dyDescent="0.35">
      <c r="A2" s="361" t="s">
        <v>305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41784.253861903293</v>
      </c>
      <c r="D4" s="269">
        <f ca="1">IF(ISERROR(VLOOKUP("Náklady celkem",INDIRECT("HI!$A:$G"),5,0)),0,VLOOKUP("Náklady celkem",INDIRECT("HI!$A:$G"),5,0))</f>
        <v>41068.768870000014</v>
      </c>
      <c r="E4" s="270">
        <f ca="1">IF(C4=0,0,D4/C4)</f>
        <v>0.98287668377978099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1845.0548377979483</v>
      </c>
      <c r="D7" s="277">
        <f>IF(ISERROR(HI!E5),"",HI!E5)</f>
        <v>1766.4666099999999</v>
      </c>
      <c r="E7" s="274">
        <f t="shared" ref="E7:E13" si="0">IF(C7=0,0,D7/C7)</f>
        <v>0.95740602057565805</v>
      </c>
    </row>
    <row r="8" spans="1:5" ht="14.4" customHeight="1" x14ac:dyDescent="0.3">
      <c r="A8" s="278" t="str">
        <f>HYPERLINK("#'LŽ PL'!A1","% plnění pozitivního listu")</f>
        <v>% plnění pozitivního listu</v>
      </c>
      <c r="B8" s="276" t="s">
        <v>167</v>
      </c>
      <c r="C8" s="279">
        <v>0.9</v>
      </c>
      <c r="D8" s="279">
        <f>IF(ISERROR(VLOOKUP("celkem",'LŽ PL'!$A:$F,5,0)),0,VLOOKUP("celkem",'LŽ PL'!$A:$F,5,0))</f>
        <v>0.87806008631698873</v>
      </c>
      <c r="E8" s="274">
        <f t="shared" si="0"/>
        <v>0.97562231812998745</v>
      </c>
    </row>
    <row r="9" spans="1:5" ht="14.4" customHeight="1" x14ac:dyDescent="0.3">
      <c r="A9" s="443" t="str">
        <f>HYPERLINK("#'LŽ Statim'!A1","% podíl statimových žádanek")</f>
        <v>% podíl statimových žádanek</v>
      </c>
      <c r="B9" s="441" t="s">
        <v>303</v>
      </c>
      <c r="C9" s="442">
        <v>0.3</v>
      </c>
      <c r="D9" s="442">
        <f>IF('LŽ Statim'!G3="",0,'LŽ Statim'!G3)</f>
        <v>5.614754098360656E-2</v>
      </c>
      <c r="E9" s="274">
        <f>IF(C9=0,0,D9/C9)</f>
        <v>0.1871584699453552</v>
      </c>
    </row>
    <row r="10" spans="1:5" ht="14.4" customHeight="1" x14ac:dyDescent="0.3">
      <c r="A10" s="280" t="s">
        <v>170</v>
      </c>
      <c r="B10" s="276"/>
      <c r="C10" s="277"/>
      <c r="D10" s="277"/>
      <c r="E10" s="274"/>
    </row>
    <row r="11" spans="1:5" ht="14.4" customHeight="1" x14ac:dyDescent="0.3">
      <c r="A11" s="280" t="s">
        <v>171</v>
      </c>
      <c r="B11" s="276"/>
      <c r="C11" s="277"/>
      <c r="D11" s="277"/>
      <c r="E11" s="274"/>
    </row>
    <row r="12" spans="1:5" ht="14.4" customHeight="1" x14ac:dyDescent="0.3">
      <c r="A12" s="281" t="s">
        <v>175</v>
      </c>
      <c r="B12" s="276"/>
      <c r="C12" s="273"/>
      <c r="D12" s="273"/>
      <c r="E12" s="274"/>
    </row>
    <row r="13" spans="1:5" ht="14.4" customHeight="1" x14ac:dyDescent="0.3">
      <c r="A13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3220.4395849267439</v>
      </c>
      <c r="D13" s="277">
        <f>IF(ISERROR(HI!E6),"",HI!E6)</f>
        <v>2705.2074800000009</v>
      </c>
      <c r="E13" s="274">
        <f t="shared" si="0"/>
        <v>0.84001187063459126</v>
      </c>
    </row>
    <row r="14" spans="1:5" ht="14.4" customHeight="1" thickBot="1" x14ac:dyDescent="0.35">
      <c r="A14" s="283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29761.646820378777</v>
      </c>
      <c r="D14" s="273">
        <f ca="1">IF(ISERROR(VLOOKUP("Osobní náklady (Kč) *",INDIRECT("HI!$A:$G"),5,0)),0,VLOOKUP("Osobní náklady (Kč) *",INDIRECT("HI!$A:$G"),5,0))</f>
        <v>30080.198630000014</v>
      </c>
      <c r="E14" s="274">
        <f ca="1">IF(C14=0,0,D14/C14)</f>
        <v>1.0107034335681691</v>
      </c>
    </row>
    <row r="15" spans="1:5" ht="14.4" customHeight="1" thickBot="1" x14ac:dyDescent="0.35">
      <c r="A15" s="287"/>
      <c r="B15" s="288"/>
      <c r="C15" s="289"/>
      <c r="D15" s="289"/>
      <c r="E15" s="290"/>
    </row>
    <row r="16" spans="1:5" ht="14.4" customHeight="1" thickBot="1" x14ac:dyDescent="0.35">
      <c r="A16" s="291" t="str">
        <f>HYPERLINK("#HI!A1","VÝNOSY CELKEM (v tisících)")</f>
        <v>VÝNOSY CELKEM (v tisících)</v>
      </c>
      <c r="B16" s="292"/>
      <c r="C16" s="293">
        <f ca="1">IF(ISERROR(VLOOKUP("Výnosy celkem",INDIRECT("HI!$A:$G"),6,0)),0,VLOOKUP("Výnosy celkem",INDIRECT("HI!$A:$G"),6,0))</f>
        <v>65802.299999999988</v>
      </c>
      <c r="D16" s="293">
        <f ca="1">IF(ISERROR(VLOOKUP("Výnosy celkem",INDIRECT("HI!$A:$G"),5,0)),0,VLOOKUP("Výnosy celkem",INDIRECT("HI!$A:$G"),5,0))</f>
        <v>72278.939999999988</v>
      </c>
      <c r="E16" s="294">
        <f t="shared" ref="E16:E25" ca="1" si="1">IF(C16=0,0,D16/C16)</f>
        <v>1.0984257389179406</v>
      </c>
    </row>
    <row r="17" spans="1:5" ht="14.4" customHeight="1" x14ac:dyDescent="0.3">
      <c r="A17" s="295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6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9">
        <v>0.85</v>
      </c>
      <c r="D18" s="279">
        <f>IF(ISERROR(VLOOKUP("Celkem:",'ZV Vykáz.-H'!$A:$S,7,0)),"",VLOOKUP("Celkem:",'ZV Vykáz.-H'!$A:$S,7,0))</f>
        <v>1.0561029909089346</v>
      </c>
      <c r="E18" s="274">
        <f t="shared" si="1"/>
        <v>1.2424741069516878</v>
      </c>
    </row>
    <row r="19" spans="1:5" ht="14.4" customHeight="1" x14ac:dyDescent="0.3">
      <c r="A19" s="297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65802.299999999988</v>
      </c>
      <c r="D19" s="273">
        <f ca="1">IF(ISERROR(VLOOKUP("Hospitalizace *",INDIRECT("HI!$A:$G"),5,0)),0,VLOOKUP("Hospitalizace *",INDIRECT("HI!$A:$G"),5,0))</f>
        <v>72278.939999999988</v>
      </c>
      <c r="E19" s="274">
        <f ca="1">IF(C19=0,0,D19/C19)</f>
        <v>1.0984257389179406</v>
      </c>
    </row>
    <row r="20" spans="1:5" ht="14.4" customHeight="1" x14ac:dyDescent="0.3">
      <c r="A20" s="296" t="str">
        <f>HYPERLINK("#'CaseMix'!A1","Casemix (min. 100 %)")</f>
        <v>Casemix (min. 100 %)</v>
      </c>
      <c r="B20" s="276" t="s">
        <v>58</v>
      </c>
      <c r="C20" s="279">
        <v>1</v>
      </c>
      <c r="D20" s="279">
        <f>IF(ISERROR(VLOOKUP("Celkem",CaseMix!A:M,5,0)),0,VLOOKUP("Celkem",CaseMix!A:M,5,0))</f>
        <v>1.0984257389179406</v>
      </c>
      <c r="E20" s="274">
        <f t="shared" si="1"/>
        <v>1.0984257389179406</v>
      </c>
    </row>
    <row r="21" spans="1:5" ht="14.4" customHeight="1" x14ac:dyDescent="0.3">
      <c r="A21" s="298" t="str">
        <f>HYPERLINK("#'CaseMix'!A1","DRG mimo vyjmenované baze")</f>
        <v>DRG mimo vyjmenované baze</v>
      </c>
      <c r="B21" s="276" t="s">
        <v>58</v>
      </c>
      <c r="C21" s="279">
        <v>1</v>
      </c>
      <c r="D21" s="279">
        <f>IF(ISERROR(CaseMix!E26),"",CaseMix!E26)</f>
        <v>1.0984257389179406</v>
      </c>
      <c r="E21" s="274">
        <f t="shared" si="1"/>
        <v>1.0984257389179406</v>
      </c>
    </row>
    <row r="22" spans="1:5" ht="14.4" customHeight="1" x14ac:dyDescent="0.3">
      <c r="A22" s="298" t="str">
        <f>HYPERLINK("#'CaseMix'!A1","Vyjmenované baze DRG")</f>
        <v>Vyjmenované baze DRG</v>
      </c>
      <c r="B22" s="276" t="s">
        <v>58</v>
      </c>
      <c r="C22" s="279">
        <v>1</v>
      </c>
      <c r="D22" s="279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6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9">
        <v>0.95</v>
      </c>
      <c r="D23" s="279">
        <f>IF(ISERROR(CaseMix!I13),"",CaseMix!I13)</f>
        <v>1.1709616593337524</v>
      </c>
      <c r="E23" s="274">
        <f t="shared" si="1"/>
        <v>1.2325912203513183</v>
      </c>
    </row>
    <row r="24" spans="1:5" ht="14.4" customHeight="1" x14ac:dyDescent="0.3">
      <c r="A24" s="296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9">
        <v>1</v>
      </c>
      <c r="D24" s="299">
        <f>IF(ISERROR(INDEX(ALOS!$E:$E,COUNT(ALOS!$E:$E)+32)),0,INDEX(ALOS!$E:$E,COUNT(ALOS!$E:$E)+32))</f>
        <v>0.91432532609003192</v>
      </c>
      <c r="E24" s="274">
        <f t="shared" si="1"/>
        <v>0.91432532609003192</v>
      </c>
    </row>
    <row r="25" spans="1:5" ht="27.6" x14ac:dyDescent="0.3">
      <c r="A25" s="30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9">
        <f>IF(E20&gt;1,95%,95%-2*ABS(C20-D20))</f>
        <v>0.95</v>
      </c>
      <c r="D25" s="279">
        <f>IF(ISERROR(VLOOKUP("Celkem:",'ZV Vyžád.'!$A:$M,7,0)),"",VLOOKUP("Celkem:",'ZV Vyžád.'!$A:$M,7,0))</f>
        <v>0.87738003499722939</v>
      </c>
      <c r="E25" s="274">
        <f t="shared" si="1"/>
        <v>0.92355793157603094</v>
      </c>
    </row>
    <row r="26" spans="1:5" ht="14.4" customHeight="1" thickBot="1" x14ac:dyDescent="0.35">
      <c r="A26" s="301" t="s">
        <v>172</v>
      </c>
      <c r="B26" s="284"/>
      <c r="C26" s="285"/>
      <c r="D26" s="285"/>
      <c r="E26" s="286"/>
    </row>
    <row r="27" spans="1:5" ht="14.4" customHeight="1" thickBot="1" x14ac:dyDescent="0.35">
      <c r="A27" s="302"/>
      <c r="B27" s="303"/>
      <c r="C27" s="304"/>
      <c r="D27" s="304"/>
      <c r="E27" s="305"/>
    </row>
    <row r="28" spans="1:5" ht="14.4" customHeight="1" thickBot="1" x14ac:dyDescent="0.35">
      <c r="A28" s="306" t="s">
        <v>173</v>
      </c>
      <c r="B28" s="307"/>
      <c r="C28" s="308"/>
      <c r="D28" s="308"/>
      <c r="E28" s="309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6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3" customFormat="1" ht="18.600000000000001" customHeight="1" thickBot="1" x14ac:dyDescent="0.4">
      <c r="A1" s="506" t="s">
        <v>2001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</row>
    <row r="2" spans="1:23" ht="14.4" customHeight="1" thickBot="1" x14ac:dyDescent="0.35">
      <c r="A2" s="361" t="s">
        <v>305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4"/>
      <c r="Q2" s="354"/>
      <c r="R2" s="354"/>
      <c r="S2" s="355"/>
      <c r="T2" s="355"/>
      <c r="U2" s="355"/>
      <c r="V2" s="354"/>
      <c r="W2" s="356"/>
    </row>
    <row r="3" spans="1:23" s="85" customFormat="1" ht="14.4" customHeight="1" x14ac:dyDescent="0.3">
      <c r="A3" s="552" t="s">
        <v>62</v>
      </c>
      <c r="B3" s="553">
        <v>2012</v>
      </c>
      <c r="C3" s="554"/>
      <c r="D3" s="555"/>
      <c r="E3" s="553">
        <v>2013</v>
      </c>
      <c r="F3" s="554"/>
      <c r="G3" s="555"/>
      <c r="H3" s="553">
        <v>2014</v>
      </c>
      <c r="I3" s="554"/>
      <c r="J3" s="555"/>
      <c r="K3" s="556" t="s">
        <v>63</v>
      </c>
      <c r="L3" s="548" t="s">
        <v>64</v>
      </c>
      <c r="M3" s="548" t="s">
        <v>65</v>
      </c>
      <c r="N3" s="548" t="s">
        <v>66</v>
      </c>
      <c r="O3" s="252" t="s">
        <v>67</v>
      </c>
      <c r="P3" s="549" t="s">
        <v>68</v>
      </c>
      <c r="Q3" s="550" t="s">
        <v>69</v>
      </c>
      <c r="R3" s="551"/>
      <c r="S3" s="546" t="s">
        <v>70</v>
      </c>
      <c r="T3" s="547"/>
      <c r="U3" s="547"/>
      <c r="V3" s="547"/>
      <c r="W3" s="202" t="s">
        <v>70</v>
      </c>
    </row>
    <row r="4" spans="1:23" s="86" customFormat="1" ht="14.4" customHeight="1" thickBot="1" x14ac:dyDescent="0.35">
      <c r="A4" s="737"/>
      <c r="B4" s="738" t="s">
        <v>71</v>
      </c>
      <c r="C4" s="739" t="s">
        <v>59</v>
      </c>
      <c r="D4" s="740" t="s">
        <v>72</v>
      </c>
      <c r="E4" s="738" t="s">
        <v>71</v>
      </c>
      <c r="F4" s="739" t="s">
        <v>59</v>
      </c>
      <c r="G4" s="740" t="s">
        <v>72</v>
      </c>
      <c r="H4" s="738" t="s">
        <v>71</v>
      </c>
      <c r="I4" s="739" t="s">
        <v>59</v>
      </c>
      <c r="J4" s="740" t="s">
        <v>72</v>
      </c>
      <c r="K4" s="741"/>
      <c r="L4" s="742"/>
      <c r="M4" s="742"/>
      <c r="N4" s="742"/>
      <c r="O4" s="743"/>
      <c r="P4" s="744"/>
      <c r="Q4" s="745" t="s">
        <v>60</v>
      </c>
      <c r="R4" s="746" t="s">
        <v>59</v>
      </c>
      <c r="S4" s="747" t="s">
        <v>73</v>
      </c>
      <c r="T4" s="748" t="s">
        <v>74</v>
      </c>
      <c r="U4" s="748" t="s">
        <v>75</v>
      </c>
      <c r="V4" s="749" t="s">
        <v>2</v>
      </c>
      <c r="W4" s="750" t="s">
        <v>76</v>
      </c>
    </row>
    <row r="5" spans="1:23" ht="14.4" customHeight="1" x14ac:dyDescent="0.3">
      <c r="A5" s="780" t="s">
        <v>1916</v>
      </c>
      <c r="B5" s="379"/>
      <c r="C5" s="751"/>
      <c r="D5" s="752"/>
      <c r="E5" s="753">
        <v>1</v>
      </c>
      <c r="F5" s="754">
        <v>13.28</v>
      </c>
      <c r="G5" s="755">
        <v>67</v>
      </c>
      <c r="H5" s="756">
        <v>1</v>
      </c>
      <c r="I5" s="757">
        <v>13.28</v>
      </c>
      <c r="J5" s="758">
        <v>27</v>
      </c>
      <c r="K5" s="759">
        <v>13.28</v>
      </c>
      <c r="L5" s="760">
        <v>11</v>
      </c>
      <c r="M5" s="760">
        <v>75</v>
      </c>
      <c r="N5" s="761">
        <v>25.1</v>
      </c>
      <c r="O5" s="760" t="s">
        <v>1917</v>
      </c>
      <c r="P5" s="762" t="s">
        <v>1918</v>
      </c>
      <c r="Q5" s="763">
        <f>H5-B5</f>
        <v>1</v>
      </c>
      <c r="R5" s="763">
        <f>I5-C5</f>
        <v>13.28</v>
      </c>
      <c r="S5" s="379">
        <f>IF(H5=0,"",H5*N5)</f>
        <v>25.1</v>
      </c>
      <c r="T5" s="379">
        <f>IF(H5=0,"",H5*J5)</f>
        <v>27</v>
      </c>
      <c r="U5" s="379">
        <f>IF(H5=0,"",T5-S5)</f>
        <v>1.8999999999999986</v>
      </c>
      <c r="V5" s="764">
        <f>IF(H5=0,"",T5/S5)</f>
        <v>1.0756972111553784</v>
      </c>
      <c r="W5" s="765">
        <v>2</v>
      </c>
    </row>
    <row r="6" spans="1:23" ht="14.4" customHeight="1" x14ac:dyDescent="0.3">
      <c r="A6" s="781" t="s">
        <v>1919</v>
      </c>
      <c r="B6" s="766"/>
      <c r="C6" s="767"/>
      <c r="D6" s="736"/>
      <c r="E6" s="768">
        <v>4</v>
      </c>
      <c r="F6" s="769">
        <v>62.61</v>
      </c>
      <c r="G6" s="721">
        <v>73.3</v>
      </c>
      <c r="H6" s="770">
        <v>5</v>
      </c>
      <c r="I6" s="771">
        <v>78.260000000000005</v>
      </c>
      <c r="J6" s="722">
        <v>59.8</v>
      </c>
      <c r="K6" s="772">
        <v>15.65</v>
      </c>
      <c r="L6" s="773">
        <v>11</v>
      </c>
      <c r="M6" s="773">
        <v>84</v>
      </c>
      <c r="N6" s="774">
        <v>27.86</v>
      </c>
      <c r="O6" s="773" t="s">
        <v>1917</v>
      </c>
      <c r="P6" s="775" t="s">
        <v>1920</v>
      </c>
      <c r="Q6" s="776">
        <f t="shared" ref="Q6:R46" si="0">H6-B6</f>
        <v>5</v>
      </c>
      <c r="R6" s="776">
        <f t="shared" si="0"/>
        <v>78.260000000000005</v>
      </c>
      <c r="S6" s="766">
        <f t="shared" ref="S6:S46" si="1">IF(H6=0,"",H6*N6)</f>
        <v>139.30000000000001</v>
      </c>
      <c r="T6" s="766">
        <f t="shared" ref="T6:T46" si="2">IF(H6=0,"",H6*J6)</f>
        <v>299</v>
      </c>
      <c r="U6" s="766">
        <f t="shared" ref="U6:U46" si="3">IF(H6=0,"",T6-S6)</f>
        <v>159.69999999999999</v>
      </c>
      <c r="V6" s="777">
        <f t="shared" ref="V6:V46" si="4">IF(H6=0,"",T6/S6)</f>
        <v>2.1464465183058148</v>
      </c>
      <c r="W6" s="723">
        <v>160</v>
      </c>
    </row>
    <row r="7" spans="1:23" ht="14.4" customHeight="1" x14ac:dyDescent="0.3">
      <c r="A7" s="782" t="s">
        <v>1921</v>
      </c>
      <c r="B7" s="730"/>
      <c r="C7" s="731"/>
      <c r="D7" s="732"/>
      <c r="E7" s="713">
        <v>1</v>
      </c>
      <c r="F7" s="714">
        <v>7.23</v>
      </c>
      <c r="G7" s="724">
        <v>26</v>
      </c>
      <c r="H7" s="717"/>
      <c r="I7" s="711"/>
      <c r="J7" s="712"/>
      <c r="K7" s="716">
        <v>7.23</v>
      </c>
      <c r="L7" s="717">
        <v>5</v>
      </c>
      <c r="M7" s="717">
        <v>43</v>
      </c>
      <c r="N7" s="718">
        <v>14.23</v>
      </c>
      <c r="O7" s="717" t="s">
        <v>1917</v>
      </c>
      <c r="P7" s="734" t="s">
        <v>1922</v>
      </c>
      <c r="Q7" s="719">
        <f t="shared" si="0"/>
        <v>0</v>
      </c>
      <c r="R7" s="719">
        <f t="shared" si="0"/>
        <v>0</v>
      </c>
      <c r="S7" s="730" t="str">
        <f t="shared" si="1"/>
        <v/>
      </c>
      <c r="T7" s="730" t="str">
        <f t="shared" si="2"/>
        <v/>
      </c>
      <c r="U7" s="730" t="str">
        <f t="shared" si="3"/>
        <v/>
      </c>
      <c r="V7" s="735" t="str">
        <f t="shared" si="4"/>
        <v/>
      </c>
      <c r="W7" s="720"/>
    </row>
    <row r="8" spans="1:23" ht="14.4" customHeight="1" x14ac:dyDescent="0.3">
      <c r="A8" s="781" t="s">
        <v>1923</v>
      </c>
      <c r="B8" s="766"/>
      <c r="C8" s="767"/>
      <c r="D8" s="736"/>
      <c r="E8" s="770">
        <v>2</v>
      </c>
      <c r="F8" s="771">
        <v>15.13</v>
      </c>
      <c r="G8" s="725">
        <v>35.5</v>
      </c>
      <c r="H8" s="773">
        <v>2</v>
      </c>
      <c r="I8" s="769">
        <v>14.59</v>
      </c>
      <c r="J8" s="721">
        <v>15.5</v>
      </c>
      <c r="K8" s="772">
        <v>7.3</v>
      </c>
      <c r="L8" s="773">
        <v>5</v>
      </c>
      <c r="M8" s="773">
        <v>47</v>
      </c>
      <c r="N8" s="774">
        <v>15.74</v>
      </c>
      <c r="O8" s="773" t="s">
        <v>1917</v>
      </c>
      <c r="P8" s="775" t="s">
        <v>1924</v>
      </c>
      <c r="Q8" s="776">
        <f t="shared" si="0"/>
        <v>2</v>
      </c>
      <c r="R8" s="776">
        <f t="shared" si="0"/>
        <v>14.59</v>
      </c>
      <c r="S8" s="766">
        <f t="shared" si="1"/>
        <v>31.48</v>
      </c>
      <c r="T8" s="766">
        <f t="shared" si="2"/>
        <v>31</v>
      </c>
      <c r="U8" s="766">
        <f t="shared" si="3"/>
        <v>-0.48000000000000043</v>
      </c>
      <c r="V8" s="777">
        <f t="shared" si="4"/>
        <v>0.98475222363405335</v>
      </c>
      <c r="W8" s="723"/>
    </row>
    <row r="9" spans="1:23" ht="14.4" customHeight="1" x14ac:dyDescent="0.3">
      <c r="A9" s="781" t="s">
        <v>1925</v>
      </c>
      <c r="B9" s="766"/>
      <c r="C9" s="767"/>
      <c r="D9" s="736"/>
      <c r="E9" s="770">
        <v>13</v>
      </c>
      <c r="F9" s="771">
        <v>122.61</v>
      </c>
      <c r="G9" s="725">
        <v>37.200000000000003</v>
      </c>
      <c r="H9" s="773">
        <v>5</v>
      </c>
      <c r="I9" s="769">
        <v>41.65</v>
      </c>
      <c r="J9" s="721">
        <v>15.6</v>
      </c>
      <c r="K9" s="772">
        <v>8.33</v>
      </c>
      <c r="L9" s="773">
        <v>6</v>
      </c>
      <c r="M9" s="773">
        <v>53</v>
      </c>
      <c r="N9" s="774">
        <v>17.510000000000002</v>
      </c>
      <c r="O9" s="773" t="s">
        <v>1917</v>
      </c>
      <c r="P9" s="775" t="s">
        <v>1926</v>
      </c>
      <c r="Q9" s="776">
        <f t="shared" si="0"/>
        <v>5</v>
      </c>
      <c r="R9" s="776">
        <f t="shared" si="0"/>
        <v>41.65</v>
      </c>
      <c r="S9" s="766">
        <f t="shared" si="1"/>
        <v>87.550000000000011</v>
      </c>
      <c r="T9" s="766">
        <f t="shared" si="2"/>
        <v>78</v>
      </c>
      <c r="U9" s="766">
        <f t="shared" si="3"/>
        <v>-9.5500000000000114</v>
      </c>
      <c r="V9" s="777">
        <f t="shared" si="4"/>
        <v>0.89091947458595078</v>
      </c>
      <c r="W9" s="723">
        <v>8</v>
      </c>
    </row>
    <row r="10" spans="1:23" ht="14.4" customHeight="1" x14ac:dyDescent="0.3">
      <c r="A10" s="782" t="s">
        <v>1927</v>
      </c>
      <c r="B10" s="730"/>
      <c r="C10" s="731"/>
      <c r="D10" s="732"/>
      <c r="E10" s="733">
        <v>1</v>
      </c>
      <c r="F10" s="711">
        <v>79.150000000000006</v>
      </c>
      <c r="G10" s="712">
        <v>131</v>
      </c>
      <c r="H10" s="713">
        <v>1</v>
      </c>
      <c r="I10" s="714">
        <v>79.88</v>
      </c>
      <c r="J10" s="724">
        <v>96</v>
      </c>
      <c r="K10" s="716">
        <v>80.540000000000006</v>
      </c>
      <c r="L10" s="717">
        <v>75</v>
      </c>
      <c r="M10" s="717">
        <v>376</v>
      </c>
      <c r="N10" s="718">
        <v>125.28</v>
      </c>
      <c r="O10" s="717" t="s">
        <v>1917</v>
      </c>
      <c r="P10" s="734" t="s">
        <v>1928</v>
      </c>
      <c r="Q10" s="719">
        <f t="shared" si="0"/>
        <v>1</v>
      </c>
      <c r="R10" s="719">
        <f t="shared" si="0"/>
        <v>79.88</v>
      </c>
      <c r="S10" s="730">
        <f t="shared" si="1"/>
        <v>125.28</v>
      </c>
      <c r="T10" s="730">
        <f t="shared" si="2"/>
        <v>96</v>
      </c>
      <c r="U10" s="730">
        <f t="shared" si="3"/>
        <v>-29.28</v>
      </c>
      <c r="V10" s="735">
        <f t="shared" si="4"/>
        <v>0.76628352490421459</v>
      </c>
      <c r="W10" s="720"/>
    </row>
    <row r="11" spans="1:23" ht="14.4" customHeight="1" x14ac:dyDescent="0.3">
      <c r="A11" s="782" t="s">
        <v>1929</v>
      </c>
      <c r="B11" s="730"/>
      <c r="C11" s="731"/>
      <c r="D11" s="732"/>
      <c r="E11" s="733">
        <v>1</v>
      </c>
      <c r="F11" s="711">
        <v>43.69</v>
      </c>
      <c r="G11" s="712">
        <v>117</v>
      </c>
      <c r="H11" s="713">
        <v>4</v>
      </c>
      <c r="I11" s="714">
        <v>173.2</v>
      </c>
      <c r="J11" s="715">
        <v>92.3</v>
      </c>
      <c r="K11" s="716">
        <v>43.69</v>
      </c>
      <c r="L11" s="717">
        <v>43</v>
      </c>
      <c r="M11" s="717">
        <v>207</v>
      </c>
      <c r="N11" s="718">
        <v>69.069999999999993</v>
      </c>
      <c r="O11" s="717" t="s">
        <v>1917</v>
      </c>
      <c r="P11" s="734" t="s">
        <v>1930</v>
      </c>
      <c r="Q11" s="719">
        <f t="shared" si="0"/>
        <v>4</v>
      </c>
      <c r="R11" s="719">
        <f t="shared" si="0"/>
        <v>173.2</v>
      </c>
      <c r="S11" s="730">
        <f t="shared" si="1"/>
        <v>276.27999999999997</v>
      </c>
      <c r="T11" s="730">
        <f t="shared" si="2"/>
        <v>369.2</v>
      </c>
      <c r="U11" s="730">
        <f t="shared" si="3"/>
        <v>92.920000000000016</v>
      </c>
      <c r="V11" s="735">
        <f t="shared" si="4"/>
        <v>1.3363254669176199</v>
      </c>
      <c r="W11" s="720">
        <v>93</v>
      </c>
    </row>
    <row r="12" spans="1:23" ht="14.4" customHeight="1" x14ac:dyDescent="0.3">
      <c r="A12" s="782" t="s">
        <v>1931</v>
      </c>
      <c r="B12" s="730"/>
      <c r="C12" s="731"/>
      <c r="D12" s="732"/>
      <c r="E12" s="733">
        <v>6</v>
      </c>
      <c r="F12" s="711">
        <v>166.95</v>
      </c>
      <c r="G12" s="712">
        <v>70</v>
      </c>
      <c r="H12" s="713">
        <v>8</v>
      </c>
      <c r="I12" s="714">
        <v>211.82</v>
      </c>
      <c r="J12" s="724">
        <v>45.4</v>
      </c>
      <c r="K12" s="716">
        <v>27.82</v>
      </c>
      <c r="L12" s="717">
        <v>22</v>
      </c>
      <c r="M12" s="717">
        <v>138</v>
      </c>
      <c r="N12" s="718">
        <v>46.15</v>
      </c>
      <c r="O12" s="717" t="s">
        <v>1917</v>
      </c>
      <c r="P12" s="734" t="s">
        <v>1932</v>
      </c>
      <c r="Q12" s="719">
        <f t="shared" si="0"/>
        <v>8</v>
      </c>
      <c r="R12" s="719">
        <f t="shared" si="0"/>
        <v>211.82</v>
      </c>
      <c r="S12" s="730">
        <f t="shared" si="1"/>
        <v>369.2</v>
      </c>
      <c r="T12" s="730">
        <f t="shared" si="2"/>
        <v>363.2</v>
      </c>
      <c r="U12" s="730">
        <f t="shared" si="3"/>
        <v>-6</v>
      </c>
      <c r="V12" s="735">
        <f t="shared" si="4"/>
        <v>0.98374864572047671</v>
      </c>
      <c r="W12" s="720">
        <v>73</v>
      </c>
    </row>
    <row r="13" spans="1:23" ht="14.4" customHeight="1" x14ac:dyDescent="0.3">
      <c r="A13" s="782" t="s">
        <v>1933</v>
      </c>
      <c r="B13" s="730"/>
      <c r="C13" s="731"/>
      <c r="D13" s="732"/>
      <c r="E13" s="713">
        <v>1</v>
      </c>
      <c r="F13" s="714">
        <v>21.83</v>
      </c>
      <c r="G13" s="724">
        <v>45</v>
      </c>
      <c r="H13" s="717"/>
      <c r="I13" s="711"/>
      <c r="J13" s="712"/>
      <c r="K13" s="716">
        <v>22.16</v>
      </c>
      <c r="L13" s="717">
        <v>11</v>
      </c>
      <c r="M13" s="717">
        <v>98</v>
      </c>
      <c r="N13" s="718">
        <v>32.64</v>
      </c>
      <c r="O13" s="717" t="s">
        <v>1917</v>
      </c>
      <c r="P13" s="734" t="s">
        <v>1934</v>
      </c>
      <c r="Q13" s="719">
        <f t="shared" si="0"/>
        <v>0</v>
      </c>
      <c r="R13" s="719">
        <f t="shared" si="0"/>
        <v>0</v>
      </c>
      <c r="S13" s="730" t="str">
        <f t="shared" si="1"/>
        <v/>
      </c>
      <c r="T13" s="730" t="str">
        <f t="shared" si="2"/>
        <v/>
      </c>
      <c r="U13" s="730" t="str">
        <f t="shared" si="3"/>
        <v/>
      </c>
      <c r="V13" s="735" t="str">
        <f t="shared" si="4"/>
        <v/>
      </c>
      <c r="W13" s="720"/>
    </row>
    <row r="14" spans="1:23" ht="14.4" customHeight="1" x14ac:dyDescent="0.3">
      <c r="A14" s="782" t="s">
        <v>1935</v>
      </c>
      <c r="B14" s="730"/>
      <c r="C14" s="731"/>
      <c r="D14" s="732"/>
      <c r="E14" s="713"/>
      <c r="F14" s="714"/>
      <c r="G14" s="724"/>
      <c r="H14" s="717">
        <v>1</v>
      </c>
      <c r="I14" s="711">
        <v>10.220000000000001</v>
      </c>
      <c r="J14" s="712">
        <v>17</v>
      </c>
      <c r="K14" s="716">
        <v>10.220000000000001</v>
      </c>
      <c r="L14" s="717">
        <v>6</v>
      </c>
      <c r="M14" s="717">
        <v>51</v>
      </c>
      <c r="N14" s="718">
        <v>17.12</v>
      </c>
      <c r="O14" s="717" t="s">
        <v>1917</v>
      </c>
      <c r="P14" s="734" t="s">
        <v>1936</v>
      </c>
      <c r="Q14" s="719">
        <f t="shared" si="0"/>
        <v>1</v>
      </c>
      <c r="R14" s="719">
        <f t="shared" si="0"/>
        <v>10.220000000000001</v>
      </c>
      <c r="S14" s="730">
        <f t="shared" si="1"/>
        <v>17.12</v>
      </c>
      <c r="T14" s="730">
        <f t="shared" si="2"/>
        <v>17</v>
      </c>
      <c r="U14" s="730">
        <f t="shared" si="3"/>
        <v>-0.12000000000000099</v>
      </c>
      <c r="V14" s="735">
        <f t="shared" si="4"/>
        <v>0.99299065420560739</v>
      </c>
      <c r="W14" s="720"/>
    </row>
    <row r="15" spans="1:23" ht="14.4" customHeight="1" x14ac:dyDescent="0.3">
      <c r="A15" s="781" t="s">
        <v>1937</v>
      </c>
      <c r="B15" s="766"/>
      <c r="C15" s="767"/>
      <c r="D15" s="736"/>
      <c r="E15" s="770">
        <v>3</v>
      </c>
      <c r="F15" s="771">
        <v>39.21</v>
      </c>
      <c r="G15" s="725">
        <v>23</v>
      </c>
      <c r="H15" s="773">
        <v>1</v>
      </c>
      <c r="I15" s="769">
        <v>13.07</v>
      </c>
      <c r="J15" s="722">
        <v>49</v>
      </c>
      <c r="K15" s="772">
        <v>13.07</v>
      </c>
      <c r="L15" s="773">
        <v>8</v>
      </c>
      <c r="M15" s="773">
        <v>69</v>
      </c>
      <c r="N15" s="774">
        <v>23.12</v>
      </c>
      <c r="O15" s="773" t="s">
        <v>1917</v>
      </c>
      <c r="P15" s="775" t="s">
        <v>1938</v>
      </c>
      <c r="Q15" s="776">
        <f t="shared" si="0"/>
        <v>1</v>
      </c>
      <c r="R15" s="776">
        <f t="shared" si="0"/>
        <v>13.07</v>
      </c>
      <c r="S15" s="766">
        <f t="shared" si="1"/>
        <v>23.12</v>
      </c>
      <c r="T15" s="766">
        <f t="shared" si="2"/>
        <v>49</v>
      </c>
      <c r="U15" s="766">
        <f t="shared" si="3"/>
        <v>25.88</v>
      </c>
      <c r="V15" s="777">
        <f t="shared" si="4"/>
        <v>2.1193771626297577</v>
      </c>
      <c r="W15" s="723">
        <v>26</v>
      </c>
    </row>
    <row r="16" spans="1:23" ht="14.4" customHeight="1" x14ac:dyDescent="0.3">
      <c r="A16" s="782" t="s">
        <v>1939</v>
      </c>
      <c r="B16" s="730"/>
      <c r="C16" s="731"/>
      <c r="D16" s="732"/>
      <c r="E16" s="733"/>
      <c r="F16" s="711"/>
      <c r="G16" s="712"/>
      <c r="H16" s="713">
        <v>1</v>
      </c>
      <c r="I16" s="714">
        <v>0.51</v>
      </c>
      <c r="J16" s="724">
        <v>3</v>
      </c>
      <c r="K16" s="716">
        <v>0.51</v>
      </c>
      <c r="L16" s="717">
        <v>3</v>
      </c>
      <c r="M16" s="717">
        <v>24</v>
      </c>
      <c r="N16" s="718">
        <v>8.1300000000000008</v>
      </c>
      <c r="O16" s="717" t="s">
        <v>1917</v>
      </c>
      <c r="P16" s="734" t="s">
        <v>1940</v>
      </c>
      <c r="Q16" s="719">
        <f t="shared" si="0"/>
        <v>1</v>
      </c>
      <c r="R16" s="719">
        <f t="shared" si="0"/>
        <v>0.51</v>
      </c>
      <c r="S16" s="730">
        <f t="shared" si="1"/>
        <v>8.1300000000000008</v>
      </c>
      <c r="T16" s="730">
        <f t="shared" si="2"/>
        <v>3</v>
      </c>
      <c r="U16" s="730">
        <f t="shared" si="3"/>
        <v>-5.1300000000000008</v>
      </c>
      <c r="V16" s="735">
        <f t="shared" si="4"/>
        <v>0.36900369003690031</v>
      </c>
      <c r="W16" s="720"/>
    </row>
    <row r="17" spans="1:23" ht="14.4" customHeight="1" x14ac:dyDescent="0.3">
      <c r="A17" s="782" t="s">
        <v>1941</v>
      </c>
      <c r="B17" s="730">
        <v>8</v>
      </c>
      <c r="C17" s="731">
        <v>1.56</v>
      </c>
      <c r="D17" s="732">
        <v>2.6</v>
      </c>
      <c r="E17" s="713">
        <v>3</v>
      </c>
      <c r="F17" s="714">
        <v>0.59</v>
      </c>
      <c r="G17" s="724">
        <v>3.3</v>
      </c>
      <c r="H17" s="717"/>
      <c r="I17" s="711"/>
      <c r="J17" s="712"/>
      <c r="K17" s="716">
        <v>0.2</v>
      </c>
      <c r="L17" s="717">
        <v>1</v>
      </c>
      <c r="M17" s="717">
        <v>5</v>
      </c>
      <c r="N17" s="718">
        <v>1.68</v>
      </c>
      <c r="O17" s="717" t="s">
        <v>1917</v>
      </c>
      <c r="P17" s="734" t="s">
        <v>1942</v>
      </c>
      <c r="Q17" s="719">
        <f t="shared" si="0"/>
        <v>-8</v>
      </c>
      <c r="R17" s="719">
        <f t="shared" si="0"/>
        <v>-1.56</v>
      </c>
      <c r="S17" s="730" t="str">
        <f t="shared" si="1"/>
        <v/>
      </c>
      <c r="T17" s="730" t="str">
        <f t="shared" si="2"/>
        <v/>
      </c>
      <c r="U17" s="730" t="str">
        <f t="shared" si="3"/>
        <v/>
      </c>
      <c r="V17" s="735" t="str">
        <f t="shared" si="4"/>
        <v/>
      </c>
      <c r="W17" s="720"/>
    </row>
    <row r="18" spans="1:23" ht="14.4" customHeight="1" x14ac:dyDescent="0.3">
      <c r="A18" s="781" t="s">
        <v>1943</v>
      </c>
      <c r="B18" s="766">
        <v>3</v>
      </c>
      <c r="C18" s="767">
        <v>1.18</v>
      </c>
      <c r="D18" s="736">
        <v>1.7</v>
      </c>
      <c r="E18" s="770">
        <v>2</v>
      </c>
      <c r="F18" s="771">
        <v>0.64</v>
      </c>
      <c r="G18" s="725">
        <v>3</v>
      </c>
      <c r="H18" s="773">
        <v>2</v>
      </c>
      <c r="I18" s="769">
        <v>0.64</v>
      </c>
      <c r="J18" s="721">
        <v>2</v>
      </c>
      <c r="K18" s="772">
        <v>0.32</v>
      </c>
      <c r="L18" s="773">
        <v>1</v>
      </c>
      <c r="M18" s="773">
        <v>5</v>
      </c>
      <c r="N18" s="774">
        <v>2.14</v>
      </c>
      <c r="O18" s="773" t="s">
        <v>1917</v>
      </c>
      <c r="P18" s="775" t="s">
        <v>1944</v>
      </c>
      <c r="Q18" s="776">
        <f t="shared" si="0"/>
        <v>-1</v>
      </c>
      <c r="R18" s="776">
        <f t="shared" si="0"/>
        <v>-0.53999999999999992</v>
      </c>
      <c r="S18" s="766">
        <f t="shared" si="1"/>
        <v>4.28</v>
      </c>
      <c r="T18" s="766">
        <f t="shared" si="2"/>
        <v>4</v>
      </c>
      <c r="U18" s="766">
        <f t="shared" si="3"/>
        <v>-0.28000000000000025</v>
      </c>
      <c r="V18" s="777">
        <f t="shared" si="4"/>
        <v>0.93457943925233644</v>
      </c>
      <c r="W18" s="723">
        <v>1</v>
      </c>
    </row>
    <row r="19" spans="1:23" ht="14.4" customHeight="1" x14ac:dyDescent="0.3">
      <c r="A19" s="781" t="s">
        <v>1945</v>
      </c>
      <c r="B19" s="766">
        <v>1</v>
      </c>
      <c r="C19" s="767">
        <v>0.55000000000000004</v>
      </c>
      <c r="D19" s="736">
        <v>3</v>
      </c>
      <c r="E19" s="770">
        <v>7</v>
      </c>
      <c r="F19" s="771">
        <v>5.27</v>
      </c>
      <c r="G19" s="725">
        <v>2.6</v>
      </c>
      <c r="H19" s="773">
        <v>3</v>
      </c>
      <c r="I19" s="769">
        <v>2.34</v>
      </c>
      <c r="J19" s="722">
        <v>2.7</v>
      </c>
      <c r="K19" s="772">
        <v>0.55000000000000004</v>
      </c>
      <c r="L19" s="773">
        <v>1</v>
      </c>
      <c r="M19" s="773">
        <v>5</v>
      </c>
      <c r="N19" s="774">
        <v>1.72</v>
      </c>
      <c r="O19" s="773" t="s">
        <v>1917</v>
      </c>
      <c r="P19" s="775" t="s">
        <v>1946</v>
      </c>
      <c r="Q19" s="776">
        <f t="shared" si="0"/>
        <v>2</v>
      </c>
      <c r="R19" s="776">
        <f t="shared" si="0"/>
        <v>1.7899999999999998</v>
      </c>
      <c r="S19" s="766">
        <f t="shared" si="1"/>
        <v>5.16</v>
      </c>
      <c r="T19" s="766">
        <f t="shared" si="2"/>
        <v>8.1000000000000014</v>
      </c>
      <c r="U19" s="766">
        <f t="shared" si="3"/>
        <v>2.9400000000000013</v>
      </c>
      <c r="V19" s="777">
        <f t="shared" si="4"/>
        <v>1.5697674418604652</v>
      </c>
      <c r="W19" s="723">
        <v>3</v>
      </c>
    </row>
    <row r="20" spans="1:23" ht="14.4" customHeight="1" x14ac:dyDescent="0.3">
      <c r="A20" s="782" t="s">
        <v>1947</v>
      </c>
      <c r="B20" s="726">
        <v>2</v>
      </c>
      <c r="C20" s="727">
        <v>108.14</v>
      </c>
      <c r="D20" s="728">
        <v>74.5</v>
      </c>
      <c r="E20" s="733"/>
      <c r="F20" s="711"/>
      <c r="G20" s="712"/>
      <c r="H20" s="717"/>
      <c r="I20" s="711"/>
      <c r="J20" s="712"/>
      <c r="K20" s="716">
        <v>54.07</v>
      </c>
      <c r="L20" s="717">
        <v>26</v>
      </c>
      <c r="M20" s="717">
        <v>234</v>
      </c>
      <c r="N20" s="718">
        <v>78.09</v>
      </c>
      <c r="O20" s="717" t="s">
        <v>1917</v>
      </c>
      <c r="P20" s="734" t="s">
        <v>1948</v>
      </c>
      <c r="Q20" s="719">
        <f t="shared" si="0"/>
        <v>-2</v>
      </c>
      <c r="R20" s="719">
        <f t="shared" si="0"/>
        <v>-108.14</v>
      </c>
      <c r="S20" s="730" t="str">
        <f t="shared" si="1"/>
        <v/>
      </c>
      <c r="T20" s="730" t="str">
        <f t="shared" si="2"/>
        <v/>
      </c>
      <c r="U20" s="730" t="str">
        <f t="shared" si="3"/>
        <v/>
      </c>
      <c r="V20" s="735" t="str">
        <f t="shared" si="4"/>
        <v/>
      </c>
      <c r="W20" s="720"/>
    </row>
    <row r="21" spans="1:23" ht="14.4" customHeight="1" x14ac:dyDescent="0.3">
      <c r="A21" s="782" t="s">
        <v>1949</v>
      </c>
      <c r="B21" s="726"/>
      <c r="C21" s="727"/>
      <c r="D21" s="728"/>
      <c r="E21" s="733">
        <v>1</v>
      </c>
      <c r="F21" s="711">
        <v>7.24</v>
      </c>
      <c r="G21" s="712">
        <v>5</v>
      </c>
      <c r="H21" s="717"/>
      <c r="I21" s="711"/>
      <c r="J21" s="712"/>
      <c r="K21" s="716">
        <v>12.88</v>
      </c>
      <c r="L21" s="717">
        <v>9</v>
      </c>
      <c r="M21" s="717">
        <v>79</v>
      </c>
      <c r="N21" s="718">
        <v>26.22</v>
      </c>
      <c r="O21" s="717" t="s">
        <v>1917</v>
      </c>
      <c r="P21" s="734" t="s">
        <v>1950</v>
      </c>
      <c r="Q21" s="719">
        <f t="shared" si="0"/>
        <v>0</v>
      </c>
      <c r="R21" s="719">
        <f t="shared" si="0"/>
        <v>0</v>
      </c>
      <c r="S21" s="730" t="str">
        <f t="shared" si="1"/>
        <v/>
      </c>
      <c r="T21" s="730" t="str">
        <f t="shared" si="2"/>
        <v/>
      </c>
      <c r="U21" s="730" t="str">
        <f t="shared" si="3"/>
        <v/>
      </c>
      <c r="V21" s="735" t="str">
        <f t="shared" si="4"/>
        <v/>
      </c>
      <c r="W21" s="720"/>
    </row>
    <row r="22" spans="1:23" ht="14.4" customHeight="1" x14ac:dyDescent="0.3">
      <c r="A22" s="781" t="s">
        <v>1951</v>
      </c>
      <c r="B22" s="778">
        <v>14</v>
      </c>
      <c r="C22" s="779">
        <v>445.09</v>
      </c>
      <c r="D22" s="729">
        <v>62.4</v>
      </c>
      <c r="E22" s="768">
        <v>8</v>
      </c>
      <c r="F22" s="769">
        <v>258.81</v>
      </c>
      <c r="G22" s="721">
        <v>73.8</v>
      </c>
      <c r="H22" s="773">
        <v>7</v>
      </c>
      <c r="I22" s="769">
        <v>224.8</v>
      </c>
      <c r="J22" s="721">
        <v>43.9</v>
      </c>
      <c r="K22" s="772">
        <v>32.340000000000003</v>
      </c>
      <c r="L22" s="773">
        <v>20</v>
      </c>
      <c r="M22" s="773">
        <v>180</v>
      </c>
      <c r="N22" s="774">
        <v>59.88</v>
      </c>
      <c r="O22" s="773" t="s">
        <v>1917</v>
      </c>
      <c r="P22" s="775" t="s">
        <v>1952</v>
      </c>
      <c r="Q22" s="776">
        <f t="shared" si="0"/>
        <v>-7</v>
      </c>
      <c r="R22" s="776">
        <f t="shared" si="0"/>
        <v>-220.28999999999996</v>
      </c>
      <c r="S22" s="766">
        <f t="shared" si="1"/>
        <v>419.16</v>
      </c>
      <c r="T22" s="766">
        <f t="shared" si="2"/>
        <v>307.3</v>
      </c>
      <c r="U22" s="766">
        <f t="shared" si="3"/>
        <v>-111.86000000000001</v>
      </c>
      <c r="V22" s="777">
        <f t="shared" si="4"/>
        <v>0.73313293253173006</v>
      </c>
      <c r="W22" s="723"/>
    </row>
    <row r="23" spans="1:23" ht="14.4" customHeight="1" x14ac:dyDescent="0.3">
      <c r="A23" s="782" t="s">
        <v>1953</v>
      </c>
      <c r="B23" s="726">
        <v>7</v>
      </c>
      <c r="C23" s="727">
        <v>67.2</v>
      </c>
      <c r="D23" s="728">
        <v>23.6</v>
      </c>
      <c r="E23" s="733">
        <v>5</v>
      </c>
      <c r="F23" s="711">
        <v>49.16</v>
      </c>
      <c r="G23" s="712">
        <v>29</v>
      </c>
      <c r="H23" s="717">
        <v>5</v>
      </c>
      <c r="I23" s="711">
        <v>49.16</v>
      </c>
      <c r="J23" s="712">
        <v>33.799999999999997</v>
      </c>
      <c r="K23" s="716">
        <v>9.83</v>
      </c>
      <c r="L23" s="717">
        <v>12</v>
      </c>
      <c r="M23" s="717">
        <v>104</v>
      </c>
      <c r="N23" s="718">
        <v>34.590000000000003</v>
      </c>
      <c r="O23" s="717" t="s">
        <v>1917</v>
      </c>
      <c r="P23" s="734" t="s">
        <v>1954</v>
      </c>
      <c r="Q23" s="719">
        <f t="shared" si="0"/>
        <v>-2</v>
      </c>
      <c r="R23" s="719">
        <f t="shared" si="0"/>
        <v>-18.040000000000006</v>
      </c>
      <c r="S23" s="730">
        <f t="shared" si="1"/>
        <v>172.95000000000002</v>
      </c>
      <c r="T23" s="730">
        <f t="shared" si="2"/>
        <v>169</v>
      </c>
      <c r="U23" s="730">
        <f t="shared" si="3"/>
        <v>-3.9500000000000171</v>
      </c>
      <c r="V23" s="735">
        <f t="shared" si="4"/>
        <v>0.97716102919919046</v>
      </c>
      <c r="W23" s="720">
        <v>16</v>
      </c>
    </row>
    <row r="24" spans="1:23" ht="14.4" customHeight="1" x14ac:dyDescent="0.3">
      <c r="A24" s="781" t="s">
        <v>1955</v>
      </c>
      <c r="B24" s="778">
        <v>22</v>
      </c>
      <c r="C24" s="779">
        <v>369.1</v>
      </c>
      <c r="D24" s="729">
        <v>43.8</v>
      </c>
      <c r="E24" s="768">
        <v>22</v>
      </c>
      <c r="F24" s="769">
        <v>366.78</v>
      </c>
      <c r="G24" s="721">
        <v>36.9</v>
      </c>
      <c r="H24" s="773">
        <v>23</v>
      </c>
      <c r="I24" s="769">
        <v>386.33</v>
      </c>
      <c r="J24" s="721">
        <v>43.6</v>
      </c>
      <c r="K24" s="772">
        <v>16.77</v>
      </c>
      <c r="L24" s="773">
        <v>15</v>
      </c>
      <c r="M24" s="773">
        <v>131</v>
      </c>
      <c r="N24" s="774">
        <v>43.75</v>
      </c>
      <c r="O24" s="773" t="s">
        <v>1917</v>
      </c>
      <c r="P24" s="775" t="s">
        <v>1956</v>
      </c>
      <c r="Q24" s="776">
        <f t="shared" si="0"/>
        <v>1</v>
      </c>
      <c r="R24" s="776">
        <f t="shared" si="0"/>
        <v>17.229999999999961</v>
      </c>
      <c r="S24" s="766">
        <f t="shared" si="1"/>
        <v>1006.25</v>
      </c>
      <c r="T24" s="766">
        <f t="shared" si="2"/>
        <v>1002.8000000000001</v>
      </c>
      <c r="U24" s="766">
        <f t="shared" si="3"/>
        <v>-3.4499999999999318</v>
      </c>
      <c r="V24" s="777">
        <f t="shared" si="4"/>
        <v>0.99657142857142866</v>
      </c>
      <c r="W24" s="723">
        <v>158</v>
      </c>
    </row>
    <row r="25" spans="1:23" ht="14.4" customHeight="1" x14ac:dyDescent="0.3">
      <c r="A25" s="782" t="s">
        <v>1957</v>
      </c>
      <c r="B25" s="730">
        <v>2</v>
      </c>
      <c r="C25" s="731">
        <v>6.88</v>
      </c>
      <c r="D25" s="732">
        <v>23</v>
      </c>
      <c r="E25" s="713">
        <v>4</v>
      </c>
      <c r="F25" s="714">
        <v>13.76</v>
      </c>
      <c r="G25" s="724">
        <v>17.5</v>
      </c>
      <c r="H25" s="717">
        <v>4</v>
      </c>
      <c r="I25" s="711">
        <v>13.76</v>
      </c>
      <c r="J25" s="712">
        <v>9.5</v>
      </c>
      <c r="K25" s="716">
        <v>3.44</v>
      </c>
      <c r="L25" s="717">
        <v>6</v>
      </c>
      <c r="M25" s="717">
        <v>57</v>
      </c>
      <c r="N25" s="718">
        <v>19.059999999999999</v>
      </c>
      <c r="O25" s="717" t="s">
        <v>1917</v>
      </c>
      <c r="P25" s="734" t="s">
        <v>1958</v>
      </c>
      <c r="Q25" s="719">
        <f t="shared" si="0"/>
        <v>2</v>
      </c>
      <c r="R25" s="719">
        <f t="shared" si="0"/>
        <v>6.88</v>
      </c>
      <c r="S25" s="730">
        <f t="shared" si="1"/>
        <v>76.239999999999995</v>
      </c>
      <c r="T25" s="730">
        <f t="shared" si="2"/>
        <v>38</v>
      </c>
      <c r="U25" s="730">
        <f t="shared" si="3"/>
        <v>-38.239999999999995</v>
      </c>
      <c r="V25" s="735">
        <f t="shared" si="4"/>
        <v>0.49842602308499478</v>
      </c>
      <c r="W25" s="720"/>
    </row>
    <row r="26" spans="1:23" ht="14.4" customHeight="1" x14ac:dyDescent="0.3">
      <c r="A26" s="781" t="s">
        <v>1959</v>
      </c>
      <c r="B26" s="766">
        <v>24</v>
      </c>
      <c r="C26" s="767">
        <v>121.89</v>
      </c>
      <c r="D26" s="736">
        <v>19.600000000000001</v>
      </c>
      <c r="E26" s="770">
        <v>32</v>
      </c>
      <c r="F26" s="771">
        <v>161.61000000000001</v>
      </c>
      <c r="G26" s="725">
        <v>18.7</v>
      </c>
      <c r="H26" s="773">
        <v>18</v>
      </c>
      <c r="I26" s="769">
        <v>90.59</v>
      </c>
      <c r="J26" s="721">
        <v>17.8</v>
      </c>
      <c r="K26" s="772">
        <v>5.07</v>
      </c>
      <c r="L26" s="773">
        <v>7</v>
      </c>
      <c r="M26" s="773">
        <v>66</v>
      </c>
      <c r="N26" s="774">
        <v>22.06</v>
      </c>
      <c r="O26" s="773" t="s">
        <v>1917</v>
      </c>
      <c r="P26" s="775" t="s">
        <v>1960</v>
      </c>
      <c r="Q26" s="776">
        <f t="shared" si="0"/>
        <v>-6</v>
      </c>
      <c r="R26" s="776">
        <f t="shared" si="0"/>
        <v>-31.299999999999997</v>
      </c>
      <c r="S26" s="766">
        <f t="shared" si="1"/>
        <v>397.08</v>
      </c>
      <c r="T26" s="766">
        <f t="shared" si="2"/>
        <v>320.40000000000003</v>
      </c>
      <c r="U26" s="766">
        <f t="shared" si="3"/>
        <v>-76.67999999999995</v>
      </c>
      <c r="V26" s="777">
        <f t="shared" si="4"/>
        <v>0.80689029918404365</v>
      </c>
      <c r="W26" s="723">
        <v>19</v>
      </c>
    </row>
    <row r="27" spans="1:23" ht="14.4" customHeight="1" x14ac:dyDescent="0.3">
      <c r="A27" s="781" t="s">
        <v>1961</v>
      </c>
      <c r="B27" s="766">
        <v>26</v>
      </c>
      <c r="C27" s="767">
        <v>221.72</v>
      </c>
      <c r="D27" s="736">
        <v>28</v>
      </c>
      <c r="E27" s="770">
        <v>27</v>
      </c>
      <c r="F27" s="771">
        <v>222.78</v>
      </c>
      <c r="G27" s="725">
        <v>22.8</v>
      </c>
      <c r="H27" s="773">
        <v>16</v>
      </c>
      <c r="I27" s="769">
        <v>136.91999999999999</v>
      </c>
      <c r="J27" s="721">
        <v>25.8</v>
      </c>
      <c r="K27" s="772">
        <v>8.52</v>
      </c>
      <c r="L27" s="773">
        <v>9</v>
      </c>
      <c r="M27" s="773">
        <v>85</v>
      </c>
      <c r="N27" s="774">
        <v>28.44</v>
      </c>
      <c r="O27" s="773" t="s">
        <v>1917</v>
      </c>
      <c r="P27" s="775" t="s">
        <v>1962</v>
      </c>
      <c r="Q27" s="776">
        <f t="shared" si="0"/>
        <v>-10</v>
      </c>
      <c r="R27" s="776">
        <f t="shared" si="0"/>
        <v>-84.800000000000011</v>
      </c>
      <c r="S27" s="766">
        <f t="shared" si="1"/>
        <v>455.04</v>
      </c>
      <c r="T27" s="766">
        <f t="shared" si="2"/>
        <v>412.8</v>
      </c>
      <c r="U27" s="766">
        <f t="shared" si="3"/>
        <v>-42.240000000000009</v>
      </c>
      <c r="V27" s="777">
        <f t="shared" si="4"/>
        <v>0.90717299578059074</v>
      </c>
      <c r="W27" s="723">
        <v>52</v>
      </c>
    </row>
    <row r="28" spans="1:23" ht="14.4" customHeight="1" x14ac:dyDescent="0.3">
      <c r="A28" s="782" t="s">
        <v>1963</v>
      </c>
      <c r="B28" s="730">
        <v>16</v>
      </c>
      <c r="C28" s="731">
        <v>10.130000000000001</v>
      </c>
      <c r="D28" s="732">
        <v>7.3</v>
      </c>
      <c r="E28" s="733">
        <v>35</v>
      </c>
      <c r="F28" s="711">
        <v>22.14</v>
      </c>
      <c r="G28" s="712">
        <v>5.7</v>
      </c>
      <c r="H28" s="713">
        <v>33</v>
      </c>
      <c r="I28" s="714">
        <v>20.88</v>
      </c>
      <c r="J28" s="724">
        <v>5.9</v>
      </c>
      <c r="K28" s="716">
        <v>0.63</v>
      </c>
      <c r="L28" s="717">
        <v>3</v>
      </c>
      <c r="M28" s="717">
        <v>25</v>
      </c>
      <c r="N28" s="718">
        <v>8.1999999999999993</v>
      </c>
      <c r="O28" s="717" t="s">
        <v>1917</v>
      </c>
      <c r="P28" s="734" t="s">
        <v>1964</v>
      </c>
      <c r="Q28" s="719">
        <f t="shared" si="0"/>
        <v>17</v>
      </c>
      <c r="R28" s="719">
        <f t="shared" si="0"/>
        <v>10.749999999999998</v>
      </c>
      <c r="S28" s="730">
        <f t="shared" si="1"/>
        <v>270.59999999999997</v>
      </c>
      <c r="T28" s="730">
        <f t="shared" si="2"/>
        <v>194.70000000000002</v>
      </c>
      <c r="U28" s="730">
        <f t="shared" si="3"/>
        <v>-75.899999999999949</v>
      </c>
      <c r="V28" s="735">
        <f t="shared" si="4"/>
        <v>0.71951219512195141</v>
      </c>
      <c r="W28" s="720">
        <v>14</v>
      </c>
    </row>
    <row r="29" spans="1:23" ht="14.4" customHeight="1" x14ac:dyDescent="0.3">
      <c r="A29" s="781" t="s">
        <v>1965</v>
      </c>
      <c r="B29" s="766">
        <v>67</v>
      </c>
      <c r="C29" s="767">
        <v>113.18</v>
      </c>
      <c r="D29" s="736">
        <v>12.3</v>
      </c>
      <c r="E29" s="768">
        <v>64</v>
      </c>
      <c r="F29" s="769">
        <v>108.13</v>
      </c>
      <c r="G29" s="721">
        <v>10.4</v>
      </c>
      <c r="H29" s="770">
        <v>55</v>
      </c>
      <c r="I29" s="771">
        <v>92.89</v>
      </c>
      <c r="J29" s="725">
        <v>10.7</v>
      </c>
      <c r="K29" s="772">
        <v>1.69</v>
      </c>
      <c r="L29" s="773">
        <v>4</v>
      </c>
      <c r="M29" s="773">
        <v>36</v>
      </c>
      <c r="N29" s="774">
        <v>11.9</v>
      </c>
      <c r="O29" s="773" t="s">
        <v>1917</v>
      </c>
      <c r="P29" s="775" t="s">
        <v>1966</v>
      </c>
      <c r="Q29" s="776">
        <f t="shared" si="0"/>
        <v>-12</v>
      </c>
      <c r="R29" s="776">
        <f t="shared" si="0"/>
        <v>-20.290000000000006</v>
      </c>
      <c r="S29" s="766">
        <f t="shared" si="1"/>
        <v>654.5</v>
      </c>
      <c r="T29" s="766">
        <f t="shared" si="2"/>
        <v>588.5</v>
      </c>
      <c r="U29" s="766">
        <f t="shared" si="3"/>
        <v>-66</v>
      </c>
      <c r="V29" s="777">
        <f t="shared" si="4"/>
        <v>0.89915966386554624</v>
      </c>
      <c r="W29" s="723">
        <v>119</v>
      </c>
    </row>
    <row r="30" spans="1:23" ht="14.4" customHeight="1" x14ac:dyDescent="0.3">
      <c r="A30" s="781" t="s">
        <v>1967</v>
      </c>
      <c r="B30" s="766">
        <v>19</v>
      </c>
      <c r="C30" s="767">
        <v>78.78</v>
      </c>
      <c r="D30" s="736">
        <v>24.6</v>
      </c>
      <c r="E30" s="768">
        <v>5</v>
      </c>
      <c r="F30" s="769">
        <v>20.71</v>
      </c>
      <c r="G30" s="721">
        <v>19.600000000000001</v>
      </c>
      <c r="H30" s="770">
        <v>21</v>
      </c>
      <c r="I30" s="771">
        <v>86.89</v>
      </c>
      <c r="J30" s="722">
        <v>17.600000000000001</v>
      </c>
      <c r="K30" s="772">
        <v>4.12</v>
      </c>
      <c r="L30" s="773">
        <v>5</v>
      </c>
      <c r="M30" s="773">
        <v>49</v>
      </c>
      <c r="N30" s="774">
        <v>16.48</v>
      </c>
      <c r="O30" s="773" t="s">
        <v>1917</v>
      </c>
      <c r="P30" s="775" t="s">
        <v>1968</v>
      </c>
      <c r="Q30" s="776">
        <f t="shared" si="0"/>
        <v>2</v>
      </c>
      <c r="R30" s="776">
        <f t="shared" si="0"/>
        <v>8.11</v>
      </c>
      <c r="S30" s="766">
        <f t="shared" si="1"/>
        <v>346.08</v>
      </c>
      <c r="T30" s="766">
        <f t="shared" si="2"/>
        <v>369.6</v>
      </c>
      <c r="U30" s="766">
        <f t="shared" si="3"/>
        <v>23.520000000000039</v>
      </c>
      <c r="V30" s="777">
        <f t="shared" si="4"/>
        <v>1.0679611650485439</v>
      </c>
      <c r="W30" s="723">
        <v>89</v>
      </c>
    </row>
    <row r="31" spans="1:23" ht="14.4" customHeight="1" x14ac:dyDescent="0.3">
      <c r="A31" s="782" t="s">
        <v>1969</v>
      </c>
      <c r="B31" s="730"/>
      <c r="C31" s="731"/>
      <c r="D31" s="732"/>
      <c r="E31" s="713">
        <v>2</v>
      </c>
      <c r="F31" s="714">
        <v>11.3</v>
      </c>
      <c r="G31" s="724">
        <v>20</v>
      </c>
      <c r="H31" s="717">
        <v>1</v>
      </c>
      <c r="I31" s="711">
        <v>5.65</v>
      </c>
      <c r="J31" s="715">
        <v>38</v>
      </c>
      <c r="K31" s="716">
        <v>5.65</v>
      </c>
      <c r="L31" s="717">
        <v>5</v>
      </c>
      <c r="M31" s="717">
        <v>48</v>
      </c>
      <c r="N31" s="718">
        <v>16.03</v>
      </c>
      <c r="O31" s="717" t="s">
        <v>1917</v>
      </c>
      <c r="P31" s="734" t="s">
        <v>1970</v>
      </c>
      <c r="Q31" s="719">
        <f t="shared" si="0"/>
        <v>1</v>
      </c>
      <c r="R31" s="719">
        <f t="shared" si="0"/>
        <v>5.65</v>
      </c>
      <c r="S31" s="730">
        <f t="shared" si="1"/>
        <v>16.03</v>
      </c>
      <c r="T31" s="730">
        <f t="shared" si="2"/>
        <v>38</v>
      </c>
      <c r="U31" s="730">
        <f t="shared" si="3"/>
        <v>21.97</v>
      </c>
      <c r="V31" s="735">
        <f t="shared" si="4"/>
        <v>2.3705552089831565</v>
      </c>
      <c r="W31" s="720">
        <v>22</v>
      </c>
    </row>
    <row r="32" spans="1:23" ht="14.4" customHeight="1" x14ac:dyDescent="0.3">
      <c r="A32" s="781" t="s">
        <v>1971</v>
      </c>
      <c r="B32" s="766"/>
      <c r="C32" s="767"/>
      <c r="D32" s="736"/>
      <c r="E32" s="770">
        <v>1</v>
      </c>
      <c r="F32" s="771">
        <v>14.96</v>
      </c>
      <c r="G32" s="725">
        <v>30</v>
      </c>
      <c r="H32" s="773"/>
      <c r="I32" s="769"/>
      <c r="J32" s="721"/>
      <c r="K32" s="772">
        <v>14.96</v>
      </c>
      <c r="L32" s="773">
        <v>10</v>
      </c>
      <c r="M32" s="773">
        <v>89</v>
      </c>
      <c r="N32" s="774">
        <v>29.59</v>
      </c>
      <c r="O32" s="773" t="s">
        <v>1917</v>
      </c>
      <c r="P32" s="775" t="s">
        <v>1972</v>
      </c>
      <c r="Q32" s="776">
        <f t="shared" si="0"/>
        <v>0</v>
      </c>
      <c r="R32" s="776">
        <f t="shared" si="0"/>
        <v>0</v>
      </c>
      <c r="S32" s="766" t="str">
        <f t="shared" si="1"/>
        <v/>
      </c>
      <c r="T32" s="766" t="str">
        <f t="shared" si="2"/>
        <v/>
      </c>
      <c r="U32" s="766" t="str">
        <f t="shared" si="3"/>
        <v/>
      </c>
      <c r="V32" s="777" t="str">
        <f t="shared" si="4"/>
        <v/>
      </c>
      <c r="W32" s="723"/>
    </row>
    <row r="33" spans="1:23" ht="14.4" customHeight="1" x14ac:dyDescent="0.3">
      <c r="A33" s="782" t="s">
        <v>1973</v>
      </c>
      <c r="B33" s="730">
        <v>10</v>
      </c>
      <c r="C33" s="731">
        <v>4.22</v>
      </c>
      <c r="D33" s="732">
        <v>5.5</v>
      </c>
      <c r="E33" s="733">
        <v>8</v>
      </c>
      <c r="F33" s="711">
        <v>3.38</v>
      </c>
      <c r="G33" s="712">
        <v>4.8</v>
      </c>
      <c r="H33" s="713">
        <v>8</v>
      </c>
      <c r="I33" s="714">
        <v>3.38</v>
      </c>
      <c r="J33" s="724">
        <v>4.5</v>
      </c>
      <c r="K33" s="716">
        <v>0.42</v>
      </c>
      <c r="L33" s="717">
        <v>2</v>
      </c>
      <c r="M33" s="717">
        <v>18</v>
      </c>
      <c r="N33" s="718">
        <v>6.02</v>
      </c>
      <c r="O33" s="717" t="s">
        <v>1917</v>
      </c>
      <c r="P33" s="734" t="s">
        <v>1974</v>
      </c>
      <c r="Q33" s="719">
        <f t="shared" si="0"/>
        <v>-2</v>
      </c>
      <c r="R33" s="719">
        <f t="shared" si="0"/>
        <v>-0.83999999999999986</v>
      </c>
      <c r="S33" s="730">
        <f t="shared" si="1"/>
        <v>48.16</v>
      </c>
      <c r="T33" s="730">
        <f t="shared" si="2"/>
        <v>36</v>
      </c>
      <c r="U33" s="730">
        <f t="shared" si="3"/>
        <v>-12.159999999999997</v>
      </c>
      <c r="V33" s="735">
        <f t="shared" si="4"/>
        <v>0.74750830564784054</v>
      </c>
      <c r="W33" s="720"/>
    </row>
    <row r="34" spans="1:23" ht="14.4" customHeight="1" x14ac:dyDescent="0.3">
      <c r="A34" s="781" t="s">
        <v>1975</v>
      </c>
      <c r="B34" s="766">
        <v>9</v>
      </c>
      <c r="C34" s="767">
        <v>8.26</v>
      </c>
      <c r="D34" s="736">
        <v>8.9</v>
      </c>
      <c r="E34" s="768">
        <v>8</v>
      </c>
      <c r="F34" s="769">
        <v>7.34</v>
      </c>
      <c r="G34" s="721">
        <v>5.9</v>
      </c>
      <c r="H34" s="770">
        <v>11</v>
      </c>
      <c r="I34" s="771">
        <v>10.88</v>
      </c>
      <c r="J34" s="722">
        <v>11.2</v>
      </c>
      <c r="K34" s="772">
        <v>0.92</v>
      </c>
      <c r="L34" s="773">
        <v>3</v>
      </c>
      <c r="M34" s="773">
        <v>23</v>
      </c>
      <c r="N34" s="774">
        <v>7.83</v>
      </c>
      <c r="O34" s="773" t="s">
        <v>1917</v>
      </c>
      <c r="P34" s="775" t="s">
        <v>1976</v>
      </c>
      <c r="Q34" s="776">
        <f t="shared" si="0"/>
        <v>2</v>
      </c>
      <c r="R34" s="776">
        <f t="shared" si="0"/>
        <v>2.620000000000001</v>
      </c>
      <c r="S34" s="766">
        <f t="shared" si="1"/>
        <v>86.13</v>
      </c>
      <c r="T34" s="766">
        <f t="shared" si="2"/>
        <v>123.19999999999999</v>
      </c>
      <c r="U34" s="766">
        <f t="shared" si="3"/>
        <v>37.069999999999993</v>
      </c>
      <c r="V34" s="777">
        <f t="shared" si="4"/>
        <v>1.4303959131545338</v>
      </c>
      <c r="W34" s="723">
        <v>60</v>
      </c>
    </row>
    <row r="35" spans="1:23" ht="14.4" customHeight="1" x14ac:dyDescent="0.3">
      <c r="A35" s="781" t="s">
        <v>1977</v>
      </c>
      <c r="B35" s="766">
        <v>1</v>
      </c>
      <c r="C35" s="767">
        <v>3.85</v>
      </c>
      <c r="D35" s="736">
        <v>16</v>
      </c>
      <c r="E35" s="768"/>
      <c r="F35" s="769"/>
      <c r="G35" s="721"/>
      <c r="H35" s="770">
        <v>2</v>
      </c>
      <c r="I35" s="771">
        <v>7.7</v>
      </c>
      <c r="J35" s="725">
        <v>9.5</v>
      </c>
      <c r="K35" s="772">
        <v>3.85</v>
      </c>
      <c r="L35" s="773">
        <v>5</v>
      </c>
      <c r="M35" s="773">
        <v>43</v>
      </c>
      <c r="N35" s="774">
        <v>14.37</v>
      </c>
      <c r="O35" s="773" t="s">
        <v>1917</v>
      </c>
      <c r="P35" s="775" t="s">
        <v>1978</v>
      </c>
      <c r="Q35" s="776">
        <f t="shared" si="0"/>
        <v>1</v>
      </c>
      <c r="R35" s="776">
        <f t="shared" si="0"/>
        <v>3.85</v>
      </c>
      <c r="S35" s="766">
        <f t="shared" si="1"/>
        <v>28.74</v>
      </c>
      <c r="T35" s="766">
        <f t="shared" si="2"/>
        <v>19</v>
      </c>
      <c r="U35" s="766">
        <f t="shared" si="3"/>
        <v>-9.7399999999999984</v>
      </c>
      <c r="V35" s="777">
        <f t="shared" si="4"/>
        <v>0.66109951287404323</v>
      </c>
      <c r="W35" s="723"/>
    </row>
    <row r="36" spans="1:23" ht="14.4" customHeight="1" x14ac:dyDescent="0.3">
      <c r="A36" s="782" t="s">
        <v>1979</v>
      </c>
      <c r="B36" s="730">
        <v>15</v>
      </c>
      <c r="C36" s="731">
        <v>127.38</v>
      </c>
      <c r="D36" s="732">
        <v>16.399999999999999</v>
      </c>
      <c r="E36" s="713">
        <v>17</v>
      </c>
      <c r="F36" s="714">
        <v>148.15</v>
      </c>
      <c r="G36" s="724">
        <v>14.5</v>
      </c>
      <c r="H36" s="717">
        <v>9</v>
      </c>
      <c r="I36" s="711">
        <v>72.8</v>
      </c>
      <c r="J36" s="712">
        <v>11</v>
      </c>
      <c r="K36" s="716">
        <v>9.09</v>
      </c>
      <c r="L36" s="717">
        <v>8</v>
      </c>
      <c r="M36" s="717">
        <v>72</v>
      </c>
      <c r="N36" s="718">
        <v>23.98</v>
      </c>
      <c r="O36" s="717" t="s">
        <v>1917</v>
      </c>
      <c r="P36" s="734" t="s">
        <v>1980</v>
      </c>
      <c r="Q36" s="719">
        <f t="shared" si="0"/>
        <v>-6</v>
      </c>
      <c r="R36" s="719">
        <f t="shared" si="0"/>
        <v>-54.58</v>
      </c>
      <c r="S36" s="730">
        <f t="shared" si="1"/>
        <v>215.82</v>
      </c>
      <c r="T36" s="730">
        <f t="shared" si="2"/>
        <v>99</v>
      </c>
      <c r="U36" s="730">
        <f t="shared" si="3"/>
        <v>-116.82</v>
      </c>
      <c r="V36" s="735">
        <f t="shared" si="4"/>
        <v>0.45871559633027525</v>
      </c>
      <c r="W36" s="720"/>
    </row>
    <row r="37" spans="1:23" ht="14.4" customHeight="1" x14ac:dyDescent="0.3">
      <c r="A37" s="782" t="s">
        <v>1981</v>
      </c>
      <c r="B37" s="730">
        <v>1</v>
      </c>
      <c r="C37" s="731">
        <v>1.48</v>
      </c>
      <c r="D37" s="732">
        <v>5</v>
      </c>
      <c r="E37" s="713">
        <v>1</v>
      </c>
      <c r="F37" s="714">
        <v>1.48</v>
      </c>
      <c r="G37" s="724">
        <v>11</v>
      </c>
      <c r="H37" s="717"/>
      <c r="I37" s="711"/>
      <c r="J37" s="712"/>
      <c r="K37" s="716">
        <v>1.48</v>
      </c>
      <c r="L37" s="717">
        <v>3</v>
      </c>
      <c r="M37" s="717">
        <v>28</v>
      </c>
      <c r="N37" s="718">
        <v>9.17</v>
      </c>
      <c r="O37" s="717" t="s">
        <v>1917</v>
      </c>
      <c r="P37" s="734" t="s">
        <v>1982</v>
      </c>
      <c r="Q37" s="719">
        <f t="shared" si="0"/>
        <v>-1</v>
      </c>
      <c r="R37" s="719">
        <f t="shared" si="0"/>
        <v>-1.48</v>
      </c>
      <c r="S37" s="730" t="str">
        <f t="shared" si="1"/>
        <v/>
      </c>
      <c r="T37" s="730" t="str">
        <f t="shared" si="2"/>
        <v/>
      </c>
      <c r="U37" s="730" t="str">
        <f t="shared" si="3"/>
        <v/>
      </c>
      <c r="V37" s="735" t="str">
        <f t="shared" si="4"/>
        <v/>
      </c>
      <c r="W37" s="720"/>
    </row>
    <row r="38" spans="1:23" ht="14.4" customHeight="1" x14ac:dyDescent="0.3">
      <c r="A38" s="782" t="s">
        <v>1983</v>
      </c>
      <c r="B38" s="730">
        <v>3</v>
      </c>
      <c r="C38" s="731">
        <v>2.96</v>
      </c>
      <c r="D38" s="732">
        <v>8</v>
      </c>
      <c r="E38" s="733">
        <v>3</v>
      </c>
      <c r="F38" s="711">
        <v>2.96</v>
      </c>
      <c r="G38" s="712">
        <v>10</v>
      </c>
      <c r="H38" s="713"/>
      <c r="I38" s="714"/>
      <c r="J38" s="724"/>
      <c r="K38" s="716">
        <v>0.99</v>
      </c>
      <c r="L38" s="717">
        <v>3</v>
      </c>
      <c r="M38" s="717">
        <v>25</v>
      </c>
      <c r="N38" s="718">
        <v>8.35</v>
      </c>
      <c r="O38" s="717" t="s">
        <v>1917</v>
      </c>
      <c r="P38" s="734" t="s">
        <v>1984</v>
      </c>
      <c r="Q38" s="719">
        <f t="shared" si="0"/>
        <v>-3</v>
      </c>
      <c r="R38" s="719">
        <f t="shared" si="0"/>
        <v>-2.96</v>
      </c>
      <c r="S38" s="730" t="str">
        <f t="shared" si="1"/>
        <v/>
      </c>
      <c r="T38" s="730" t="str">
        <f t="shared" si="2"/>
        <v/>
      </c>
      <c r="U38" s="730" t="str">
        <f t="shared" si="3"/>
        <v/>
      </c>
      <c r="V38" s="735" t="str">
        <f t="shared" si="4"/>
        <v/>
      </c>
      <c r="W38" s="720"/>
    </row>
    <row r="39" spans="1:23" ht="14.4" customHeight="1" x14ac:dyDescent="0.3">
      <c r="A39" s="781" t="s">
        <v>1985</v>
      </c>
      <c r="B39" s="766">
        <v>20</v>
      </c>
      <c r="C39" s="767">
        <v>21.06</v>
      </c>
      <c r="D39" s="736">
        <v>11.5</v>
      </c>
      <c r="E39" s="768">
        <v>21</v>
      </c>
      <c r="F39" s="769">
        <v>21.97</v>
      </c>
      <c r="G39" s="721">
        <v>9.6</v>
      </c>
      <c r="H39" s="770">
        <v>25</v>
      </c>
      <c r="I39" s="771">
        <v>26.41</v>
      </c>
      <c r="J39" s="722">
        <v>10.6</v>
      </c>
      <c r="K39" s="772">
        <v>1.05</v>
      </c>
      <c r="L39" s="773">
        <v>3</v>
      </c>
      <c r="M39" s="773">
        <v>27</v>
      </c>
      <c r="N39" s="774">
        <v>8.93</v>
      </c>
      <c r="O39" s="773" t="s">
        <v>1917</v>
      </c>
      <c r="P39" s="775" t="s">
        <v>1986</v>
      </c>
      <c r="Q39" s="776">
        <f t="shared" si="0"/>
        <v>5</v>
      </c>
      <c r="R39" s="776">
        <f t="shared" si="0"/>
        <v>5.3500000000000014</v>
      </c>
      <c r="S39" s="766">
        <f t="shared" si="1"/>
        <v>223.25</v>
      </c>
      <c r="T39" s="766">
        <f t="shared" si="2"/>
        <v>265</v>
      </c>
      <c r="U39" s="766">
        <f t="shared" si="3"/>
        <v>41.75</v>
      </c>
      <c r="V39" s="777">
        <f t="shared" si="4"/>
        <v>1.187010078387458</v>
      </c>
      <c r="W39" s="723">
        <v>63</v>
      </c>
    </row>
    <row r="40" spans="1:23" ht="14.4" customHeight="1" x14ac:dyDescent="0.3">
      <c r="A40" s="781" t="s">
        <v>1987</v>
      </c>
      <c r="B40" s="766">
        <v>1</v>
      </c>
      <c r="C40" s="767">
        <v>3.42</v>
      </c>
      <c r="D40" s="736">
        <v>9</v>
      </c>
      <c r="E40" s="768">
        <v>1</v>
      </c>
      <c r="F40" s="769">
        <v>3.42</v>
      </c>
      <c r="G40" s="721">
        <v>12</v>
      </c>
      <c r="H40" s="770">
        <v>1</v>
      </c>
      <c r="I40" s="771">
        <v>3.42</v>
      </c>
      <c r="J40" s="722">
        <v>24</v>
      </c>
      <c r="K40" s="772">
        <v>3.42</v>
      </c>
      <c r="L40" s="773">
        <v>5</v>
      </c>
      <c r="M40" s="773">
        <v>42</v>
      </c>
      <c r="N40" s="774">
        <v>14.11</v>
      </c>
      <c r="O40" s="773" t="s">
        <v>1917</v>
      </c>
      <c r="P40" s="775" t="s">
        <v>1988</v>
      </c>
      <c r="Q40" s="776">
        <f t="shared" si="0"/>
        <v>0</v>
      </c>
      <c r="R40" s="776">
        <f t="shared" si="0"/>
        <v>0</v>
      </c>
      <c r="S40" s="766">
        <f t="shared" si="1"/>
        <v>14.11</v>
      </c>
      <c r="T40" s="766">
        <f t="shared" si="2"/>
        <v>24</v>
      </c>
      <c r="U40" s="766">
        <f t="shared" si="3"/>
        <v>9.89</v>
      </c>
      <c r="V40" s="777">
        <f t="shared" si="4"/>
        <v>1.7009213323883772</v>
      </c>
      <c r="W40" s="723">
        <v>10</v>
      </c>
    </row>
    <row r="41" spans="1:23" ht="14.4" customHeight="1" x14ac:dyDescent="0.3">
      <c r="A41" s="782" t="s">
        <v>1989</v>
      </c>
      <c r="B41" s="730">
        <v>795</v>
      </c>
      <c r="C41" s="731">
        <v>250.33</v>
      </c>
      <c r="D41" s="732">
        <v>4.7</v>
      </c>
      <c r="E41" s="733">
        <v>1014</v>
      </c>
      <c r="F41" s="711">
        <v>318.95999999999998</v>
      </c>
      <c r="G41" s="712">
        <v>4.7</v>
      </c>
      <c r="H41" s="713">
        <v>1282</v>
      </c>
      <c r="I41" s="714">
        <v>403.61</v>
      </c>
      <c r="J41" s="724">
        <v>4.5999999999999996</v>
      </c>
      <c r="K41" s="716">
        <v>0.31</v>
      </c>
      <c r="L41" s="717">
        <v>2</v>
      </c>
      <c r="M41" s="717">
        <v>16</v>
      </c>
      <c r="N41" s="718">
        <v>5.19</v>
      </c>
      <c r="O41" s="717" t="s">
        <v>1917</v>
      </c>
      <c r="P41" s="734" t="s">
        <v>1990</v>
      </c>
      <c r="Q41" s="719">
        <f t="shared" si="0"/>
        <v>487</v>
      </c>
      <c r="R41" s="719">
        <f t="shared" si="0"/>
        <v>153.28</v>
      </c>
      <c r="S41" s="730">
        <f t="shared" si="1"/>
        <v>6653.5800000000008</v>
      </c>
      <c r="T41" s="730">
        <f t="shared" si="2"/>
        <v>5897.2</v>
      </c>
      <c r="U41" s="730">
        <f t="shared" si="3"/>
        <v>-756.38000000000102</v>
      </c>
      <c r="V41" s="735">
        <f t="shared" si="4"/>
        <v>0.88631984585741797</v>
      </c>
      <c r="W41" s="720">
        <v>166</v>
      </c>
    </row>
    <row r="42" spans="1:23" ht="14.4" customHeight="1" x14ac:dyDescent="0.3">
      <c r="A42" s="781" t="s">
        <v>1991</v>
      </c>
      <c r="B42" s="766">
        <v>480</v>
      </c>
      <c r="C42" s="767">
        <v>197.82</v>
      </c>
      <c r="D42" s="736">
        <v>5.6</v>
      </c>
      <c r="E42" s="768">
        <v>400</v>
      </c>
      <c r="F42" s="769">
        <v>165.77</v>
      </c>
      <c r="G42" s="721">
        <v>5.6</v>
      </c>
      <c r="H42" s="770">
        <v>268</v>
      </c>
      <c r="I42" s="771">
        <v>110.48</v>
      </c>
      <c r="J42" s="725">
        <v>5.5</v>
      </c>
      <c r="K42" s="772">
        <v>0.41</v>
      </c>
      <c r="L42" s="773">
        <v>2</v>
      </c>
      <c r="M42" s="773">
        <v>19</v>
      </c>
      <c r="N42" s="774">
        <v>6.33</v>
      </c>
      <c r="O42" s="773" t="s">
        <v>1917</v>
      </c>
      <c r="P42" s="775" t="s">
        <v>1992</v>
      </c>
      <c r="Q42" s="776">
        <f t="shared" si="0"/>
        <v>-212</v>
      </c>
      <c r="R42" s="776">
        <f t="shared" si="0"/>
        <v>-87.339999999999989</v>
      </c>
      <c r="S42" s="766">
        <f t="shared" si="1"/>
        <v>1696.44</v>
      </c>
      <c r="T42" s="766">
        <f t="shared" si="2"/>
        <v>1474</v>
      </c>
      <c r="U42" s="766">
        <f t="shared" si="3"/>
        <v>-222.44000000000005</v>
      </c>
      <c r="V42" s="777">
        <f t="shared" si="4"/>
        <v>0.86887835703001581</v>
      </c>
      <c r="W42" s="723">
        <v>103</v>
      </c>
    </row>
    <row r="43" spans="1:23" ht="14.4" customHeight="1" x14ac:dyDescent="0.3">
      <c r="A43" s="781" t="s">
        <v>1993</v>
      </c>
      <c r="B43" s="766">
        <v>36</v>
      </c>
      <c r="C43" s="767">
        <v>24.56</v>
      </c>
      <c r="D43" s="736">
        <v>7.2</v>
      </c>
      <c r="E43" s="768">
        <v>33</v>
      </c>
      <c r="F43" s="769">
        <v>22.18</v>
      </c>
      <c r="G43" s="721">
        <v>5.7</v>
      </c>
      <c r="H43" s="770">
        <v>26</v>
      </c>
      <c r="I43" s="771">
        <v>17.71</v>
      </c>
      <c r="J43" s="725">
        <v>6.4</v>
      </c>
      <c r="K43" s="772">
        <v>0.67</v>
      </c>
      <c r="L43" s="773">
        <v>2</v>
      </c>
      <c r="M43" s="773">
        <v>21</v>
      </c>
      <c r="N43" s="774">
        <v>7.07</v>
      </c>
      <c r="O43" s="773" t="s">
        <v>1917</v>
      </c>
      <c r="P43" s="775" t="s">
        <v>1994</v>
      </c>
      <c r="Q43" s="776">
        <f t="shared" si="0"/>
        <v>-10</v>
      </c>
      <c r="R43" s="776">
        <f t="shared" si="0"/>
        <v>-6.8499999999999979</v>
      </c>
      <c r="S43" s="766">
        <f t="shared" si="1"/>
        <v>183.82</v>
      </c>
      <c r="T43" s="766">
        <f t="shared" si="2"/>
        <v>166.4</v>
      </c>
      <c r="U43" s="766">
        <f t="shared" si="3"/>
        <v>-17.419999999999987</v>
      </c>
      <c r="V43" s="777">
        <f t="shared" si="4"/>
        <v>0.90523338048090529</v>
      </c>
      <c r="W43" s="723">
        <v>24</v>
      </c>
    </row>
    <row r="44" spans="1:23" ht="14.4" customHeight="1" x14ac:dyDescent="0.3">
      <c r="A44" s="782" t="s">
        <v>1995</v>
      </c>
      <c r="B44" s="730">
        <v>5</v>
      </c>
      <c r="C44" s="731">
        <v>1.2</v>
      </c>
      <c r="D44" s="732">
        <v>2.4</v>
      </c>
      <c r="E44" s="733">
        <v>4</v>
      </c>
      <c r="F44" s="711">
        <v>0.96</v>
      </c>
      <c r="G44" s="712">
        <v>2.8</v>
      </c>
      <c r="H44" s="713">
        <v>11</v>
      </c>
      <c r="I44" s="714">
        <v>2.65</v>
      </c>
      <c r="J44" s="724">
        <v>2.2000000000000002</v>
      </c>
      <c r="K44" s="716">
        <v>0.24</v>
      </c>
      <c r="L44" s="717">
        <v>1</v>
      </c>
      <c r="M44" s="717">
        <v>10</v>
      </c>
      <c r="N44" s="718">
        <v>3.44</v>
      </c>
      <c r="O44" s="717" t="s">
        <v>1917</v>
      </c>
      <c r="P44" s="734" t="s">
        <v>1996</v>
      </c>
      <c r="Q44" s="719">
        <f t="shared" si="0"/>
        <v>6</v>
      </c>
      <c r="R44" s="719">
        <f t="shared" si="0"/>
        <v>1.45</v>
      </c>
      <c r="S44" s="730">
        <f t="shared" si="1"/>
        <v>37.839999999999996</v>
      </c>
      <c r="T44" s="730">
        <f t="shared" si="2"/>
        <v>24.200000000000003</v>
      </c>
      <c r="U44" s="730">
        <f t="shared" si="3"/>
        <v>-13.639999999999993</v>
      </c>
      <c r="V44" s="735">
        <f t="shared" si="4"/>
        <v>0.63953488372093037</v>
      </c>
      <c r="W44" s="720"/>
    </row>
    <row r="45" spans="1:23" ht="14.4" customHeight="1" x14ac:dyDescent="0.3">
      <c r="A45" s="781" t="s">
        <v>1997</v>
      </c>
      <c r="B45" s="766">
        <v>1</v>
      </c>
      <c r="C45" s="767">
        <v>0.98</v>
      </c>
      <c r="D45" s="736">
        <v>11</v>
      </c>
      <c r="E45" s="768">
        <v>2</v>
      </c>
      <c r="F45" s="769">
        <v>1.96</v>
      </c>
      <c r="G45" s="721">
        <v>26.5</v>
      </c>
      <c r="H45" s="770">
        <v>2</v>
      </c>
      <c r="I45" s="771">
        <v>2.4700000000000002</v>
      </c>
      <c r="J45" s="722">
        <v>23.5</v>
      </c>
      <c r="K45" s="772">
        <v>0.98</v>
      </c>
      <c r="L45" s="773">
        <v>3</v>
      </c>
      <c r="M45" s="773">
        <v>27</v>
      </c>
      <c r="N45" s="774">
        <v>9.11</v>
      </c>
      <c r="O45" s="773" t="s">
        <v>1917</v>
      </c>
      <c r="P45" s="775" t="s">
        <v>1998</v>
      </c>
      <c r="Q45" s="776">
        <f t="shared" si="0"/>
        <v>1</v>
      </c>
      <c r="R45" s="776">
        <f t="shared" si="0"/>
        <v>1.4900000000000002</v>
      </c>
      <c r="S45" s="766">
        <f t="shared" si="1"/>
        <v>18.22</v>
      </c>
      <c r="T45" s="766">
        <f t="shared" si="2"/>
        <v>47</v>
      </c>
      <c r="U45" s="766">
        <f t="shared" si="3"/>
        <v>28.78</v>
      </c>
      <c r="V45" s="777">
        <f t="shared" si="4"/>
        <v>2.5795828759604831</v>
      </c>
      <c r="W45" s="723">
        <v>29</v>
      </c>
    </row>
    <row r="46" spans="1:23" ht="14.4" customHeight="1" thickBot="1" x14ac:dyDescent="0.35">
      <c r="A46" s="783" t="s">
        <v>1999</v>
      </c>
      <c r="B46" s="784">
        <v>3</v>
      </c>
      <c r="C46" s="785">
        <v>0.3</v>
      </c>
      <c r="D46" s="786">
        <v>5.3</v>
      </c>
      <c r="E46" s="787">
        <v>2</v>
      </c>
      <c r="F46" s="788">
        <v>0.2</v>
      </c>
      <c r="G46" s="789">
        <v>7.5</v>
      </c>
      <c r="H46" s="790">
        <v>1</v>
      </c>
      <c r="I46" s="788">
        <v>0.1</v>
      </c>
      <c r="J46" s="791">
        <v>6</v>
      </c>
      <c r="K46" s="792">
        <v>0.1</v>
      </c>
      <c r="L46" s="790">
        <v>2</v>
      </c>
      <c r="M46" s="790">
        <v>15</v>
      </c>
      <c r="N46" s="793">
        <v>5.16</v>
      </c>
      <c r="O46" s="790" t="s">
        <v>1917</v>
      </c>
      <c r="P46" s="794" t="s">
        <v>2000</v>
      </c>
      <c r="Q46" s="795">
        <f t="shared" si="0"/>
        <v>-2</v>
      </c>
      <c r="R46" s="795">
        <f t="shared" si="0"/>
        <v>-0.19999999999999998</v>
      </c>
      <c r="S46" s="796">
        <f t="shared" si="1"/>
        <v>5.16</v>
      </c>
      <c r="T46" s="796">
        <f t="shared" si="2"/>
        <v>6</v>
      </c>
      <c r="U46" s="796">
        <f t="shared" si="3"/>
        <v>0.83999999999999986</v>
      </c>
      <c r="V46" s="797">
        <f t="shared" si="4"/>
        <v>1.1627906976744187</v>
      </c>
      <c r="W46" s="798">
        <v>1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7:Q1048576">
    <cfRule type="cellIs" dxfId="12" priority="9" stopIfTrue="1" operator="lessThan">
      <formula>0</formula>
    </cfRule>
  </conditionalFormatting>
  <conditionalFormatting sqref="U47:U1048576">
    <cfRule type="cellIs" dxfId="11" priority="8" stopIfTrue="1" operator="greaterThan">
      <formula>0</formula>
    </cfRule>
  </conditionalFormatting>
  <conditionalFormatting sqref="V47:V1048576">
    <cfRule type="cellIs" dxfId="10" priority="7" stopIfTrue="1" operator="greaterThan">
      <formula>1</formula>
    </cfRule>
  </conditionalFormatting>
  <conditionalFormatting sqref="V47:V1048576">
    <cfRule type="cellIs" dxfId="9" priority="4" stopIfTrue="1" operator="greaterThan">
      <formula>1</formula>
    </cfRule>
  </conditionalFormatting>
  <conditionalFormatting sqref="U47:U1048576">
    <cfRule type="cellIs" dxfId="8" priority="5" stopIfTrue="1" operator="greaterThan">
      <formula>0</formula>
    </cfRule>
  </conditionalFormatting>
  <conditionalFormatting sqref="Q47:Q1048576">
    <cfRule type="cellIs" dxfId="7" priority="6" stopIfTrue="1" operator="lessThan">
      <formula>0</formula>
    </cfRule>
  </conditionalFormatting>
  <conditionalFormatting sqref="V5:V46">
    <cfRule type="cellIs" dxfId="6" priority="1" stopIfTrue="1" operator="greaterThan">
      <formula>1</formula>
    </cfRule>
  </conditionalFormatting>
  <conditionalFormatting sqref="U5:U46">
    <cfRule type="cellIs" dxfId="5" priority="2" stopIfTrue="1" operator="greaterThan">
      <formula>0</formula>
    </cfRule>
  </conditionalFormatting>
  <conditionalFormatting sqref="Q5:Q4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2" customWidth="1"/>
    <col min="14" max="16384" width="8.88671875" style="238"/>
  </cols>
  <sheetData>
    <row r="1" spans="1:13" ht="18.600000000000001" customHeight="1" thickBot="1" x14ac:dyDescent="0.4">
      <c r="A1" s="461" t="s">
        <v>141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</row>
    <row r="3" spans="1:13" ht="14.4" customHeight="1" thickBot="1" x14ac:dyDescent="0.35">
      <c r="A3" s="328" t="s">
        <v>142</v>
      </c>
      <c r="B3" s="329">
        <f>SUBTOTAL(9,B6:B1048576)</f>
        <v>4342058</v>
      </c>
      <c r="C3" s="330">
        <f t="shared" ref="C3:L3" si="0">SUBTOTAL(9,C6:C1048576)</f>
        <v>9</v>
      </c>
      <c r="D3" s="330">
        <f t="shared" si="0"/>
        <v>4447656</v>
      </c>
      <c r="E3" s="330">
        <f t="shared" si="0"/>
        <v>8.1013602054787768</v>
      </c>
      <c r="F3" s="330">
        <f t="shared" si="0"/>
        <v>3809635</v>
      </c>
      <c r="G3" s="333">
        <f>IF(B3&lt;&gt;0,F3/B3,"")</f>
        <v>0.87738003499722939</v>
      </c>
      <c r="H3" s="329">
        <f t="shared" si="0"/>
        <v>7091.92</v>
      </c>
      <c r="I3" s="330">
        <f t="shared" si="0"/>
        <v>1</v>
      </c>
      <c r="J3" s="330">
        <f t="shared" si="0"/>
        <v>5099.2</v>
      </c>
      <c r="K3" s="330">
        <f t="shared" si="0"/>
        <v>0.71901544292659814</v>
      </c>
      <c r="L3" s="330">
        <f t="shared" si="0"/>
        <v>38489.51</v>
      </c>
      <c r="M3" s="331">
        <f>IF(H3&lt;&gt;0,L3/H3,"")</f>
        <v>5.4272340917551247</v>
      </c>
    </row>
    <row r="4" spans="1:13" ht="14.4" customHeight="1" x14ac:dyDescent="0.3">
      <c r="A4" s="557" t="s">
        <v>105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</row>
    <row r="5" spans="1:13" s="320" customFormat="1" ht="14.4" customHeight="1" thickBot="1" x14ac:dyDescent="0.35">
      <c r="A5" s="799"/>
      <c r="B5" s="800">
        <v>2012</v>
      </c>
      <c r="C5" s="801"/>
      <c r="D5" s="801">
        <v>2013</v>
      </c>
      <c r="E5" s="801"/>
      <c r="F5" s="801">
        <v>2014</v>
      </c>
      <c r="G5" s="698" t="s">
        <v>2</v>
      </c>
      <c r="H5" s="800">
        <v>2012</v>
      </c>
      <c r="I5" s="801"/>
      <c r="J5" s="801">
        <v>2013</v>
      </c>
      <c r="K5" s="801"/>
      <c r="L5" s="801">
        <v>2014</v>
      </c>
      <c r="M5" s="698" t="s">
        <v>2</v>
      </c>
    </row>
    <row r="6" spans="1:13" ht="14.4" customHeight="1" x14ac:dyDescent="0.3">
      <c r="A6" s="637" t="s">
        <v>1726</v>
      </c>
      <c r="B6" s="699"/>
      <c r="C6" s="606"/>
      <c r="D6" s="699">
        <v>126</v>
      </c>
      <c r="E6" s="606"/>
      <c r="F6" s="699"/>
      <c r="G6" s="627"/>
      <c r="H6" s="699"/>
      <c r="I6" s="606"/>
      <c r="J6" s="699"/>
      <c r="K6" s="606"/>
      <c r="L6" s="699"/>
      <c r="M6" s="650"/>
    </row>
    <row r="7" spans="1:13" ht="14.4" customHeight="1" x14ac:dyDescent="0.3">
      <c r="A7" s="638" t="s">
        <v>2002</v>
      </c>
      <c r="B7" s="802">
        <v>554</v>
      </c>
      <c r="C7" s="612">
        <v>1</v>
      </c>
      <c r="D7" s="802"/>
      <c r="E7" s="612"/>
      <c r="F7" s="802"/>
      <c r="G7" s="628"/>
      <c r="H7" s="802"/>
      <c r="I7" s="612"/>
      <c r="J7" s="802"/>
      <c r="K7" s="612"/>
      <c r="L7" s="802"/>
      <c r="M7" s="651"/>
    </row>
    <row r="8" spans="1:13" ht="14.4" customHeight="1" x14ac:dyDescent="0.3">
      <c r="A8" s="638" t="s">
        <v>2003</v>
      </c>
      <c r="B8" s="802">
        <v>192041</v>
      </c>
      <c r="C8" s="612">
        <v>1</v>
      </c>
      <c r="D8" s="802">
        <v>133473</v>
      </c>
      <c r="E8" s="612">
        <v>0.69502345853229264</v>
      </c>
      <c r="F8" s="802">
        <v>206001</v>
      </c>
      <c r="G8" s="628">
        <v>1.0726928103894482</v>
      </c>
      <c r="H8" s="802"/>
      <c r="I8" s="612"/>
      <c r="J8" s="802"/>
      <c r="K8" s="612"/>
      <c r="L8" s="802"/>
      <c r="M8" s="651"/>
    </row>
    <row r="9" spans="1:13" ht="14.4" customHeight="1" x14ac:dyDescent="0.3">
      <c r="A9" s="638" t="s">
        <v>2004</v>
      </c>
      <c r="B9" s="802">
        <v>131640</v>
      </c>
      <c r="C9" s="612">
        <v>1</v>
      </c>
      <c r="D9" s="802">
        <v>167788</v>
      </c>
      <c r="E9" s="612">
        <v>1.2745973868125189</v>
      </c>
      <c r="F9" s="802">
        <v>151091</v>
      </c>
      <c r="G9" s="628">
        <v>1.1477590398055302</v>
      </c>
      <c r="H9" s="802"/>
      <c r="I9" s="612"/>
      <c r="J9" s="802"/>
      <c r="K9" s="612"/>
      <c r="L9" s="802"/>
      <c r="M9" s="651"/>
    </row>
    <row r="10" spans="1:13" ht="14.4" customHeight="1" x14ac:dyDescent="0.3">
      <c r="A10" s="638" t="s">
        <v>2005</v>
      </c>
      <c r="B10" s="802">
        <v>2261682</v>
      </c>
      <c r="C10" s="612">
        <v>1</v>
      </c>
      <c r="D10" s="802">
        <v>2351419</v>
      </c>
      <c r="E10" s="612">
        <v>1.0396771075686149</v>
      </c>
      <c r="F10" s="802">
        <v>1647365</v>
      </c>
      <c r="G10" s="628">
        <v>0.72838047081773649</v>
      </c>
      <c r="H10" s="802"/>
      <c r="I10" s="612"/>
      <c r="J10" s="802"/>
      <c r="K10" s="612"/>
      <c r="L10" s="802"/>
      <c r="M10" s="651"/>
    </row>
    <row r="11" spans="1:13" ht="14.4" customHeight="1" x14ac:dyDescent="0.3">
      <c r="A11" s="638" t="s">
        <v>2006</v>
      </c>
      <c r="B11" s="802">
        <v>223976</v>
      </c>
      <c r="C11" s="612">
        <v>1</v>
      </c>
      <c r="D11" s="802">
        <v>270066</v>
      </c>
      <c r="E11" s="612">
        <v>1.2057809765331999</v>
      </c>
      <c r="F11" s="802">
        <v>171852</v>
      </c>
      <c r="G11" s="628">
        <v>0.76727863699682108</v>
      </c>
      <c r="H11" s="802">
        <v>7091.92</v>
      </c>
      <c r="I11" s="612">
        <v>1</v>
      </c>
      <c r="J11" s="802">
        <v>5099.2</v>
      </c>
      <c r="K11" s="612">
        <v>0.71901544292659814</v>
      </c>
      <c r="L11" s="802">
        <v>38489.51</v>
      </c>
      <c r="M11" s="651">
        <v>5.4272340917551247</v>
      </c>
    </row>
    <row r="12" spans="1:13" ht="14.4" customHeight="1" x14ac:dyDescent="0.3">
      <c r="A12" s="638" t="s">
        <v>2007</v>
      </c>
      <c r="B12" s="802">
        <v>935011</v>
      </c>
      <c r="C12" s="612">
        <v>1</v>
      </c>
      <c r="D12" s="802">
        <v>1038050</v>
      </c>
      <c r="E12" s="612">
        <v>1.1102008425569325</v>
      </c>
      <c r="F12" s="802">
        <v>1084040</v>
      </c>
      <c r="G12" s="628">
        <v>1.1593874296666029</v>
      </c>
      <c r="H12" s="802"/>
      <c r="I12" s="612"/>
      <c r="J12" s="802"/>
      <c r="K12" s="612"/>
      <c r="L12" s="802"/>
      <c r="M12" s="651"/>
    </row>
    <row r="13" spans="1:13" ht="14.4" customHeight="1" x14ac:dyDescent="0.3">
      <c r="A13" s="638" t="s">
        <v>2008</v>
      </c>
      <c r="B13" s="802">
        <v>30917</v>
      </c>
      <c r="C13" s="612">
        <v>1</v>
      </c>
      <c r="D13" s="802">
        <v>50719</v>
      </c>
      <c r="E13" s="612">
        <v>1.6404890513309829</v>
      </c>
      <c r="F13" s="802">
        <v>42899</v>
      </c>
      <c r="G13" s="628">
        <v>1.3875537730051428</v>
      </c>
      <c r="H13" s="802"/>
      <c r="I13" s="612"/>
      <c r="J13" s="802"/>
      <c r="K13" s="612"/>
      <c r="L13" s="802"/>
      <c r="M13" s="651"/>
    </row>
    <row r="14" spans="1:13" ht="14.4" customHeight="1" x14ac:dyDescent="0.3">
      <c r="A14" s="638" t="s">
        <v>2009</v>
      </c>
      <c r="B14" s="802">
        <v>508700</v>
      </c>
      <c r="C14" s="612">
        <v>1</v>
      </c>
      <c r="D14" s="802">
        <v>417949</v>
      </c>
      <c r="E14" s="612">
        <v>0.82160212305877722</v>
      </c>
      <c r="F14" s="802">
        <v>415541</v>
      </c>
      <c r="G14" s="628">
        <v>0.81686848830351877</v>
      </c>
      <c r="H14" s="802"/>
      <c r="I14" s="612"/>
      <c r="J14" s="802"/>
      <c r="K14" s="612"/>
      <c r="L14" s="802"/>
      <c r="M14" s="651"/>
    </row>
    <row r="15" spans="1:13" ht="14.4" customHeight="1" thickBot="1" x14ac:dyDescent="0.35">
      <c r="A15" s="701" t="s">
        <v>2010</v>
      </c>
      <c r="B15" s="700">
        <v>57537</v>
      </c>
      <c r="C15" s="618">
        <v>1</v>
      </c>
      <c r="D15" s="700">
        <v>18066</v>
      </c>
      <c r="E15" s="618">
        <v>0.31398925908545805</v>
      </c>
      <c r="F15" s="700">
        <v>90846</v>
      </c>
      <c r="G15" s="629">
        <v>1.5789144376661974</v>
      </c>
      <c r="H15" s="700"/>
      <c r="I15" s="618"/>
      <c r="J15" s="700"/>
      <c r="K15" s="618"/>
      <c r="L15" s="700"/>
      <c r="M15" s="65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0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61" t="s">
        <v>2583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08"/>
      <c r="C2" s="208"/>
      <c r="D2" s="208"/>
      <c r="E2" s="20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97" t="s">
        <v>142</v>
      </c>
      <c r="F3" s="195">
        <f t="shared" ref="F3:O3" si="0">SUBTOTAL(9,F6:F1048576)</f>
        <v>40634.65</v>
      </c>
      <c r="G3" s="199">
        <f t="shared" si="0"/>
        <v>4349149.92</v>
      </c>
      <c r="H3" s="200"/>
      <c r="I3" s="200"/>
      <c r="J3" s="195">
        <f t="shared" si="0"/>
        <v>44486.76</v>
      </c>
      <c r="K3" s="199">
        <f t="shared" si="0"/>
        <v>4452755.2</v>
      </c>
      <c r="L3" s="200"/>
      <c r="M3" s="200"/>
      <c r="N3" s="195">
        <f t="shared" si="0"/>
        <v>30836.16</v>
      </c>
      <c r="O3" s="199">
        <f t="shared" si="0"/>
        <v>3848124.5100000007</v>
      </c>
      <c r="P3" s="166">
        <f>IF(G3=0,"",O3/G3)</f>
        <v>0.88479923221409684</v>
      </c>
      <c r="Q3" s="197">
        <f>IF(N3=0,"",O3/N3)</f>
        <v>124.7925977164472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17" t="s">
        <v>77</v>
      </c>
      <c r="E4" s="518" t="s">
        <v>11</v>
      </c>
      <c r="F4" s="519">
        <v>2012</v>
      </c>
      <c r="G4" s="520"/>
      <c r="H4" s="198"/>
      <c r="I4" s="198"/>
      <c r="J4" s="519">
        <v>2013</v>
      </c>
      <c r="K4" s="520"/>
      <c r="L4" s="198"/>
      <c r="M4" s="198"/>
      <c r="N4" s="519">
        <v>2014</v>
      </c>
      <c r="O4" s="520"/>
      <c r="P4" s="521" t="s">
        <v>2</v>
      </c>
      <c r="Q4" s="514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5" t="s">
        <v>1727</v>
      </c>
      <c r="B6" s="606" t="s">
        <v>2011</v>
      </c>
      <c r="C6" s="606" t="s">
        <v>1729</v>
      </c>
      <c r="D6" s="606" t="s">
        <v>2012</v>
      </c>
      <c r="E6" s="606" t="s">
        <v>2013</v>
      </c>
      <c r="F6" s="609"/>
      <c r="G6" s="609"/>
      <c r="H6" s="609"/>
      <c r="I6" s="609"/>
      <c r="J6" s="609">
        <v>2</v>
      </c>
      <c r="K6" s="609">
        <v>126</v>
      </c>
      <c r="L6" s="609"/>
      <c r="M6" s="609">
        <v>63</v>
      </c>
      <c r="N6" s="609"/>
      <c r="O6" s="609"/>
      <c r="P6" s="627"/>
      <c r="Q6" s="610"/>
    </row>
    <row r="7" spans="1:17" ht="14.4" customHeight="1" x14ac:dyDescent="0.3">
      <c r="A7" s="611" t="s">
        <v>2014</v>
      </c>
      <c r="B7" s="612" t="s">
        <v>2015</v>
      </c>
      <c r="C7" s="612" t="s">
        <v>1729</v>
      </c>
      <c r="D7" s="612" t="s">
        <v>2016</v>
      </c>
      <c r="E7" s="612" t="s">
        <v>2017</v>
      </c>
      <c r="F7" s="615">
        <v>1</v>
      </c>
      <c r="G7" s="615">
        <v>554</v>
      </c>
      <c r="H7" s="615">
        <v>1</v>
      </c>
      <c r="I7" s="615">
        <v>554</v>
      </c>
      <c r="J7" s="615"/>
      <c r="K7" s="615"/>
      <c r="L7" s="615"/>
      <c r="M7" s="615"/>
      <c r="N7" s="615"/>
      <c r="O7" s="615"/>
      <c r="P7" s="628"/>
      <c r="Q7" s="616"/>
    </row>
    <row r="8" spans="1:17" ht="14.4" customHeight="1" x14ac:dyDescent="0.3">
      <c r="A8" s="611" t="s">
        <v>2018</v>
      </c>
      <c r="B8" s="612" t="s">
        <v>2019</v>
      </c>
      <c r="C8" s="612" t="s">
        <v>1729</v>
      </c>
      <c r="D8" s="612" t="s">
        <v>2020</v>
      </c>
      <c r="E8" s="612" t="s">
        <v>2021</v>
      </c>
      <c r="F8" s="615">
        <v>6</v>
      </c>
      <c r="G8" s="615">
        <v>1770</v>
      </c>
      <c r="H8" s="615">
        <v>1</v>
      </c>
      <c r="I8" s="615">
        <v>295</v>
      </c>
      <c r="J8" s="615">
        <v>2</v>
      </c>
      <c r="K8" s="615">
        <v>594</v>
      </c>
      <c r="L8" s="615">
        <v>0.33559322033898303</v>
      </c>
      <c r="M8" s="615">
        <v>297</v>
      </c>
      <c r="N8" s="615">
        <v>5</v>
      </c>
      <c r="O8" s="615">
        <v>1497</v>
      </c>
      <c r="P8" s="628">
        <v>0.84576271186440677</v>
      </c>
      <c r="Q8" s="616">
        <v>299.39999999999998</v>
      </c>
    </row>
    <row r="9" spans="1:17" ht="14.4" customHeight="1" x14ac:dyDescent="0.3">
      <c r="A9" s="611" t="s">
        <v>2018</v>
      </c>
      <c r="B9" s="612" t="s">
        <v>2019</v>
      </c>
      <c r="C9" s="612" t="s">
        <v>1729</v>
      </c>
      <c r="D9" s="612" t="s">
        <v>2022</v>
      </c>
      <c r="E9" s="612" t="s">
        <v>2023</v>
      </c>
      <c r="F9" s="615">
        <v>5</v>
      </c>
      <c r="G9" s="615">
        <v>6180</v>
      </c>
      <c r="H9" s="615">
        <v>1</v>
      </c>
      <c r="I9" s="615">
        <v>1236</v>
      </c>
      <c r="J9" s="615">
        <v>3</v>
      </c>
      <c r="K9" s="615">
        <v>3735</v>
      </c>
      <c r="L9" s="615">
        <v>0.60436893203883491</v>
      </c>
      <c r="M9" s="615">
        <v>1245</v>
      </c>
      <c r="N9" s="615">
        <v>8</v>
      </c>
      <c r="O9" s="615">
        <v>10072</v>
      </c>
      <c r="P9" s="628">
        <v>1.6297734627831715</v>
      </c>
      <c r="Q9" s="616">
        <v>1259</v>
      </c>
    </row>
    <row r="10" spans="1:17" ht="14.4" customHeight="1" x14ac:dyDescent="0.3">
      <c r="A10" s="611" t="s">
        <v>2018</v>
      </c>
      <c r="B10" s="612" t="s">
        <v>2019</v>
      </c>
      <c r="C10" s="612" t="s">
        <v>1729</v>
      </c>
      <c r="D10" s="612" t="s">
        <v>2024</v>
      </c>
      <c r="E10" s="612" t="s">
        <v>2025</v>
      </c>
      <c r="F10" s="615">
        <v>2</v>
      </c>
      <c r="G10" s="615">
        <v>18590</v>
      </c>
      <c r="H10" s="615">
        <v>1</v>
      </c>
      <c r="I10" s="615">
        <v>9295</v>
      </c>
      <c r="J10" s="615"/>
      <c r="K10" s="615"/>
      <c r="L10" s="615"/>
      <c r="M10" s="615"/>
      <c r="N10" s="615"/>
      <c r="O10" s="615"/>
      <c r="P10" s="628"/>
      <c r="Q10" s="616"/>
    </row>
    <row r="11" spans="1:17" ht="14.4" customHeight="1" x14ac:dyDescent="0.3">
      <c r="A11" s="611" t="s">
        <v>2018</v>
      </c>
      <c r="B11" s="612" t="s">
        <v>2019</v>
      </c>
      <c r="C11" s="612" t="s">
        <v>1729</v>
      </c>
      <c r="D11" s="612" t="s">
        <v>2026</v>
      </c>
      <c r="E11" s="612" t="s">
        <v>2027</v>
      </c>
      <c r="F11" s="615">
        <v>57</v>
      </c>
      <c r="G11" s="615">
        <v>126597</v>
      </c>
      <c r="H11" s="615">
        <v>1</v>
      </c>
      <c r="I11" s="615">
        <v>2221</v>
      </c>
      <c r="J11" s="615">
        <v>52</v>
      </c>
      <c r="K11" s="615">
        <v>116116</v>
      </c>
      <c r="L11" s="615">
        <v>0.91720972850857441</v>
      </c>
      <c r="M11" s="615">
        <v>2233</v>
      </c>
      <c r="N11" s="615">
        <v>72</v>
      </c>
      <c r="O11" s="615">
        <v>161700</v>
      </c>
      <c r="P11" s="628">
        <v>1.277281452167113</v>
      </c>
      <c r="Q11" s="616">
        <v>2245.8333333333335</v>
      </c>
    </row>
    <row r="12" spans="1:17" ht="14.4" customHeight="1" x14ac:dyDescent="0.3">
      <c r="A12" s="611" t="s">
        <v>2018</v>
      </c>
      <c r="B12" s="612" t="s">
        <v>2019</v>
      </c>
      <c r="C12" s="612" t="s">
        <v>1729</v>
      </c>
      <c r="D12" s="612" t="s">
        <v>2028</v>
      </c>
      <c r="E12" s="612" t="s">
        <v>2029</v>
      </c>
      <c r="F12" s="615">
        <v>6</v>
      </c>
      <c r="G12" s="615">
        <v>38904</v>
      </c>
      <c r="H12" s="615">
        <v>1</v>
      </c>
      <c r="I12" s="615">
        <v>6484</v>
      </c>
      <c r="J12" s="615">
        <v>2</v>
      </c>
      <c r="K12" s="615">
        <v>13028</v>
      </c>
      <c r="L12" s="615">
        <v>0.33487559119884847</v>
      </c>
      <c r="M12" s="615">
        <v>6514</v>
      </c>
      <c r="N12" s="615">
        <v>5</v>
      </c>
      <c r="O12" s="615">
        <v>32732</v>
      </c>
      <c r="P12" s="628">
        <v>0.84135307423401196</v>
      </c>
      <c r="Q12" s="616">
        <v>6546.4</v>
      </c>
    </row>
    <row r="13" spans="1:17" ht="14.4" customHeight="1" x14ac:dyDescent="0.3">
      <c r="A13" s="611" t="s">
        <v>2030</v>
      </c>
      <c r="B13" s="612" t="s">
        <v>2019</v>
      </c>
      <c r="C13" s="612" t="s">
        <v>1729</v>
      </c>
      <c r="D13" s="612" t="s">
        <v>2031</v>
      </c>
      <c r="E13" s="612" t="s">
        <v>2032</v>
      </c>
      <c r="F13" s="615"/>
      <c r="G13" s="615"/>
      <c r="H13" s="615"/>
      <c r="I13" s="615"/>
      <c r="J13" s="615">
        <v>8</v>
      </c>
      <c r="K13" s="615">
        <v>184</v>
      </c>
      <c r="L13" s="615"/>
      <c r="M13" s="615">
        <v>23</v>
      </c>
      <c r="N13" s="615">
        <v>3</v>
      </c>
      <c r="O13" s="615">
        <v>69</v>
      </c>
      <c r="P13" s="628"/>
      <c r="Q13" s="616">
        <v>23</v>
      </c>
    </row>
    <row r="14" spans="1:17" ht="14.4" customHeight="1" x14ac:dyDescent="0.3">
      <c r="A14" s="611" t="s">
        <v>2030</v>
      </c>
      <c r="B14" s="612" t="s">
        <v>2019</v>
      </c>
      <c r="C14" s="612" t="s">
        <v>1729</v>
      </c>
      <c r="D14" s="612" t="s">
        <v>2022</v>
      </c>
      <c r="E14" s="612" t="s">
        <v>2023</v>
      </c>
      <c r="F14" s="615"/>
      <c r="G14" s="615"/>
      <c r="H14" s="615"/>
      <c r="I14" s="615"/>
      <c r="J14" s="615">
        <v>4</v>
      </c>
      <c r="K14" s="615">
        <v>4980</v>
      </c>
      <c r="L14" s="615"/>
      <c r="M14" s="615">
        <v>1245</v>
      </c>
      <c r="N14" s="615">
        <v>1</v>
      </c>
      <c r="O14" s="615">
        <v>1245</v>
      </c>
      <c r="P14" s="628"/>
      <c r="Q14" s="616">
        <v>1245</v>
      </c>
    </row>
    <row r="15" spans="1:17" ht="14.4" customHeight="1" x14ac:dyDescent="0.3">
      <c r="A15" s="611" t="s">
        <v>2030</v>
      </c>
      <c r="B15" s="612" t="s">
        <v>2019</v>
      </c>
      <c r="C15" s="612" t="s">
        <v>1729</v>
      </c>
      <c r="D15" s="612" t="s">
        <v>2033</v>
      </c>
      <c r="E15" s="612" t="s">
        <v>2034</v>
      </c>
      <c r="F15" s="615"/>
      <c r="G15" s="615"/>
      <c r="H15" s="615"/>
      <c r="I15" s="615"/>
      <c r="J15" s="615">
        <v>6</v>
      </c>
      <c r="K15" s="615">
        <v>2544</v>
      </c>
      <c r="L15" s="615"/>
      <c r="M15" s="615">
        <v>424</v>
      </c>
      <c r="N15" s="615">
        <v>3</v>
      </c>
      <c r="O15" s="615">
        <v>1272</v>
      </c>
      <c r="P15" s="628"/>
      <c r="Q15" s="616">
        <v>424</v>
      </c>
    </row>
    <row r="16" spans="1:17" ht="14.4" customHeight="1" x14ac:dyDescent="0.3">
      <c r="A16" s="611" t="s">
        <v>2030</v>
      </c>
      <c r="B16" s="612" t="s">
        <v>2019</v>
      </c>
      <c r="C16" s="612" t="s">
        <v>1729</v>
      </c>
      <c r="D16" s="612" t="s">
        <v>2035</v>
      </c>
      <c r="E16" s="612" t="s">
        <v>2036</v>
      </c>
      <c r="F16" s="615"/>
      <c r="G16" s="615"/>
      <c r="H16" s="615"/>
      <c r="I16" s="615"/>
      <c r="J16" s="615">
        <v>6</v>
      </c>
      <c r="K16" s="615">
        <v>6012</v>
      </c>
      <c r="L16" s="615"/>
      <c r="M16" s="615">
        <v>1002</v>
      </c>
      <c r="N16" s="615">
        <v>3</v>
      </c>
      <c r="O16" s="615">
        <v>3006</v>
      </c>
      <c r="P16" s="628"/>
      <c r="Q16" s="616">
        <v>1002</v>
      </c>
    </row>
    <row r="17" spans="1:17" ht="14.4" customHeight="1" x14ac:dyDescent="0.3">
      <c r="A17" s="611" t="s">
        <v>2030</v>
      </c>
      <c r="B17" s="612" t="s">
        <v>2019</v>
      </c>
      <c r="C17" s="612" t="s">
        <v>1729</v>
      </c>
      <c r="D17" s="612" t="s">
        <v>2026</v>
      </c>
      <c r="E17" s="612" t="s">
        <v>2027</v>
      </c>
      <c r="F17" s="615"/>
      <c r="G17" s="615"/>
      <c r="H17" s="615"/>
      <c r="I17" s="615"/>
      <c r="J17" s="615">
        <v>2</v>
      </c>
      <c r="K17" s="615">
        <v>4466</v>
      </c>
      <c r="L17" s="615"/>
      <c r="M17" s="615">
        <v>2233</v>
      </c>
      <c r="N17" s="615"/>
      <c r="O17" s="615"/>
      <c r="P17" s="628"/>
      <c r="Q17" s="616"/>
    </row>
    <row r="18" spans="1:17" ht="14.4" customHeight="1" x14ac:dyDescent="0.3">
      <c r="A18" s="611" t="s">
        <v>2030</v>
      </c>
      <c r="B18" s="612" t="s">
        <v>2037</v>
      </c>
      <c r="C18" s="612" t="s">
        <v>1729</v>
      </c>
      <c r="D18" s="612" t="s">
        <v>2038</v>
      </c>
      <c r="E18" s="612" t="s">
        <v>2039</v>
      </c>
      <c r="F18" s="615"/>
      <c r="G18" s="615"/>
      <c r="H18" s="615"/>
      <c r="I18" s="615"/>
      <c r="J18" s="615">
        <v>15</v>
      </c>
      <c r="K18" s="615">
        <v>5250</v>
      </c>
      <c r="L18" s="615"/>
      <c r="M18" s="615">
        <v>350</v>
      </c>
      <c r="N18" s="615">
        <v>17</v>
      </c>
      <c r="O18" s="615">
        <v>5960</v>
      </c>
      <c r="P18" s="628"/>
      <c r="Q18" s="616">
        <v>350.58823529411762</v>
      </c>
    </row>
    <row r="19" spans="1:17" ht="14.4" customHeight="1" x14ac:dyDescent="0.3">
      <c r="A19" s="611" t="s">
        <v>2030</v>
      </c>
      <c r="B19" s="612" t="s">
        <v>2037</v>
      </c>
      <c r="C19" s="612" t="s">
        <v>1729</v>
      </c>
      <c r="D19" s="612" t="s">
        <v>2040</v>
      </c>
      <c r="E19" s="612" t="s">
        <v>2041</v>
      </c>
      <c r="F19" s="615">
        <v>13</v>
      </c>
      <c r="G19" s="615">
        <v>832</v>
      </c>
      <c r="H19" s="615">
        <v>1</v>
      </c>
      <c r="I19" s="615">
        <v>64</v>
      </c>
      <c r="J19" s="615">
        <v>18</v>
      </c>
      <c r="K19" s="615">
        <v>1170</v>
      </c>
      <c r="L19" s="615">
        <v>1.40625</v>
      </c>
      <c r="M19" s="615">
        <v>65</v>
      </c>
      <c r="N19" s="615">
        <v>12</v>
      </c>
      <c r="O19" s="615">
        <v>780</v>
      </c>
      <c r="P19" s="628">
        <v>0.9375</v>
      </c>
      <c r="Q19" s="616">
        <v>65</v>
      </c>
    </row>
    <row r="20" spans="1:17" ht="14.4" customHeight="1" x14ac:dyDescent="0.3">
      <c r="A20" s="611" t="s">
        <v>2030</v>
      </c>
      <c r="B20" s="612" t="s">
        <v>2037</v>
      </c>
      <c r="C20" s="612" t="s">
        <v>1729</v>
      </c>
      <c r="D20" s="612" t="s">
        <v>2042</v>
      </c>
      <c r="E20" s="612" t="s">
        <v>2043</v>
      </c>
      <c r="F20" s="615"/>
      <c r="G20" s="615"/>
      <c r="H20" s="615"/>
      <c r="I20" s="615"/>
      <c r="J20" s="615">
        <v>2</v>
      </c>
      <c r="K20" s="615">
        <v>1180</v>
      </c>
      <c r="L20" s="615"/>
      <c r="M20" s="615">
        <v>590</v>
      </c>
      <c r="N20" s="615">
        <v>3</v>
      </c>
      <c r="O20" s="615">
        <v>1773</v>
      </c>
      <c r="P20" s="628"/>
      <c r="Q20" s="616">
        <v>591</v>
      </c>
    </row>
    <row r="21" spans="1:17" ht="14.4" customHeight="1" x14ac:dyDescent="0.3">
      <c r="A21" s="611" t="s">
        <v>2030</v>
      </c>
      <c r="B21" s="612" t="s">
        <v>2037</v>
      </c>
      <c r="C21" s="612" t="s">
        <v>1729</v>
      </c>
      <c r="D21" s="612" t="s">
        <v>2044</v>
      </c>
      <c r="E21" s="612" t="s">
        <v>2045</v>
      </c>
      <c r="F21" s="615"/>
      <c r="G21" s="615"/>
      <c r="H21" s="615"/>
      <c r="I21" s="615"/>
      <c r="J21" s="615">
        <v>2</v>
      </c>
      <c r="K21" s="615">
        <v>1230</v>
      </c>
      <c r="L21" s="615"/>
      <c r="M21" s="615">
        <v>615</v>
      </c>
      <c r="N21" s="615"/>
      <c r="O21" s="615"/>
      <c r="P21" s="628"/>
      <c r="Q21" s="616"/>
    </row>
    <row r="22" spans="1:17" ht="14.4" customHeight="1" x14ac:dyDescent="0.3">
      <c r="A22" s="611" t="s">
        <v>2030</v>
      </c>
      <c r="B22" s="612" t="s">
        <v>2037</v>
      </c>
      <c r="C22" s="612" t="s">
        <v>1729</v>
      </c>
      <c r="D22" s="612" t="s">
        <v>2046</v>
      </c>
      <c r="E22" s="612" t="s">
        <v>2047</v>
      </c>
      <c r="F22" s="615">
        <v>124</v>
      </c>
      <c r="G22" s="615">
        <v>2852</v>
      </c>
      <c r="H22" s="615">
        <v>1</v>
      </c>
      <c r="I22" s="615">
        <v>23</v>
      </c>
      <c r="J22" s="615">
        <v>102</v>
      </c>
      <c r="K22" s="615">
        <v>2346</v>
      </c>
      <c r="L22" s="615">
        <v>0.82258064516129037</v>
      </c>
      <c r="M22" s="615">
        <v>23</v>
      </c>
      <c r="N22" s="615">
        <v>77</v>
      </c>
      <c r="O22" s="615">
        <v>1828</v>
      </c>
      <c r="P22" s="628">
        <v>0.64095371669004209</v>
      </c>
      <c r="Q22" s="616">
        <v>23.740259740259742</v>
      </c>
    </row>
    <row r="23" spans="1:17" ht="14.4" customHeight="1" x14ac:dyDescent="0.3">
      <c r="A23" s="611" t="s">
        <v>2030</v>
      </c>
      <c r="B23" s="612" t="s">
        <v>2037</v>
      </c>
      <c r="C23" s="612" t="s">
        <v>1729</v>
      </c>
      <c r="D23" s="612" t="s">
        <v>2048</v>
      </c>
      <c r="E23" s="612" t="s">
        <v>2049</v>
      </c>
      <c r="F23" s="615">
        <v>17</v>
      </c>
      <c r="G23" s="615">
        <v>918</v>
      </c>
      <c r="H23" s="615">
        <v>1</v>
      </c>
      <c r="I23" s="615">
        <v>54</v>
      </c>
      <c r="J23" s="615">
        <v>21</v>
      </c>
      <c r="K23" s="615">
        <v>1134</v>
      </c>
      <c r="L23" s="615">
        <v>1.2352941176470589</v>
      </c>
      <c r="M23" s="615">
        <v>54</v>
      </c>
      <c r="N23" s="615">
        <v>29</v>
      </c>
      <c r="O23" s="615">
        <v>1566</v>
      </c>
      <c r="P23" s="628">
        <v>1.7058823529411764</v>
      </c>
      <c r="Q23" s="616">
        <v>54</v>
      </c>
    </row>
    <row r="24" spans="1:17" ht="14.4" customHeight="1" x14ac:dyDescent="0.3">
      <c r="A24" s="611" t="s">
        <v>2030</v>
      </c>
      <c r="B24" s="612" t="s">
        <v>2037</v>
      </c>
      <c r="C24" s="612" t="s">
        <v>1729</v>
      </c>
      <c r="D24" s="612" t="s">
        <v>2050</v>
      </c>
      <c r="E24" s="612" t="s">
        <v>2051</v>
      </c>
      <c r="F24" s="615">
        <v>70</v>
      </c>
      <c r="G24" s="615">
        <v>5390</v>
      </c>
      <c r="H24" s="615">
        <v>1</v>
      </c>
      <c r="I24" s="615">
        <v>77</v>
      </c>
      <c r="J24" s="615">
        <v>83</v>
      </c>
      <c r="K24" s="615">
        <v>6391</v>
      </c>
      <c r="L24" s="615">
        <v>1.1857142857142857</v>
      </c>
      <c r="M24" s="615">
        <v>77</v>
      </c>
      <c r="N24" s="615">
        <v>90</v>
      </c>
      <c r="O24" s="615">
        <v>6930</v>
      </c>
      <c r="P24" s="628">
        <v>1.2857142857142858</v>
      </c>
      <c r="Q24" s="616">
        <v>77</v>
      </c>
    </row>
    <row r="25" spans="1:17" ht="14.4" customHeight="1" x14ac:dyDescent="0.3">
      <c r="A25" s="611" t="s">
        <v>2030</v>
      </c>
      <c r="B25" s="612" t="s">
        <v>2037</v>
      </c>
      <c r="C25" s="612" t="s">
        <v>1729</v>
      </c>
      <c r="D25" s="612" t="s">
        <v>2052</v>
      </c>
      <c r="E25" s="612" t="s">
        <v>2053</v>
      </c>
      <c r="F25" s="615">
        <v>1835</v>
      </c>
      <c r="G25" s="615">
        <v>40370</v>
      </c>
      <c r="H25" s="615">
        <v>1</v>
      </c>
      <c r="I25" s="615">
        <v>22</v>
      </c>
      <c r="J25" s="615">
        <v>1689</v>
      </c>
      <c r="K25" s="615">
        <v>37158</v>
      </c>
      <c r="L25" s="615">
        <v>0.92043596730245236</v>
      </c>
      <c r="M25" s="615">
        <v>22</v>
      </c>
      <c r="N25" s="615">
        <v>1566</v>
      </c>
      <c r="O25" s="615">
        <v>35547</v>
      </c>
      <c r="P25" s="628">
        <v>0.88053009660639092</v>
      </c>
      <c r="Q25" s="616">
        <v>22.699233716475096</v>
      </c>
    </row>
    <row r="26" spans="1:17" ht="14.4" customHeight="1" x14ac:dyDescent="0.3">
      <c r="A26" s="611" t="s">
        <v>2030</v>
      </c>
      <c r="B26" s="612" t="s">
        <v>2037</v>
      </c>
      <c r="C26" s="612" t="s">
        <v>1729</v>
      </c>
      <c r="D26" s="612" t="s">
        <v>2054</v>
      </c>
      <c r="E26" s="612" t="s">
        <v>2055</v>
      </c>
      <c r="F26" s="615">
        <v>2</v>
      </c>
      <c r="G26" s="615">
        <v>190</v>
      </c>
      <c r="H26" s="615">
        <v>1</v>
      </c>
      <c r="I26" s="615">
        <v>95</v>
      </c>
      <c r="J26" s="615">
        <v>2</v>
      </c>
      <c r="K26" s="615">
        <v>192</v>
      </c>
      <c r="L26" s="615">
        <v>1.0105263157894737</v>
      </c>
      <c r="M26" s="615">
        <v>96</v>
      </c>
      <c r="N26" s="615"/>
      <c r="O26" s="615"/>
      <c r="P26" s="628"/>
      <c r="Q26" s="616"/>
    </row>
    <row r="27" spans="1:17" ht="14.4" customHeight="1" x14ac:dyDescent="0.3">
      <c r="A27" s="611" t="s">
        <v>2030</v>
      </c>
      <c r="B27" s="612" t="s">
        <v>2037</v>
      </c>
      <c r="C27" s="612" t="s">
        <v>1729</v>
      </c>
      <c r="D27" s="612" t="s">
        <v>2056</v>
      </c>
      <c r="E27" s="612" t="s">
        <v>2057</v>
      </c>
      <c r="F27" s="615"/>
      <c r="G27" s="615"/>
      <c r="H27" s="615"/>
      <c r="I27" s="615"/>
      <c r="J27" s="615">
        <v>1</v>
      </c>
      <c r="K27" s="615">
        <v>627</v>
      </c>
      <c r="L27" s="615"/>
      <c r="M27" s="615">
        <v>627</v>
      </c>
      <c r="N27" s="615"/>
      <c r="O27" s="615"/>
      <c r="P27" s="628"/>
      <c r="Q27" s="616"/>
    </row>
    <row r="28" spans="1:17" ht="14.4" customHeight="1" x14ac:dyDescent="0.3">
      <c r="A28" s="611" t="s">
        <v>2030</v>
      </c>
      <c r="B28" s="612" t="s">
        <v>2037</v>
      </c>
      <c r="C28" s="612" t="s">
        <v>1729</v>
      </c>
      <c r="D28" s="612" t="s">
        <v>2058</v>
      </c>
      <c r="E28" s="612" t="s">
        <v>2059</v>
      </c>
      <c r="F28" s="615">
        <v>21</v>
      </c>
      <c r="G28" s="615">
        <v>4389</v>
      </c>
      <c r="H28" s="615">
        <v>1</v>
      </c>
      <c r="I28" s="615">
        <v>209</v>
      </c>
      <c r="J28" s="615">
        <v>24</v>
      </c>
      <c r="K28" s="615">
        <v>5016</v>
      </c>
      <c r="L28" s="615">
        <v>1.1428571428571428</v>
      </c>
      <c r="M28" s="615">
        <v>209</v>
      </c>
      <c r="N28" s="615"/>
      <c r="O28" s="615"/>
      <c r="P28" s="628"/>
      <c r="Q28" s="616"/>
    </row>
    <row r="29" spans="1:17" ht="14.4" customHeight="1" x14ac:dyDescent="0.3">
      <c r="A29" s="611" t="s">
        <v>2030</v>
      </c>
      <c r="B29" s="612" t="s">
        <v>2037</v>
      </c>
      <c r="C29" s="612" t="s">
        <v>1729</v>
      </c>
      <c r="D29" s="612" t="s">
        <v>2060</v>
      </c>
      <c r="E29" s="612" t="s">
        <v>2061</v>
      </c>
      <c r="F29" s="615">
        <v>123</v>
      </c>
      <c r="G29" s="615">
        <v>8118</v>
      </c>
      <c r="H29" s="615">
        <v>1</v>
      </c>
      <c r="I29" s="615">
        <v>66</v>
      </c>
      <c r="J29" s="615">
        <v>98</v>
      </c>
      <c r="K29" s="615">
        <v>6468</v>
      </c>
      <c r="L29" s="615">
        <v>0.7967479674796748</v>
      </c>
      <c r="M29" s="615">
        <v>66</v>
      </c>
      <c r="N29" s="615">
        <v>130</v>
      </c>
      <c r="O29" s="615">
        <v>8580</v>
      </c>
      <c r="P29" s="628">
        <v>1.056910569105691</v>
      </c>
      <c r="Q29" s="616">
        <v>66</v>
      </c>
    </row>
    <row r="30" spans="1:17" ht="14.4" customHeight="1" x14ac:dyDescent="0.3">
      <c r="A30" s="611" t="s">
        <v>2030</v>
      </c>
      <c r="B30" s="612" t="s">
        <v>2037</v>
      </c>
      <c r="C30" s="612" t="s">
        <v>1729</v>
      </c>
      <c r="D30" s="612" t="s">
        <v>2062</v>
      </c>
      <c r="E30" s="612" t="s">
        <v>2063</v>
      </c>
      <c r="F30" s="615">
        <v>1667</v>
      </c>
      <c r="G30" s="615">
        <v>38341</v>
      </c>
      <c r="H30" s="615">
        <v>1</v>
      </c>
      <c r="I30" s="615">
        <v>23</v>
      </c>
      <c r="J30" s="615">
        <v>1547</v>
      </c>
      <c r="K30" s="615">
        <v>37128</v>
      </c>
      <c r="L30" s="615">
        <v>0.9683628491692966</v>
      </c>
      <c r="M30" s="615">
        <v>24</v>
      </c>
      <c r="N30" s="615">
        <v>1466</v>
      </c>
      <c r="O30" s="615">
        <v>35184</v>
      </c>
      <c r="P30" s="628">
        <v>0.91765994627161529</v>
      </c>
      <c r="Q30" s="616">
        <v>24</v>
      </c>
    </row>
    <row r="31" spans="1:17" ht="14.4" customHeight="1" x14ac:dyDescent="0.3">
      <c r="A31" s="611" t="s">
        <v>2030</v>
      </c>
      <c r="B31" s="612" t="s">
        <v>2037</v>
      </c>
      <c r="C31" s="612" t="s">
        <v>1729</v>
      </c>
      <c r="D31" s="612" t="s">
        <v>2064</v>
      </c>
      <c r="E31" s="612" t="s">
        <v>2065</v>
      </c>
      <c r="F31" s="615"/>
      <c r="G31" s="615"/>
      <c r="H31" s="615"/>
      <c r="I31" s="615"/>
      <c r="J31" s="615">
        <v>2</v>
      </c>
      <c r="K31" s="615">
        <v>1476</v>
      </c>
      <c r="L31" s="615"/>
      <c r="M31" s="615">
        <v>738</v>
      </c>
      <c r="N31" s="615">
        <v>2</v>
      </c>
      <c r="O31" s="615">
        <v>1477</v>
      </c>
      <c r="P31" s="628"/>
      <c r="Q31" s="616">
        <v>738.5</v>
      </c>
    </row>
    <row r="32" spans="1:17" ht="14.4" customHeight="1" x14ac:dyDescent="0.3">
      <c r="A32" s="611" t="s">
        <v>2030</v>
      </c>
      <c r="B32" s="612" t="s">
        <v>2037</v>
      </c>
      <c r="C32" s="612" t="s">
        <v>1729</v>
      </c>
      <c r="D32" s="612" t="s">
        <v>2066</v>
      </c>
      <c r="E32" s="612" t="s">
        <v>2067</v>
      </c>
      <c r="F32" s="615">
        <v>23</v>
      </c>
      <c r="G32" s="615">
        <v>4140</v>
      </c>
      <c r="H32" s="615">
        <v>1</v>
      </c>
      <c r="I32" s="615">
        <v>180</v>
      </c>
      <c r="J32" s="615">
        <v>31</v>
      </c>
      <c r="K32" s="615">
        <v>5580</v>
      </c>
      <c r="L32" s="615">
        <v>1.3478260869565217</v>
      </c>
      <c r="M32" s="615">
        <v>180</v>
      </c>
      <c r="N32" s="615">
        <v>32</v>
      </c>
      <c r="O32" s="615">
        <v>5760</v>
      </c>
      <c r="P32" s="628">
        <v>1.3913043478260869</v>
      </c>
      <c r="Q32" s="616">
        <v>180</v>
      </c>
    </row>
    <row r="33" spans="1:17" ht="14.4" customHeight="1" x14ac:dyDescent="0.3">
      <c r="A33" s="611" t="s">
        <v>2030</v>
      </c>
      <c r="B33" s="612" t="s">
        <v>2037</v>
      </c>
      <c r="C33" s="612" t="s">
        <v>1729</v>
      </c>
      <c r="D33" s="612" t="s">
        <v>2068</v>
      </c>
      <c r="E33" s="612" t="s">
        <v>2069</v>
      </c>
      <c r="F33" s="615">
        <v>19</v>
      </c>
      <c r="G33" s="615">
        <v>4807</v>
      </c>
      <c r="H33" s="615">
        <v>1</v>
      </c>
      <c r="I33" s="615">
        <v>253</v>
      </c>
      <c r="J33" s="615">
        <v>22</v>
      </c>
      <c r="K33" s="615">
        <v>5566</v>
      </c>
      <c r="L33" s="615">
        <v>1.1578947368421053</v>
      </c>
      <c r="M33" s="615">
        <v>253</v>
      </c>
      <c r="N33" s="615">
        <v>68</v>
      </c>
      <c r="O33" s="615">
        <v>17204</v>
      </c>
      <c r="P33" s="628">
        <v>3.5789473684210527</v>
      </c>
      <c r="Q33" s="616">
        <v>253</v>
      </c>
    </row>
    <row r="34" spans="1:17" ht="14.4" customHeight="1" x14ac:dyDescent="0.3">
      <c r="A34" s="611" t="s">
        <v>2030</v>
      </c>
      <c r="B34" s="612" t="s">
        <v>2037</v>
      </c>
      <c r="C34" s="612" t="s">
        <v>1729</v>
      </c>
      <c r="D34" s="612" t="s">
        <v>2070</v>
      </c>
      <c r="E34" s="612" t="s">
        <v>2071</v>
      </c>
      <c r="F34" s="615"/>
      <c r="G34" s="615"/>
      <c r="H34" s="615"/>
      <c r="I34" s="615"/>
      <c r="J34" s="615">
        <v>2</v>
      </c>
      <c r="K34" s="615">
        <v>528</v>
      </c>
      <c r="L34" s="615"/>
      <c r="M34" s="615">
        <v>264</v>
      </c>
      <c r="N34" s="615"/>
      <c r="O34" s="615"/>
      <c r="P34" s="628"/>
      <c r="Q34" s="616"/>
    </row>
    <row r="35" spans="1:17" ht="14.4" customHeight="1" x14ac:dyDescent="0.3">
      <c r="A35" s="611" t="s">
        <v>2030</v>
      </c>
      <c r="B35" s="612" t="s">
        <v>2037</v>
      </c>
      <c r="C35" s="612" t="s">
        <v>1729</v>
      </c>
      <c r="D35" s="612" t="s">
        <v>2072</v>
      </c>
      <c r="E35" s="612" t="s">
        <v>2073</v>
      </c>
      <c r="F35" s="615">
        <v>38</v>
      </c>
      <c r="G35" s="615">
        <v>8208</v>
      </c>
      <c r="H35" s="615">
        <v>1</v>
      </c>
      <c r="I35" s="615">
        <v>216</v>
      </c>
      <c r="J35" s="615">
        <v>42</v>
      </c>
      <c r="K35" s="615">
        <v>9072</v>
      </c>
      <c r="L35" s="615">
        <v>1.1052631578947369</v>
      </c>
      <c r="M35" s="615">
        <v>216</v>
      </c>
      <c r="N35" s="615">
        <v>35</v>
      </c>
      <c r="O35" s="615">
        <v>7560</v>
      </c>
      <c r="P35" s="628">
        <v>0.92105263157894735</v>
      </c>
      <c r="Q35" s="616">
        <v>216</v>
      </c>
    </row>
    <row r="36" spans="1:17" ht="14.4" customHeight="1" x14ac:dyDescent="0.3">
      <c r="A36" s="611" t="s">
        <v>2030</v>
      </c>
      <c r="B36" s="612" t="s">
        <v>2037</v>
      </c>
      <c r="C36" s="612" t="s">
        <v>1729</v>
      </c>
      <c r="D36" s="612" t="s">
        <v>2074</v>
      </c>
      <c r="E36" s="612" t="s">
        <v>2075</v>
      </c>
      <c r="F36" s="615">
        <v>1</v>
      </c>
      <c r="G36" s="615">
        <v>35</v>
      </c>
      <c r="H36" s="615">
        <v>1</v>
      </c>
      <c r="I36" s="615">
        <v>35</v>
      </c>
      <c r="J36" s="615"/>
      <c r="K36" s="615"/>
      <c r="L36" s="615"/>
      <c r="M36" s="615"/>
      <c r="N36" s="615"/>
      <c r="O36" s="615"/>
      <c r="P36" s="628"/>
      <c r="Q36" s="616"/>
    </row>
    <row r="37" spans="1:17" ht="14.4" customHeight="1" x14ac:dyDescent="0.3">
      <c r="A37" s="611" t="s">
        <v>2030</v>
      </c>
      <c r="B37" s="612" t="s">
        <v>2037</v>
      </c>
      <c r="C37" s="612" t="s">
        <v>1729</v>
      </c>
      <c r="D37" s="612" t="s">
        <v>2076</v>
      </c>
      <c r="E37" s="612" t="s">
        <v>2077</v>
      </c>
      <c r="F37" s="615"/>
      <c r="G37" s="615"/>
      <c r="H37" s="615"/>
      <c r="I37" s="615"/>
      <c r="J37" s="615">
        <v>2</v>
      </c>
      <c r="K37" s="615">
        <v>1180</v>
      </c>
      <c r="L37" s="615"/>
      <c r="M37" s="615">
        <v>590</v>
      </c>
      <c r="N37" s="615"/>
      <c r="O37" s="615"/>
      <c r="P37" s="628"/>
      <c r="Q37" s="616"/>
    </row>
    <row r="38" spans="1:17" ht="14.4" customHeight="1" x14ac:dyDescent="0.3">
      <c r="A38" s="611" t="s">
        <v>2030</v>
      </c>
      <c r="B38" s="612" t="s">
        <v>2037</v>
      </c>
      <c r="C38" s="612" t="s">
        <v>1729</v>
      </c>
      <c r="D38" s="612" t="s">
        <v>2078</v>
      </c>
      <c r="E38" s="612" t="s">
        <v>2079</v>
      </c>
      <c r="F38" s="615">
        <v>261</v>
      </c>
      <c r="G38" s="615">
        <v>13050</v>
      </c>
      <c r="H38" s="615">
        <v>1</v>
      </c>
      <c r="I38" s="615">
        <v>50</v>
      </c>
      <c r="J38" s="615">
        <v>281</v>
      </c>
      <c r="K38" s="615">
        <v>14050</v>
      </c>
      <c r="L38" s="615">
        <v>1.0766283524904214</v>
      </c>
      <c r="M38" s="615">
        <v>50</v>
      </c>
      <c r="N38" s="615">
        <v>273</v>
      </c>
      <c r="O38" s="615">
        <v>13650</v>
      </c>
      <c r="P38" s="628">
        <v>1.0459770114942528</v>
      </c>
      <c r="Q38" s="616">
        <v>50</v>
      </c>
    </row>
    <row r="39" spans="1:17" ht="14.4" customHeight="1" x14ac:dyDescent="0.3">
      <c r="A39" s="611" t="s">
        <v>2030</v>
      </c>
      <c r="B39" s="612" t="s">
        <v>2037</v>
      </c>
      <c r="C39" s="612" t="s">
        <v>1729</v>
      </c>
      <c r="D39" s="612" t="s">
        <v>2080</v>
      </c>
      <c r="E39" s="612" t="s">
        <v>2081</v>
      </c>
      <c r="F39" s="615"/>
      <c r="G39" s="615"/>
      <c r="H39" s="615"/>
      <c r="I39" s="615"/>
      <c r="J39" s="615">
        <v>2</v>
      </c>
      <c r="K39" s="615">
        <v>1090</v>
      </c>
      <c r="L39" s="615"/>
      <c r="M39" s="615">
        <v>545</v>
      </c>
      <c r="N39" s="615"/>
      <c r="O39" s="615"/>
      <c r="P39" s="628"/>
      <c r="Q39" s="616"/>
    </row>
    <row r="40" spans="1:17" ht="14.4" customHeight="1" x14ac:dyDescent="0.3">
      <c r="A40" s="611" t="s">
        <v>2030</v>
      </c>
      <c r="B40" s="612" t="s">
        <v>2037</v>
      </c>
      <c r="C40" s="612" t="s">
        <v>1729</v>
      </c>
      <c r="D40" s="612" t="s">
        <v>2082</v>
      </c>
      <c r="E40" s="612" t="s">
        <v>2083</v>
      </c>
      <c r="F40" s="615"/>
      <c r="G40" s="615"/>
      <c r="H40" s="615"/>
      <c r="I40" s="615"/>
      <c r="J40" s="615">
        <v>2</v>
      </c>
      <c r="K40" s="615">
        <v>1468</v>
      </c>
      <c r="L40" s="615"/>
      <c r="M40" s="615">
        <v>734</v>
      </c>
      <c r="N40" s="615">
        <v>2</v>
      </c>
      <c r="O40" s="615">
        <v>1469</v>
      </c>
      <c r="P40" s="628"/>
      <c r="Q40" s="616">
        <v>734.5</v>
      </c>
    </row>
    <row r="41" spans="1:17" ht="14.4" customHeight="1" x14ac:dyDescent="0.3">
      <c r="A41" s="611" t="s">
        <v>2030</v>
      </c>
      <c r="B41" s="612" t="s">
        <v>2037</v>
      </c>
      <c r="C41" s="612" t="s">
        <v>1729</v>
      </c>
      <c r="D41" s="612" t="s">
        <v>2084</v>
      </c>
      <c r="E41" s="612" t="s">
        <v>2085</v>
      </c>
      <c r="F41" s="615"/>
      <c r="G41" s="615"/>
      <c r="H41" s="615"/>
      <c r="I41" s="615"/>
      <c r="J41" s="615">
        <v>2</v>
      </c>
      <c r="K41" s="615">
        <v>688</v>
      </c>
      <c r="L41" s="615"/>
      <c r="M41" s="615">
        <v>344</v>
      </c>
      <c r="N41" s="615"/>
      <c r="O41" s="615"/>
      <c r="P41" s="628"/>
      <c r="Q41" s="616"/>
    </row>
    <row r="42" spans="1:17" ht="14.4" customHeight="1" x14ac:dyDescent="0.3">
      <c r="A42" s="611" t="s">
        <v>2030</v>
      </c>
      <c r="B42" s="612" t="s">
        <v>2037</v>
      </c>
      <c r="C42" s="612" t="s">
        <v>1729</v>
      </c>
      <c r="D42" s="612" t="s">
        <v>2086</v>
      </c>
      <c r="E42" s="612" t="s">
        <v>2087</v>
      </c>
      <c r="F42" s="615"/>
      <c r="G42" s="615"/>
      <c r="H42" s="615"/>
      <c r="I42" s="615"/>
      <c r="J42" s="615"/>
      <c r="K42" s="615"/>
      <c r="L42" s="615"/>
      <c r="M42" s="615"/>
      <c r="N42" s="615">
        <v>1</v>
      </c>
      <c r="O42" s="615">
        <v>231</v>
      </c>
      <c r="P42" s="628"/>
      <c r="Q42" s="616">
        <v>231</v>
      </c>
    </row>
    <row r="43" spans="1:17" ht="14.4" customHeight="1" x14ac:dyDescent="0.3">
      <c r="A43" s="611" t="s">
        <v>2030</v>
      </c>
      <c r="B43" s="612" t="s">
        <v>2037</v>
      </c>
      <c r="C43" s="612" t="s">
        <v>1729</v>
      </c>
      <c r="D43" s="612" t="s">
        <v>2088</v>
      </c>
      <c r="E43" s="612" t="s">
        <v>2089</v>
      </c>
      <c r="F43" s="615"/>
      <c r="G43" s="615"/>
      <c r="H43" s="615"/>
      <c r="I43" s="615"/>
      <c r="J43" s="615">
        <v>2</v>
      </c>
      <c r="K43" s="615">
        <v>1830</v>
      </c>
      <c r="L43" s="615"/>
      <c r="M43" s="615">
        <v>915</v>
      </c>
      <c r="N43" s="615"/>
      <c r="O43" s="615"/>
      <c r="P43" s="628"/>
      <c r="Q43" s="616"/>
    </row>
    <row r="44" spans="1:17" ht="14.4" customHeight="1" x14ac:dyDescent="0.3">
      <c r="A44" s="611" t="s">
        <v>2030</v>
      </c>
      <c r="B44" s="612" t="s">
        <v>2037</v>
      </c>
      <c r="C44" s="612" t="s">
        <v>1729</v>
      </c>
      <c r="D44" s="612" t="s">
        <v>2090</v>
      </c>
      <c r="E44" s="612" t="s">
        <v>2091</v>
      </c>
      <c r="F44" s="615"/>
      <c r="G44" s="615"/>
      <c r="H44" s="615"/>
      <c r="I44" s="615"/>
      <c r="J44" s="615">
        <v>2</v>
      </c>
      <c r="K44" s="615">
        <v>1784</v>
      </c>
      <c r="L44" s="615"/>
      <c r="M44" s="615">
        <v>892</v>
      </c>
      <c r="N44" s="615"/>
      <c r="O44" s="615"/>
      <c r="P44" s="628"/>
      <c r="Q44" s="616"/>
    </row>
    <row r="45" spans="1:17" ht="14.4" customHeight="1" x14ac:dyDescent="0.3">
      <c r="A45" s="611" t="s">
        <v>2092</v>
      </c>
      <c r="B45" s="612" t="s">
        <v>2093</v>
      </c>
      <c r="C45" s="612" t="s">
        <v>1729</v>
      </c>
      <c r="D45" s="612" t="s">
        <v>2094</v>
      </c>
      <c r="E45" s="612" t="s">
        <v>2095</v>
      </c>
      <c r="F45" s="615">
        <v>127</v>
      </c>
      <c r="G45" s="615">
        <v>3429</v>
      </c>
      <c r="H45" s="615">
        <v>1</v>
      </c>
      <c r="I45" s="615">
        <v>27</v>
      </c>
      <c r="J45" s="615">
        <v>77</v>
      </c>
      <c r="K45" s="615">
        <v>2079</v>
      </c>
      <c r="L45" s="615">
        <v>0.60629921259842523</v>
      </c>
      <c r="M45" s="615">
        <v>27</v>
      </c>
      <c r="N45" s="615">
        <v>63</v>
      </c>
      <c r="O45" s="615">
        <v>1701</v>
      </c>
      <c r="P45" s="628">
        <v>0.49606299212598426</v>
      </c>
      <c r="Q45" s="616">
        <v>27</v>
      </c>
    </row>
    <row r="46" spans="1:17" ht="14.4" customHeight="1" x14ac:dyDescent="0.3">
      <c r="A46" s="611" t="s">
        <v>2092</v>
      </c>
      <c r="B46" s="612" t="s">
        <v>2093</v>
      </c>
      <c r="C46" s="612" t="s">
        <v>1729</v>
      </c>
      <c r="D46" s="612" t="s">
        <v>2096</v>
      </c>
      <c r="E46" s="612" t="s">
        <v>2097</v>
      </c>
      <c r="F46" s="615">
        <v>5</v>
      </c>
      <c r="G46" s="615">
        <v>270</v>
      </c>
      <c r="H46" s="615">
        <v>1</v>
      </c>
      <c r="I46" s="615">
        <v>54</v>
      </c>
      <c r="J46" s="615">
        <v>1</v>
      </c>
      <c r="K46" s="615">
        <v>54</v>
      </c>
      <c r="L46" s="615">
        <v>0.2</v>
      </c>
      <c r="M46" s="615">
        <v>54</v>
      </c>
      <c r="N46" s="615"/>
      <c r="O46" s="615"/>
      <c r="P46" s="628"/>
      <c r="Q46" s="616"/>
    </row>
    <row r="47" spans="1:17" ht="14.4" customHeight="1" x14ac:dyDescent="0.3">
      <c r="A47" s="611" t="s">
        <v>2092</v>
      </c>
      <c r="B47" s="612" t="s">
        <v>2093</v>
      </c>
      <c r="C47" s="612" t="s">
        <v>1729</v>
      </c>
      <c r="D47" s="612" t="s">
        <v>2098</v>
      </c>
      <c r="E47" s="612" t="s">
        <v>2099</v>
      </c>
      <c r="F47" s="615">
        <v>6</v>
      </c>
      <c r="G47" s="615">
        <v>144</v>
      </c>
      <c r="H47" s="615">
        <v>1</v>
      </c>
      <c r="I47" s="615">
        <v>24</v>
      </c>
      <c r="J47" s="615">
        <v>4</v>
      </c>
      <c r="K47" s="615">
        <v>96</v>
      </c>
      <c r="L47" s="615">
        <v>0.66666666666666663</v>
      </c>
      <c r="M47" s="615">
        <v>24</v>
      </c>
      <c r="N47" s="615">
        <v>1</v>
      </c>
      <c r="O47" s="615">
        <v>24</v>
      </c>
      <c r="P47" s="628">
        <v>0.16666666666666666</v>
      </c>
      <c r="Q47" s="616">
        <v>24</v>
      </c>
    </row>
    <row r="48" spans="1:17" ht="14.4" customHeight="1" x14ac:dyDescent="0.3">
      <c r="A48" s="611" t="s">
        <v>2092</v>
      </c>
      <c r="B48" s="612" t="s">
        <v>2093</v>
      </c>
      <c r="C48" s="612" t="s">
        <v>1729</v>
      </c>
      <c r="D48" s="612" t="s">
        <v>2100</v>
      </c>
      <c r="E48" s="612" t="s">
        <v>2101</v>
      </c>
      <c r="F48" s="615">
        <v>184</v>
      </c>
      <c r="G48" s="615">
        <v>4968</v>
      </c>
      <c r="H48" s="615">
        <v>1</v>
      </c>
      <c r="I48" s="615">
        <v>27</v>
      </c>
      <c r="J48" s="615">
        <v>128</v>
      </c>
      <c r="K48" s="615">
        <v>3456</v>
      </c>
      <c r="L48" s="615">
        <v>0.69565217391304346</v>
      </c>
      <c r="M48" s="615">
        <v>27</v>
      </c>
      <c r="N48" s="615">
        <v>85</v>
      </c>
      <c r="O48" s="615">
        <v>2295</v>
      </c>
      <c r="P48" s="628">
        <v>0.46195652173913043</v>
      </c>
      <c r="Q48" s="616">
        <v>27</v>
      </c>
    </row>
    <row r="49" spans="1:17" ht="14.4" customHeight="1" x14ac:dyDescent="0.3">
      <c r="A49" s="611" t="s">
        <v>2092</v>
      </c>
      <c r="B49" s="612" t="s">
        <v>2093</v>
      </c>
      <c r="C49" s="612" t="s">
        <v>1729</v>
      </c>
      <c r="D49" s="612" t="s">
        <v>2102</v>
      </c>
      <c r="E49" s="612" t="s">
        <v>2103</v>
      </c>
      <c r="F49" s="615">
        <v>4348</v>
      </c>
      <c r="G49" s="615">
        <v>243488</v>
      </c>
      <c r="H49" s="615">
        <v>1</v>
      </c>
      <c r="I49" s="615">
        <v>56</v>
      </c>
      <c r="J49" s="615">
        <v>4735</v>
      </c>
      <c r="K49" s="615">
        <v>265160</v>
      </c>
      <c r="L49" s="615">
        <v>1.0890064397424104</v>
      </c>
      <c r="M49" s="615">
        <v>56</v>
      </c>
      <c r="N49" s="615">
        <v>759</v>
      </c>
      <c r="O49" s="615">
        <v>42515</v>
      </c>
      <c r="P49" s="628">
        <v>0.17460819424365884</v>
      </c>
      <c r="Q49" s="616">
        <v>56.014492753623188</v>
      </c>
    </row>
    <row r="50" spans="1:17" ht="14.4" customHeight="1" x14ac:dyDescent="0.3">
      <c r="A50" s="611" t="s">
        <v>2092</v>
      </c>
      <c r="B50" s="612" t="s">
        <v>2093</v>
      </c>
      <c r="C50" s="612" t="s">
        <v>1729</v>
      </c>
      <c r="D50" s="612" t="s">
        <v>2104</v>
      </c>
      <c r="E50" s="612" t="s">
        <v>2105</v>
      </c>
      <c r="F50" s="615">
        <v>15</v>
      </c>
      <c r="G50" s="615">
        <v>405</v>
      </c>
      <c r="H50" s="615">
        <v>1</v>
      </c>
      <c r="I50" s="615">
        <v>27</v>
      </c>
      <c r="J50" s="615">
        <v>16</v>
      </c>
      <c r="K50" s="615">
        <v>432</v>
      </c>
      <c r="L50" s="615">
        <v>1.0666666666666667</v>
      </c>
      <c r="M50" s="615">
        <v>27</v>
      </c>
      <c r="N50" s="615">
        <v>9</v>
      </c>
      <c r="O50" s="615">
        <v>243</v>
      </c>
      <c r="P50" s="628">
        <v>0.6</v>
      </c>
      <c r="Q50" s="616">
        <v>27</v>
      </c>
    </row>
    <row r="51" spans="1:17" ht="14.4" customHeight="1" x14ac:dyDescent="0.3">
      <c r="A51" s="611" t="s">
        <v>2092</v>
      </c>
      <c r="B51" s="612" t="s">
        <v>2093</v>
      </c>
      <c r="C51" s="612" t="s">
        <v>1729</v>
      </c>
      <c r="D51" s="612" t="s">
        <v>2106</v>
      </c>
      <c r="E51" s="612" t="s">
        <v>2107</v>
      </c>
      <c r="F51" s="615">
        <v>27</v>
      </c>
      <c r="G51" s="615">
        <v>594</v>
      </c>
      <c r="H51" s="615">
        <v>1</v>
      </c>
      <c r="I51" s="615">
        <v>22</v>
      </c>
      <c r="J51" s="615">
        <v>22</v>
      </c>
      <c r="K51" s="615">
        <v>484</v>
      </c>
      <c r="L51" s="615">
        <v>0.81481481481481477</v>
      </c>
      <c r="M51" s="615">
        <v>22</v>
      </c>
      <c r="N51" s="615">
        <v>1759</v>
      </c>
      <c r="O51" s="615">
        <v>38698</v>
      </c>
      <c r="P51" s="628">
        <v>65.148148148148152</v>
      </c>
      <c r="Q51" s="616">
        <v>22</v>
      </c>
    </row>
    <row r="52" spans="1:17" ht="14.4" customHeight="1" x14ac:dyDescent="0.3">
      <c r="A52" s="611" t="s">
        <v>2092</v>
      </c>
      <c r="B52" s="612" t="s">
        <v>2093</v>
      </c>
      <c r="C52" s="612" t="s">
        <v>1729</v>
      </c>
      <c r="D52" s="612" t="s">
        <v>2108</v>
      </c>
      <c r="E52" s="612" t="s">
        <v>2109</v>
      </c>
      <c r="F52" s="615">
        <v>1</v>
      </c>
      <c r="G52" s="615">
        <v>68</v>
      </c>
      <c r="H52" s="615">
        <v>1</v>
      </c>
      <c r="I52" s="615">
        <v>68</v>
      </c>
      <c r="J52" s="615"/>
      <c r="K52" s="615"/>
      <c r="L52" s="615"/>
      <c r="M52" s="615"/>
      <c r="N52" s="615"/>
      <c r="O52" s="615"/>
      <c r="P52" s="628"/>
      <c r="Q52" s="616"/>
    </row>
    <row r="53" spans="1:17" ht="14.4" customHeight="1" x14ac:dyDescent="0.3">
      <c r="A53" s="611" t="s">
        <v>2092</v>
      </c>
      <c r="B53" s="612" t="s">
        <v>2093</v>
      </c>
      <c r="C53" s="612" t="s">
        <v>1729</v>
      </c>
      <c r="D53" s="612" t="s">
        <v>2110</v>
      </c>
      <c r="E53" s="612" t="s">
        <v>2111</v>
      </c>
      <c r="F53" s="615">
        <v>1</v>
      </c>
      <c r="G53" s="615">
        <v>62</v>
      </c>
      <c r="H53" s="615">
        <v>1</v>
      </c>
      <c r="I53" s="615">
        <v>62</v>
      </c>
      <c r="J53" s="615">
        <v>3</v>
      </c>
      <c r="K53" s="615">
        <v>186</v>
      </c>
      <c r="L53" s="615">
        <v>3</v>
      </c>
      <c r="M53" s="615">
        <v>62</v>
      </c>
      <c r="N53" s="615"/>
      <c r="O53" s="615"/>
      <c r="P53" s="628"/>
      <c r="Q53" s="616"/>
    </row>
    <row r="54" spans="1:17" ht="14.4" customHeight="1" x14ac:dyDescent="0.3">
      <c r="A54" s="611" t="s">
        <v>2092</v>
      </c>
      <c r="B54" s="612" t="s">
        <v>2093</v>
      </c>
      <c r="C54" s="612" t="s">
        <v>1729</v>
      </c>
      <c r="D54" s="612" t="s">
        <v>2112</v>
      </c>
      <c r="E54" s="612" t="s">
        <v>2113</v>
      </c>
      <c r="F54" s="615">
        <v>3559</v>
      </c>
      <c r="G54" s="615">
        <v>217099</v>
      </c>
      <c r="H54" s="615">
        <v>1</v>
      </c>
      <c r="I54" s="615">
        <v>61</v>
      </c>
      <c r="J54" s="615">
        <v>4765</v>
      </c>
      <c r="K54" s="615">
        <v>290665</v>
      </c>
      <c r="L54" s="615">
        <v>1.3388592301208204</v>
      </c>
      <c r="M54" s="615">
        <v>61</v>
      </c>
      <c r="N54" s="615">
        <v>3075</v>
      </c>
      <c r="O54" s="615">
        <v>189622</v>
      </c>
      <c r="P54" s="628">
        <v>0.87343562153671828</v>
      </c>
      <c r="Q54" s="616">
        <v>61.665691056910568</v>
      </c>
    </row>
    <row r="55" spans="1:17" ht="14.4" customHeight="1" x14ac:dyDescent="0.3">
      <c r="A55" s="611" t="s">
        <v>2092</v>
      </c>
      <c r="B55" s="612" t="s">
        <v>2093</v>
      </c>
      <c r="C55" s="612" t="s">
        <v>1729</v>
      </c>
      <c r="D55" s="612" t="s">
        <v>2114</v>
      </c>
      <c r="E55" s="612" t="s">
        <v>2115</v>
      </c>
      <c r="F55" s="615"/>
      <c r="G55" s="615"/>
      <c r="H55" s="615"/>
      <c r="I55" s="615"/>
      <c r="J55" s="615"/>
      <c r="K55" s="615"/>
      <c r="L55" s="615"/>
      <c r="M55" s="615"/>
      <c r="N55" s="615">
        <v>2</v>
      </c>
      <c r="O55" s="615">
        <v>324</v>
      </c>
      <c r="P55" s="628"/>
      <c r="Q55" s="616">
        <v>162</v>
      </c>
    </row>
    <row r="56" spans="1:17" ht="14.4" customHeight="1" x14ac:dyDescent="0.3">
      <c r="A56" s="611" t="s">
        <v>2092</v>
      </c>
      <c r="B56" s="612" t="s">
        <v>2093</v>
      </c>
      <c r="C56" s="612" t="s">
        <v>1729</v>
      </c>
      <c r="D56" s="612" t="s">
        <v>2116</v>
      </c>
      <c r="E56" s="612" t="s">
        <v>2117</v>
      </c>
      <c r="F56" s="615"/>
      <c r="G56" s="615"/>
      <c r="H56" s="615"/>
      <c r="I56" s="615"/>
      <c r="J56" s="615">
        <v>1</v>
      </c>
      <c r="K56" s="615">
        <v>81</v>
      </c>
      <c r="L56" s="615"/>
      <c r="M56" s="615">
        <v>81</v>
      </c>
      <c r="N56" s="615">
        <v>100</v>
      </c>
      <c r="O56" s="615">
        <v>8107</v>
      </c>
      <c r="P56" s="628"/>
      <c r="Q56" s="616">
        <v>81.069999999999993</v>
      </c>
    </row>
    <row r="57" spans="1:17" ht="14.4" customHeight="1" x14ac:dyDescent="0.3">
      <c r="A57" s="611" t="s">
        <v>2092</v>
      </c>
      <c r="B57" s="612" t="s">
        <v>2093</v>
      </c>
      <c r="C57" s="612" t="s">
        <v>1729</v>
      </c>
      <c r="D57" s="612" t="s">
        <v>2118</v>
      </c>
      <c r="E57" s="612" t="s">
        <v>2119</v>
      </c>
      <c r="F57" s="615">
        <v>29</v>
      </c>
      <c r="G57" s="615">
        <v>28623</v>
      </c>
      <c r="H57" s="615">
        <v>1</v>
      </c>
      <c r="I57" s="615">
        <v>987</v>
      </c>
      <c r="J57" s="615">
        <v>26</v>
      </c>
      <c r="K57" s="615">
        <v>25662</v>
      </c>
      <c r="L57" s="615">
        <v>0.89655172413793105</v>
      </c>
      <c r="M57" s="615">
        <v>987</v>
      </c>
      <c r="N57" s="615">
        <v>18</v>
      </c>
      <c r="O57" s="615">
        <v>17766</v>
      </c>
      <c r="P57" s="628">
        <v>0.62068965517241381</v>
      </c>
      <c r="Q57" s="616">
        <v>987</v>
      </c>
    </row>
    <row r="58" spans="1:17" ht="14.4" customHeight="1" x14ac:dyDescent="0.3">
      <c r="A58" s="611" t="s">
        <v>2092</v>
      </c>
      <c r="B58" s="612" t="s">
        <v>2093</v>
      </c>
      <c r="C58" s="612" t="s">
        <v>1729</v>
      </c>
      <c r="D58" s="612" t="s">
        <v>2120</v>
      </c>
      <c r="E58" s="612" t="s">
        <v>2121</v>
      </c>
      <c r="F58" s="615">
        <v>1432</v>
      </c>
      <c r="G58" s="615">
        <v>42960</v>
      </c>
      <c r="H58" s="615">
        <v>1</v>
      </c>
      <c r="I58" s="615">
        <v>30</v>
      </c>
      <c r="J58" s="615">
        <v>1571</v>
      </c>
      <c r="K58" s="615">
        <v>47130</v>
      </c>
      <c r="L58" s="615">
        <v>1.0970670391061452</v>
      </c>
      <c r="M58" s="615">
        <v>30</v>
      </c>
      <c r="N58" s="615">
        <v>1242</v>
      </c>
      <c r="O58" s="615">
        <v>37260</v>
      </c>
      <c r="P58" s="628">
        <v>0.86731843575418999</v>
      </c>
      <c r="Q58" s="616">
        <v>30</v>
      </c>
    </row>
    <row r="59" spans="1:17" ht="14.4" customHeight="1" x14ac:dyDescent="0.3">
      <c r="A59" s="611" t="s">
        <v>2092</v>
      </c>
      <c r="B59" s="612" t="s">
        <v>2093</v>
      </c>
      <c r="C59" s="612" t="s">
        <v>1729</v>
      </c>
      <c r="D59" s="612" t="s">
        <v>2122</v>
      </c>
      <c r="E59" s="612" t="s">
        <v>2123</v>
      </c>
      <c r="F59" s="615">
        <v>9</v>
      </c>
      <c r="G59" s="615">
        <v>1719</v>
      </c>
      <c r="H59" s="615">
        <v>1</v>
      </c>
      <c r="I59" s="615">
        <v>191</v>
      </c>
      <c r="J59" s="615"/>
      <c r="K59" s="615"/>
      <c r="L59" s="615"/>
      <c r="M59" s="615"/>
      <c r="N59" s="615"/>
      <c r="O59" s="615"/>
      <c r="P59" s="628"/>
      <c r="Q59" s="616"/>
    </row>
    <row r="60" spans="1:17" ht="14.4" customHeight="1" x14ac:dyDescent="0.3">
      <c r="A60" s="611" t="s">
        <v>2092</v>
      </c>
      <c r="B60" s="612" t="s">
        <v>2093</v>
      </c>
      <c r="C60" s="612" t="s">
        <v>1729</v>
      </c>
      <c r="D60" s="612" t="s">
        <v>2124</v>
      </c>
      <c r="E60" s="612" t="s">
        <v>2125</v>
      </c>
      <c r="F60" s="615">
        <v>4</v>
      </c>
      <c r="G60" s="615">
        <v>328</v>
      </c>
      <c r="H60" s="615">
        <v>1</v>
      </c>
      <c r="I60" s="615">
        <v>82</v>
      </c>
      <c r="J60" s="615">
        <v>2</v>
      </c>
      <c r="K60" s="615">
        <v>164</v>
      </c>
      <c r="L60" s="615">
        <v>0.5</v>
      </c>
      <c r="M60" s="615">
        <v>82</v>
      </c>
      <c r="N60" s="615">
        <v>9</v>
      </c>
      <c r="O60" s="615">
        <v>738</v>
      </c>
      <c r="P60" s="628">
        <v>2.25</v>
      </c>
      <c r="Q60" s="616">
        <v>82</v>
      </c>
    </row>
    <row r="61" spans="1:17" ht="14.4" customHeight="1" x14ac:dyDescent="0.3">
      <c r="A61" s="611" t="s">
        <v>2092</v>
      </c>
      <c r="B61" s="612" t="s">
        <v>2093</v>
      </c>
      <c r="C61" s="612" t="s">
        <v>1729</v>
      </c>
      <c r="D61" s="612" t="s">
        <v>2126</v>
      </c>
      <c r="E61" s="612" t="s">
        <v>2127</v>
      </c>
      <c r="F61" s="615"/>
      <c r="G61" s="615"/>
      <c r="H61" s="615"/>
      <c r="I61" s="615"/>
      <c r="J61" s="615"/>
      <c r="K61" s="615"/>
      <c r="L61" s="615"/>
      <c r="M61" s="615"/>
      <c r="N61" s="615">
        <v>2</v>
      </c>
      <c r="O61" s="615">
        <v>525</v>
      </c>
      <c r="P61" s="628"/>
      <c r="Q61" s="616">
        <v>262.5</v>
      </c>
    </row>
    <row r="62" spans="1:17" ht="14.4" customHeight="1" x14ac:dyDescent="0.3">
      <c r="A62" s="611" t="s">
        <v>2092</v>
      </c>
      <c r="B62" s="612" t="s">
        <v>2093</v>
      </c>
      <c r="C62" s="612" t="s">
        <v>1729</v>
      </c>
      <c r="D62" s="612" t="s">
        <v>2128</v>
      </c>
      <c r="E62" s="612" t="s">
        <v>2129</v>
      </c>
      <c r="F62" s="615">
        <v>3</v>
      </c>
      <c r="G62" s="615">
        <v>798</v>
      </c>
      <c r="H62" s="615">
        <v>1</v>
      </c>
      <c r="I62" s="615">
        <v>266</v>
      </c>
      <c r="J62" s="615">
        <v>4</v>
      </c>
      <c r="K62" s="615">
        <v>1064</v>
      </c>
      <c r="L62" s="615">
        <v>1.3333333333333333</v>
      </c>
      <c r="M62" s="615">
        <v>266</v>
      </c>
      <c r="N62" s="615">
        <v>8</v>
      </c>
      <c r="O62" s="615">
        <v>2128</v>
      </c>
      <c r="P62" s="628">
        <v>2.6666666666666665</v>
      </c>
      <c r="Q62" s="616">
        <v>266</v>
      </c>
    </row>
    <row r="63" spans="1:17" ht="14.4" customHeight="1" x14ac:dyDescent="0.3">
      <c r="A63" s="611" t="s">
        <v>2092</v>
      </c>
      <c r="B63" s="612" t="s">
        <v>2093</v>
      </c>
      <c r="C63" s="612" t="s">
        <v>1729</v>
      </c>
      <c r="D63" s="612" t="s">
        <v>2130</v>
      </c>
      <c r="E63" s="612" t="s">
        <v>2131</v>
      </c>
      <c r="F63" s="615">
        <v>3</v>
      </c>
      <c r="G63" s="615">
        <v>690</v>
      </c>
      <c r="H63" s="615">
        <v>1</v>
      </c>
      <c r="I63" s="615">
        <v>230</v>
      </c>
      <c r="J63" s="615">
        <v>4</v>
      </c>
      <c r="K63" s="615">
        <v>920</v>
      </c>
      <c r="L63" s="615">
        <v>1.3333333333333333</v>
      </c>
      <c r="M63" s="615">
        <v>230</v>
      </c>
      <c r="N63" s="615">
        <v>8</v>
      </c>
      <c r="O63" s="615">
        <v>1840</v>
      </c>
      <c r="P63" s="628">
        <v>2.6666666666666665</v>
      </c>
      <c r="Q63" s="616">
        <v>230</v>
      </c>
    </row>
    <row r="64" spans="1:17" ht="14.4" customHeight="1" x14ac:dyDescent="0.3">
      <c r="A64" s="611" t="s">
        <v>2092</v>
      </c>
      <c r="B64" s="612" t="s">
        <v>2093</v>
      </c>
      <c r="C64" s="612" t="s">
        <v>1729</v>
      </c>
      <c r="D64" s="612" t="s">
        <v>2132</v>
      </c>
      <c r="E64" s="612" t="s">
        <v>2133</v>
      </c>
      <c r="F64" s="615">
        <v>130</v>
      </c>
      <c r="G64" s="615">
        <v>2210</v>
      </c>
      <c r="H64" s="615">
        <v>1</v>
      </c>
      <c r="I64" s="615">
        <v>17</v>
      </c>
      <c r="J64" s="615">
        <v>167</v>
      </c>
      <c r="K64" s="615">
        <v>2839</v>
      </c>
      <c r="L64" s="615">
        <v>1.2846153846153847</v>
      </c>
      <c r="M64" s="615">
        <v>17</v>
      </c>
      <c r="N64" s="615">
        <v>138</v>
      </c>
      <c r="O64" s="615">
        <v>2346</v>
      </c>
      <c r="P64" s="628">
        <v>1.0615384615384615</v>
      </c>
      <c r="Q64" s="616">
        <v>17</v>
      </c>
    </row>
    <row r="65" spans="1:17" ht="14.4" customHeight="1" x14ac:dyDescent="0.3">
      <c r="A65" s="611" t="s">
        <v>2092</v>
      </c>
      <c r="B65" s="612" t="s">
        <v>2093</v>
      </c>
      <c r="C65" s="612" t="s">
        <v>1729</v>
      </c>
      <c r="D65" s="612" t="s">
        <v>2134</v>
      </c>
      <c r="E65" s="612" t="s">
        <v>2135</v>
      </c>
      <c r="F65" s="615">
        <v>7</v>
      </c>
      <c r="G65" s="615">
        <v>434</v>
      </c>
      <c r="H65" s="615">
        <v>1</v>
      </c>
      <c r="I65" s="615">
        <v>62</v>
      </c>
      <c r="J65" s="615"/>
      <c r="K65" s="615"/>
      <c r="L65" s="615"/>
      <c r="M65" s="615"/>
      <c r="N65" s="615"/>
      <c r="O65" s="615"/>
      <c r="P65" s="628"/>
      <c r="Q65" s="616"/>
    </row>
    <row r="66" spans="1:17" ht="14.4" customHeight="1" x14ac:dyDescent="0.3">
      <c r="A66" s="611" t="s">
        <v>2092</v>
      </c>
      <c r="B66" s="612" t="s">
        <v>2093</v>
      </c>
      <c r="C66" s="612" t="s">
        <v>1729</v>
      </c>
      <c r="D66" s="612" t="s">
        <v>2136</v>
      </c>
      <c r="E66" s="612" t="s">
        <v>2137</v>
      </c>
      <c r="F66" s="615"/>
      <c r="G66" s="615"/>
      <c r="H66" s="615"/>
      <c r="I66" s="615"/>
      <c r="J66" s="615"/>
      <c r="K66" s="615"/>
      <c r="L66" s="615"/>
      <c r="M66" s="615"/>
      <c r="N66" s="615">
        <v>1</v>
      </c>
      <c r="O66" s="615">
        <v>47</v>
      </c>
      <c r="P66" s="628"/>
      <c r="Q66" s="616">
        <v>47</v>
      </c>
    </row>
    <row r="67" spans="1:17" ht="14.4" customHeight="1" x14ac:dyDescent="0.3">
      <c r="A67" s="611" t="s">
        <v>2092</v>
      </c>
      <c r="B67" s="612" t="s">
        <v>2093</v>
      </c>
      <c r="C67" s="612" t="s">
        <v>1729</v>
      </c>
      <c r="D67" s="612" t="s">
        <v>2138</v>
      </c>
      <c r="E67" s="612" t="s">
        <v>2139</v>
      </c>
      <c r="F67" s="615">
        <v>4</v>
      </c>
      <c r="G67" s="615">
        <v>1364</v>
      </c>
      <c r="H67" s="615">
        <v>1</v>
      </c>
      <c r="I67" s="615">
        <v>341</v>
      </c>
      <c r="J67" s="615"/>
      <c r="K67" s="615"/>
      <c r="L67" s="615"/>
      <c r="M67" s="615"/>
      <c r="N67" s="615"/>
      <c r="O67" s="615"/>
      <c r="P67" s="628"/>
      <c r="Q67" s="616"/>
    </row>
    <row r="68" spans="1:17" ht="14.4" customHeight="1" x14ac:dyDescent="0.3">
      <c r="A68" s="611" t="s">
        <v>2092</v>
      </c>
      <c r="B68" s="612" t="s">
        <v>2093</v>
      </c>
      <c r="C68" s="612" t="s">
        <v>1729</v>
      </c>
      <c r="D68" s="612" t="s">
        <v>2140</v>
      </c>
      <c r="E68" s="612" t="s">
        <v>2141</v>
      </c>
      <c r="F68" s="615">
        <v>9</v>
      </c>
      <c r="G68" s="615">
        <v>477</v>
      </c>
      <c r="H68" s="615">
        <v>1</v>
      </c>
      <c r="I68" s="615">
        <v>53</v>
      </c>
      <c r="J68" s="615">
        <v>2</v>
      </c>
      <c r="K68" s="615">
        <v>106</v>
      </c>
      <c r="L68" s="615">
        <v>0.22222222222222221</v>
      </c>
      <c r="M68" s="615">
        <v>53</v>
      </c>
      <c r="N68" s="615">
        <v>3</v>
      </c>
      <c r="O68" s="615">
        <v>159</v>
      </c>
      <c r="P68" s="628">
        <v>0.33333333333333331</v>
      </c>
      <c r="Q68" s="616">
        <v>53</v>
      </c>
    </row>
    <row r="69" spans="1:17" ht="14.4" customHeight="1" x14ac:dyDescent="0.3">
      <c r="A69" s="611" t="s">
        <v>2092</v>
      </c>
      <c r="B69" s="612" t="s">
        <v>2093</v>
      </c>
      <c r="C69" s="612" t="s">
        <v>1729</v>
      </c>
      <c r="D69" s="612" t="s">
        <v>2142</v>
      </c>
      <c r="E69" s="612" t="s">
        <v>2143</v>
      </c>
      <c r="F69" s="615">
        <v>4</v>
      </c>
      <c r="G69" s="615">
        <v>240</v>
      </c>
      <c r="H69" s="615">
        <v>1</v>
      </c>
      <c r="I69" s="615">
        <v>60</v>
      </c>
      <c r="J69" s="615">
        <v>2</v>
      </c>
      <c r="K69" s="615">
        <v>120</v>
      </c>
      <c r="L69" s="615">
        <v>0.5</v>
      </c>
      <c r="M69" s="615">
        <v>60</v>
      </c>
      <c r="N69" s="615"/>
      <c r="O69" s="615"/>
      <c r="P69" s="628"/>
      <c r="Q69" s="616"/>
    </row>
    <row r="70" spans="1:17" ht="14.4" customHeight="1" x14ac:dyDescent="0.3">
      <c r="A70" s="611" t="s">
        <v>2092</v>
      </c>
      <c r="B70" s="612" t="s">
        <v>2093</v>
      </c>
      <c r="C70" s="612" t="s">
        <v>1729</v>
      </c>
      <c r="D70" s="612" t="s">
        <v>2144</v>
      </c>
      <c r="E70" s="612" t="s">
        <v>2145</v>
      </c>
      <c r="F70" s="615">
        <v>2</v>
      </c>
      <c r="G70" s="615">
        <v>122</v>
      </c>
      <c r="H70" s="615">
        <v>1</v>
      </c>
      <c r="I70" s="615">
        <v>61</v>
      </c>
      <c r="J70" s="615">
        <v>1</v>
      </c>
      <c r="K70" s="615">
        <v>61</v>
      </c>
      <c r="L70" s="615">
        <v>0.5</v>
      </c>
      <c r="M70" s="615">
        <v>61</v>
      </c>
      <c r="N70" s="615"/>
      <c r="O70" s="615"/>
      <c r="P70" s="628"/>
      <c r="Q70" s="616"/>
    </row>
    <row r="71" spans="1:17" ht="14.4" customHeight="1" x14ac:dyDescent="0.3">
      <c r="A71" s="611" t="s">
        <v>2092</v>
      </c>
      <c r="B71" s="612" t="s">
        <v>2093</v>
      </c>
      <c r="C71" s="612" t="s">
        <v>1729</v>
      </c>
      <c r="D71" s="612" t="s">
        <v>2146</v>
      </c>
      <c r="E71" s="612" t="s">
        <v>2147</v>
      </c>
      <c r="F71" s="615">
        <v>61</v>
      </c>
      <c r="G71" s="615">
        <v>1159</v>
      </c>
      <c r="H71" s="615">
        <v>1</v>
      </c>
      <c r="I71" s="615">
        <v>19</v>
      </c>
      <c r="J71" s="615">
        <v>65</v>
      </c>
      <c r="K71" s="615">
        <v>1235</v>
      </c>
      <c r="L71" s="615">
        <v>1.0655737704918034</v>
      </c>
      <c r="M71" s="615">
        <v>19</v>
      </c>
      <c r="N71" s="615">
        <v>49</v>
      </c>
      <c r="O71" s="615">
        <v>931</v>
      </c>
      <c r="P71" s="628">
        <v>0.80327868852459017</v>
      </c>
      <c r="Q71" s="616">
        <v>19</v>
      </c>
    </row>
    <row r="72" spans="1:17" ht="14.4" customHeight="1" x14ac:dyDescent="0.3">
      <c r="A72" s="611" t="s">
        <v>2092</v>
      </c>
      <c r="B72" s="612" t="s">
        <v>2093</v>
      </c>
      <c r="C72" s="612" t="s">
        <v>1729</v>
      </c>
      <c r="D72" s="612" t="s">
        <v>2148</v>
      </c>
      <c r="E72" s="612" t="s">
        <v>2149</v>
      </c>
      <c r="F72" s="615">
        <v>8</v>
      </c>
      <c r="G72" s="615">
        <v>840</v>
      </c>
      <c r="H72" s="615">
        <v>1</v>
      </c>
      <c r="I72" s="615">
        <v>105</v>
      </c>
      <c r="J72" s="615">
        <v>8</v>
      </c>
      <c r="K72" s="615">
        <v>840</v>
      </c>
      <c r="L72" s="615">
        <v>1</v>
      </c>
      <c r="M72" s="615">
        <v>105</v>
      </c>
      <c r="N72" s="615">
        <v>13</v>
      </c>
      <c r="O72" s="615">
        <v>1378</v>
      </c>
      <c r="P72" s="628">
        <v>1.6404761904761904</v>
      </c>
      <c r="Q72" s="616">
        <v>106</v>
      </c>
    </row>
    <row r="73" spans="1:17" ht="14.4" customHeight="1" x14ac:dyDescent="0.3">
      <c r="A73" s="611" t="s">
        <v>2092</v>
      </c>
      <c r="B73" s="612" t="s">
        <v>2093</v>
      </c>
      <c r="C73" s="612" t="s">
        <v>1729</v>
      </c>
      <c r="D73" s="612" t="s">
        <v>2150</v>
      </c>
      <c r="E73" s="612" t="s">
        <v>2151</v>
      </c>
      <c r="F73" s="615"/>
      <c r="G73" s="615"/>
      <c r="H73" s="615"/>
      <c r="I73" s="615"/>
      <c r="J73" s="615"/>
      <c r="K73" s="615"/>
      <c r="L73" s="615"/>
      <c r="M73" s="615"/>
      <c r="N73" s="615">
        <v>1</v>
      </c>
      <c r="O73" s="615">
        <v>391</v>
      </c>
      <c r="P73" s="628"/>
      <c r="Q73" s="616">
        <v>391</v>
      </c>
    </row>
    <row r="74" spans="1:17" ht="14.4" customHeight="1" x14ac:dyDescent="0.3">
      <c r="A74" s="611" t="s">
        <v>2092</v>
      </c>
      <c r="B74" s="612" t="s">
        <v>2093</v>
      </c>
      <c r="C74" s="612" t="s">
        <v>1729</v>
      </c>
      <c r="D74" s="612" t="s">
        <v>2152</v>
      </c>
      <c r="E74" s="612" t="s">
        <v>2153</v>
      </c>
      <c r="F74" s="615">
        <v>24</v>
      </c>
      <c r="G74" s="615">
        <v>11064</v>
      </c>
      <c r="H74" s="615">
        <v>1</v>
      </c>
      <c r="I74" s="615">
        <v>461</v>
      </c>
      <c r="J74" s="615">
        <v>23</v>
      </c>
      <c r="K74" s="615">
        <v>10603</v>
      </c>
      <c r="L74" s="615">
        <v>0.95833333333333337</v>
      </c>
      <c r="M74" s="615">
        <v>461</v>
      </c>
      <c r="N74" s="615">
        <v>15</v>
      </c>
      <c r="O74" s="615">
        <v>6925</v>
      </c>
      <c r="P74" s="628">
        <v>0.62590383224873458</v>
      </c>
      <c r="Q74" s="616">
        <v>461.66666666666669</v>
      </c>
    </row>
    <row r="75" spans="1:17" ht="14.4" customHeight="1" x14ac:dyDescent="0.3">
      <c r="A75" s="611" t="s">
        <v>2092</v>
      </c>
      <c r="B75" s="612" t="s">
        <v>2093</v>
      </c>
      <c r="C75" s="612" t="s">
        <v>1729</v>
      </c>
      <c r="D75" s="612" t="s">
        <v>2154</v>
      </c>
      <c r="E75" s="612" t="s">
        <v>2155</v>
      </c>
      <c r="F75" s="615">
        <v>51</v>
      </c>
      <c r="G75" s="615">
        <v>15912</v>
      </c>
      <c r="H75" s="615">
        <v>1</v>
      </c>
      <c r="I75" s="615">
        <v>312</v>
      </c>
      <c r="J75" s="615">
        <v>35</v>
      </c>
      <c r="K75" s="615">
        <v>10920</v>
      </c>
      <c r="L75" s="615">
        <v>0.68627450980392157</v>
      </c>
      <c r="M75" s="615">
        <v>312</v>
      </c>
      <c r="N75" s="615">
        <v>43</v>
      </c>
      <c r="O75" s="615">
        <v>13416</v>
      </c>
      <c r="P75" s="628">
        <v>0.84313725490196079</v>
      </c>
      <c r="Q75" s="616">
        <v>312</v>
      </c>
    </row>
    <row r="76" spans="1:17" ht="14.4" customHeight="1" x14ac:dyDescent="0.3">
      <c r="A76" s="611" t="s">
        <v>2092</v>
      </c>
      <c r="B76" s="612" t="s">
        <v>2093</v>
      </c>
      <c r="C76" s="612" t="s">
        <v>1729</v>
      </c>
      <c r="D76" s="612" t="s">
        <v>2156</v>
      </c>
      <c r="E76" s="612" t="s">
        <v>2157</v>
      </c>
      <c r="F76" s="615">
        <v>3</v>
      </c>
      <c r="G76" s="615">
        <v>2550</v>
      </c>
      <c r="H76" s="615">
        <v>1</v>
      </c>
      <c r="I76" s="615">
        <v>850</v>
      </c>
      <c r="J76" s="615">
        <v>1</v>
      </c>
      <c r="K76" s="615">
        <v>851</v>
      </c>
      <c r="L76" s="615">
        <v>0.33372549019607844</v>
      </c>
      <c r="M76" s="615">
        <v>851</v>
      </c>
      <c r="N76" s="615"/>
      <c r="O76" s="615"/>
      <c r="P76" s="628"/>
      <c r="Q76" s="616"/>
    </row>
    <row r="77" spans="1:17" ht="14.4" customHeight="1" x14ac:dyDescent="0.3">
      <c r="A77" s="611" t="s">
        <v>2092</v>
      </c>
      <c r="B77" s="612" t="s">
        <v>2093</v>
      </c>
      <c r="C77" s="612" t="s">
        <v>1729</v>
      </c>
      <c r="D77" s="612" t="s">
        <v>2158</v>
      </c>
      <c r="E77" s="612" t="s">
        <v>2159</v>
      </c>
      <c r="F77" s="615">
        <v>1679</v>
      </c>
      <c r="G77" s="615">
        <v>310615</v>
      </c>
      <c r="H77" s="615">
        <v>1</v>
      </c>
      <c r="I77" s="615">
        <v>185</v>
      </c>
      <c r="J77" s="615">
        <v>1815</v>
      </c>
      <c r="K77" s="615">
        <v>335775</v>
      </c>
      <c r="L77" s="615">
        <v>1.0810005955926147</v>
      </c>
      <c r="M77" s="615">
        <v>185</v>
      </c>
      <c r="N77" s="615">
        <v>1922</v>
      </c>
      <c r="O77" s="615">
        <v>357051</v>
      </c>
      <c r="P77" s="628">
        <v>1.1494969656970848</v>
      </c>
      <c r="Q77" s="616">
        <v>185.77055150884496</v>
      </c>
    </row>
    <row r="78" spans="1:17" ht="14.4" customHeight="1" x14ac:dyDescent="0.3">
      <c r="A78" s="611" t="s">
        <v>2092</v>
      </c>
      <c r="B78" s="612" t="s">
        <v>2093</v>
      </c>
      <c r="C78" s="612" t="s">
        <v>1729</v>
      </c>
      <c r="D78" s="612" t="s">
        <v>2160</v>
      </c>
      <c r="E78" s="612" t="s">
        <v>2161</v>
      </c>
      <c r="F78" s="615">
        <v>10</v>
      </c>
      <c r="G78" s="615">
        <v>1260</v>
      </c>
      <c r="H78" s="615">
        <v>1</v>
      </c>
      <c r="I78" s="615">
        <v>126</v>
      </c>
      <c r="J78" s="615"/>
      <c r="K78" s="615"/>
      <c r="L78" s="615"/>
      <c r="M78" s="615"/>
      <c r="N78" s="615"/>
      <c r="O78" s="615"/>
      <c r="P78" s="628"/>
      <c r="Q78" s="616"/>
    </row>
    <row r="79" spans="1:17" ht="14.4" customHeight="1" x14ac:dyDescent="0.3">
      <c r="A79" s="611" t="s">
        <v>2092</v>
      </c>
      <c r="B79" s="612" t="s">
        <v>2093</v>
      </c>
      <c r="C79" s="612" t="s">
        <v>1729</v>
      </c>
      <c r="D79" s="612" t="s">
        <v>2162</v>
      </c>
      <c r="E79" s="612" t="s">
        <v>2163</v>
      </c>
      <c r="F79" s="615">
        <v>7</v>
      </c>
      <c r="G79" s="615">
        <v>252</v>
      </c>
      <c r="H79" s="615">
        <v>1</v>
      </c>
      <c r="I79" s="615">
        <v>36</v>
      </c>
      <c r="J79" s="615"/>
      <c r="K79" s="615"/>
      <c r="L79" s="615"/>
      <c r="M79" s="615"/>
      <c r="N79" s="615"/>
      <c r="O79" s="615"/>
      <c r="P79" s="628"/>
      <c r="Q79" s="616"/>
    </row>
    <row r="80" spans="1:17" ht="14.4" customHeight="1" x14ac:dyDescent="0.3">
      <c r="A80" s="611" t="s">
        <v>2092</v>
      </c>
      <c r="B80" s="612" t="s">
        <v>2093</v>
      </c>
      <c r="C80" s="612" t="s">
        <v>1729</v>
      </c>
      <c r="D80" s="612" t="s">
        <v>2164</v>
      </c>
      <c r="E80" s="612" t="s">
        <v>2165</v>
      </c>
      <c r="F80" s="615"/>
      <c r="G80" s="615"/>
      <c r="H80" s="615"/>
      <c r="I80" s="615"/>
      <c r="J80" s="615"/>
      <c r="K80" s="615"/>
      <c r="L80" s="615"/>
      <c r="M80" s="615"/>
      <c r="N80" s="615">
        <v>1</v>
      </c>
      <c r="O80" s="615">
        <v>166</v>
      </c>
      <c r="P80" s="628"/>
      <c r="Q80" s="616">
        <v>166</v>
      </c>
    </row>
    <row r="81" spans="1:17" ht="14.4" customHeight="1" x14ac:dyDescent="0.3">
      <c r="A81" s="611" t="s">
        <v>2092</v>
      </c>
      <c r="B81" s="612" t="s">
        <v>2093</v>
      </c>
      <c r="C81" s="612" t="s">
        <v>1729</v>
      </c>
      <c r="D81" s="612" t="s">
        <v>2166</v>
      </c>
      <c r="E81" s="612" t="s">
        <v>2167</v>
      </c>
      <c r="F81" s="615"/>
      <c r="G81" s="615"/>
      <c r="H81" s="615"/>
      <c r="I81" s="615"/>
      <c r="J81" s="615"/>
      <c r="K81" s="615"/>
      <c r="L81" s="615"/>
      <c r="M81" s="615"/>
      <c r="N81" s="615">
        <v>1</v>
      </c>
      <c r="O81" s="615">
        <v>236</v>
      </c>
      <c r="P81" s="628"/>
      <c r="Q81" s="616">
        <v>236</v>
      </c>
    </row>
    <row r="82" spans="1:17" ht="14.4" customHeight="1" x14ac:dyDescent="0.3">
      <c r="A82" s="611" t="s">
        <v>2092</v>
      </c>
      <c r="B82" s="612" t="s">
        <v>2093</v>
      </c>
      <c r="C82" s="612" t="s">
        <v>1729</v>
      </c>
      <c r="D82" s="612" t="s">
        <v>2168</v>
      </c>
      <c r="E82" s="612" t="s">
        <v>2169</v>
      </c>
      <c r="F82" s="615">
        <v>3</v>
      </c>
      <c r="G82" s="615">
        <v>1047</v>
      </c>
      <c r="H82" s="615">
        <v>1</v>
      </c>
      <c r="I82" s="615">
        <v>349</v>
      </c>
      <c r="J82" s="615"/>
      <c r="K82" s="615"/>
      <c r="L82" s="615"/>
      <c r="M82" s="615"/>
      <c r="N82" s="615"/>
      <c r="O82" s="615"/>
      <c r="P82" s="628"/>
      <c r="Q82" s="616"/>
    </row>
    <row r="83" spans="1:17" ht="14.4" customHeight="1" x14ac:dyDescent="0.3">
      <c r="A83" s="611" t="s">
        <v>2092</v>
      </c>
      <c r="B83" s="612" t="s">
        <v>2093</v>
      </c>
      <c r="C83" s="612" t="s">
        <v>1729</v>
      </c>
      <c r="D83" s="612" t="s">
        <v>2170</v>
      </c>
      <c r="E83" s="612" t="s">
        <v>2171</v>
      </c>
      <c r="F83" s="615">
        <v>3</v>
      </c>
      <c r="G83" s="615">
        <v>1047</v>
      </c>
      <c r="H83" s="615">
        <v>1</v>
      </c>
      <c r="I83" s="615">
        <v>349</v>
      </c>
      <c r="J83" s="615"/>
      <c r="K83" s="615"/>
      <c r="L83" s="615"/>
      <c r="M83" s="615"/>
      <c r="N83" s="615"/>
      <c r="O83" s="615"/>
      <c r="P83" s="628"/>
      <c r="Q83" s="616"/>
    </row>
    <row r="84" spans="1:17" ht="14.4" customHeight="1" x14ac:dyDescent="0.3">
      <c r="A84" s="611" t="s">
        <v>2092</v>
      </c>
      <c r="B84" s="612" t="s">
        <v>2093</v>
      </c>
      <c r="C84" s="612" t="s">
        <v>1729</v>
      </c>
      <c r="D84" s="612" t="s">
        <v>2172</v>
      </c>
      <c r="E84" s="612" t="s">
        <v>2173</v>
      </c>
      <c r="F84" s="615">
        <v>3</v>
      </c>
      <c r="G84" s="615">
        <v>3621</v>
      </c>
      <c r="H84" s="615">
        <v>1</v>
      </c>
      <c r="I84" s="615">
        <v>1207</v>
      </c>
      <c r="J84" s="615">
        <v>8</v>
      </c>
      <c r="K84" s="615">
        <v>9680</v>
      </c>
      <c r="L84" s="615">
        <v>2.6732946699806681</v>
      </c>
      <c r="M84" s="615">
        <v>1210</v>
      </c>
      <c r="N84" s="615">
        <v>4</v>
      </c>
      <c r="O84" s="615">
        <v>4856</v>
      </c>
      <c r="P84" s="628">
        <v>1.3410660038663353</v>
      </c>
      <c r="Q84" s="616">
        <v>1214</v>
      </c>
    </row>
    <row r="85" spans="1:17" ht="14.4" customHeight="1" x14ac:dyDescent="0.3">
      <c r="A85" s="611" t="s">
        <v>2092</v>
      </c>
      <c r="B85" s="612" t="s">
        <v>2093</v>
      </c>
      <c r="C85" s="612" t="s">
        <v>1729</v>
      </c>
      <c r="D85" s="612" t="s">
        <v>2174</v>
      </c>
      <c r="E85" s="612" t="s">
        <v>2175</v>
      </c>
      <c r="F85" s="615">
        <v>180</v>
      </c>
      <c r="G85" s="615">
        <v>140760</v>
      </c>
      <c r="H85" s="615">
        <v>1</v>
      </c>
      <c r="I85" s="615">
        <v>782</v>
      </c>
      <c r="J85" s="615">
        <v>16</v>
      </c>
      <c r="K85" s="615">
        <v>12528</v>
      </c>
      <c r="L85" s="615">
        <v>8.9002557544757027E-2</v>
      </c>
      <c r="M85" s="615">
        <v>783</v>
      </c>
      <c r="N85" s="615">
        <v>15</v>
      </c>
      <c r="O85" s="615">
        <v>11773</v>
      </c>
      <c r="P85" s="628">
        <v>8.3638817845978972E-2</v>
      </c>
      <c r="Q85" s="616">
        <v>784.86666666666667</v>
      </c>
    </row>
    <row r="86" spans="1:17" ht="14.4" customHeight="1" x14ac:dyDescent="0.3">
      <c r="A86" s="611" t="s">
        <v>2092</v>
      </c>
      <c r="B86" s="612" t="s">
        <v>2093</v>
      </c>
      <c r="C86" s="612" t="s">
        <v>1729</v>
      </c>
      <c r="D86" s="612" t="s">
        <v>2176</v>
      </c>
      <c r="E86" s="612" t="s">
        <v>2177</v>
      </c>
      <c r="F86" s="615">
        <v>1</v>
      </c>
      <c r="G86" s="615">
        <v>186</v>
      </c>
      <c r="H86" s="615">
        <v>1</v>
      </c>
      <c r="I86" s="615">
        <v>186</v>
      </c>
      <c r="J86" s="615">
        <v>3</v>
      </c>
      <c r="K86" s="615">
        <v>558</v>
      </c>
      <c r="L86" s="615">
        <v>3</v>
      </c>
      <c r="M86" s="615">
        <v>186</v>
      </c>
      <c r="N86" s="615">
        <v>5</v>
      </c>
      <c r="O86" s="615">
        <v>938</v>
      </c>
      <c r="P86" s="628">
        <v>5.043010752688172</v>
      </c>
      <c r="Q86" s="616">
        <v>187.6</v>
      </c>
    </row>
    <row r="87" spans="1:17" ht="14.4" customHeight="1" x14ac:dyDescent="0.3">
      <c r="A87" s="611" t="s">
        <v>2092</v>
      </c>
      <c r="B87" s="612" t="s">
        <v>2093</v>
      </c>
      <c r="C87" s="612" t="s">
        <v>1729</v>
      </c>
      <c r="D87" s="612" t="s">
        <v>2178</v>
      </c>
      <c r="E87" s="612" t="s">
        <v>2179</v>
      </c>
      <c r="F87" s="615"/>
      <c r="G87" s="615"/>
      <c r="H87" s="615"/>
      <c r="I87" s="615"/>
      <c r="J87" s="615"/>
      <c r="K87" s="615"/>
      <c r="L87" s="615"/>
      <c r="M87" s="615"/>
      <c r="N87" s="615">
        <v>2</v>
      </c>
      <c r="O87" s="615">
        <v>354</v>
      </c>
      <c r="P87" s="628"/>
      <c r="Q87" s="616">
        <v>177</v>
      </c>
    </row>
    <row r="88" spans="1:17" ht="14.4" customHeight="1" x14ac:dyDescent="0.3">
      <c r="A88" s="611" t="s">
        <v>2092</v>
      </c>
      <c r="B88" s="612" t="s">
        <v>2093</v>
      </c>
      <c r="C88" s="612" t="s">
        <v>1729</v>
      </c>
      <c r="D88" s="612" t="s">
        <v>2180</v>
      </c>
      <c r="E88" s="612" t="s">
        <v>2181</v>
      </c>
      <c r="F88" s="615">
        <v>66</v>
      </c>
      <c r="G88" s="615">
        <v>14916</v>
      </c>
      <c r="H88" s="615">
        <v>1</v>
      </c>
      <c r="I88" s="615">
        <v>226</v>
      </c>
      <c r="J88" s="615">
        <v>72</v>
      </c>
      <c r="K88" s="615">
        <v>16344</v>
      </c>
      <c r="L88" s="615">
        <v>1.0957361222847948</v>
      </c>
      <c r="M88" s="615">
        <v>227</v>
      </c>
      <c r="N88" s="615">
        <v>111</v>
      </c>
      <c r="O88" s="615">
        <v>25278</v>
      </c>
      <c r="P88" s="628">
        <v>1.6946902654867257</v>
      </c>
      <c r="Q88" s="616">
        <v>227.72972972972974</v>
      </c>
    </row>
    <row r="89" spans="1:17" ht="14.4" customHeight="1" x14ac:dyDescent="0.3">
      <c r="A89" s="611" t="s">
        <v>2092</v>
      </c>
      <c r="B89" s="612" t="s">
        <v>2093</v>
      </c>
      <c r="C89" s="612" t="s">
        <v>1729</v>
      </c>
      <c r="D89" s="612" t="s">
        <v>2182</v>
      </c>
      <c r="E89" s="612" t="s">
        <v>2183</v>
      </c>
      <c r="F89" s="615">
        <v>1</v>
      </c>
      <c r="G89" s="615">
        <v>156</v>
      </c>
      <c r="H89" s="615">
        <v>1</v>
      </c>
      <c r="I89" s="615">
        <v>156</v>
      </c>
      <c r="J89" s="615"/>
      <c r="K89" s="615"/>
      <c r="L89" s="615"/>
      <c r="M89" s="615"/>
      <c r="N89" s="615">
        <v>2</v>
      </c>
      <c r="O89" s="615">
        <v>316</v>
      </c>
      <c r="P89" s="628">
        <v>2.0256410256410255</v>
      </c>
      <c r="Q89" s="616">
        <v>158</v>
      </c>
    </row>
    <row r="90" spans="1:17" ht="14.4" customHeight="1" x14ac:dyDescent="0.3">
      <c r="A90" s="611" t="s">
        <v>2092</v>
      </c>
      <c r="B90" s="612" t="s">
        <v>2093</v>
      </c>
      <c r="C90" s="612" t="s">
        <v>1729</v>
      </c>
      <c r="D90" s="612" t="s">
        <v>2184</v>
      </c>
      <c r="E90" s="612" t="s">
        <v>2185</v>
      </c>
      <c r="F90" s="615"/>
      <c r="G90" s="615"/>
      <c r="H90" s="615"/>
      <c r="I90" s="615"/>
      <c r="J90" s="615"/>
      <c r="K90" s="615"/>
      <c r="L90" s="615"/>
      <c r="M90" s="615"/>
      <c r="N90" s="615">
        <v>1</v>
      </c>
      <c r="O90" s="615">
        <v>461</v>
      </c>
      <c r="P90" s="628"/>
      <c r="Q90" s="616">
        <v>461</v>
      </c>
    </row>
    <row r="91" spans="1:17" ht="14.4" customHeight="1" x14ac:dyDescent="0.3">
      <c r="A91" s="611" t="s">
        <v>2092</v>
      </c>
      <c r="B91" s="612" t="s">
        <v>2093</v>
      </c>
      <c r="C91" s="612" t="s">
        <v>1729</v>
      </c>
      <c r="D91" s="612" t="s">
        <v>2186</v>
      </c>
      <c r="E91" s="612" t="s">
        <v>2187</v>
      </c>
      <c r="F91" s="615">
        <v>2</v>
      </c>
      <c r="G91" s="615">
        <v>1118</v>
      </c>
      <c r="H91" s="615">
        <v>1</v>
      </c>
      <c r="I91" s="615">
        <v>559</v>
      </c>
      <c r="J91" s="615">
        <v>6</v>
      </c>
      <c r="K91" s="615">
        <v>3360</v>
      </c>
      <c r="L91" s="615">
        <v>3.005366726296959</v>
      </c>
      <c r="M91" s="615">
        <v>560</v>
      </c>
      <c r="N91" s="615"/>
      <c r="O91" s="615"/>
      <c r="P91" s="628"/>
      <c r="Q91" s="616"/>
    </row>
    <row r="92" spans="1:17" ht="14.4" customHeight="1" x14ac:dyDescent="0.3">
      <c r="A92" s="611" t="s">
        <v>2092</v>
      </c>
      <c r="B92" s="612" t="s">
        <v>2093</v>
      </c>
      <c r="C92" s="612" t="s">
        <v>1729</v>
      </c>
      <c r="D92" s="612" t="s">
        <v>2188</v>
      </c>
      <c r="E92" s="612" t="s">
        <v>2189</v>
      </c>
      <c r="F92" s="615">
        <v>1</v>
      </c>
      <c r="G92" s="615">
        <v>169</v>
      </c>
      <c r="H92" s="615">
        <v>1</v>
      </c>
      <c r="I92" s="615">
        <v>169</v>
      </c>
      <c r="J92" s="615"/>
      <c r="K92" s="615"/>
      <c r="L92" s="615"/>
      <c r="M92" s="615"/>
      <c r="N92" s="615"/>
      <c r="O92" s="615"/>
      <c r="P92" s="628"/>
      <c r="Q92" s="616"/>
    </row>
    <row r="93" spans="1:17" ht="14.4" customHeight="1" x14ac:dyDescent="0.3">
      <c r="A93" s="611" t="s">
        <v>2092</v>
      </c>
      <c r="B93" s="612" t="s">
        <v>2093</v>
      </c>
      <c r="C93" s="612" t="s">
        <v>1729</v>
      </c>
      <c r="D93" s="612" t="s">
        <v>2190</v>
      </c>
      <c r="E93" s="612" t="s">
        <v>2191</v>
      </c>
      <c r="F93" s="615"/>
      <c r="G93" s="615"/>
      <c r="H93" s="615"/>
      <c r="I93" s="615"/>
      <c r="J93" s="615"/>
      <c r="K93" s="615"/>
      <c r="L93" s="615"/>
      <c r="M93" s="615"/>
      <c r="N93" s="615">
        <v>1</v>
      </c>
      <c r="O93" s="615">
        <v>200</v>
      </c>
      <c r="P93" s="628"/>
      <c r="Q93" s="616">
        <v>200</v>
      </c>
    </row>
    <row r="94" spans="1:17" ht="14.4" customHeight="1" x14ac:dyDescent="0.3">
      <c r="A94" s="611" t="s">
        <v>2092</v>
      </c>
      <c r="B94" s="612" t="s">
        <v>2093</v>
      </c>
      <c r="C94" s="612" t="s">
        <v>1729</v>
      </c>
      <c r="D94" s="612" t="s">
        <v>2192</v>
      </c>
      <c r="E94" s="612" t="s">
        <v>2193</v>
      </c>
      <c r="F94" s="615"/>
      <c r="G94" s="615"/>
      <c r="H94" s="615"/>
      <c r="I94" s="615"/>
      <c r="J94" s="615">
        <v>3</v>
      </c>
      <c r="K94" s="615">
        <v>393</v>
      </c>
      <c r="L94" s="615"/>
      <c r="M94" s="615">
        <v>131</v>
      </c>
      <c r="N94" s="615"/>
      <c r="O94" s="615"/>
      <c r="P94" s="628"/>
      <c r="Q94" s="616"/>
    </row>
    <row r="95" spans="1:17" ht="14.4" customHeight="1" x14ac:dyDescent="0.3">
      <c r="A95" s="611" t="s">
        <v>2092</v>
      </c>
      <c r="B95" s="612" t="s">
        <v>2093</v>
      </c>
      <c r="C95" s="612" t="s">
        <v>1729</v>
      </c>
      <c r="D95" s="612" t="s">
        <v>2194</v>
      </c>
      <c r="E95" s="612" t="s">
        <v>2195</v>
      </c>
      <c r="F95" s="615"/>
      <c r="G95" s="615"/>
      <c r="H95" s="615"/>
      <c r="I95" s="615"/>
      <c r="J95" s="615">
        <v>1</v>
      </c>
      <c r="K95" s="615">
        <v>177</v>
      </c>
      <c r="L95" s="615"/>
      <c r="M95" s="615">
        <v>177</v>
      </c>
      <c r="N95" s="615"/>
      <c r="O95" s="615"/>
      <c r="P95" s="628"/>
      <c r="Q95" s="616"/>
    </row>
    <row r="96" spans="1:17" ht="14.4" customHeight="1" x14ac:dyDescent="0.3">
      <c r="A96" s="611" t="s">
        <v>2092</v>
      </c>
      <c r="B96" s="612" t="s">
        <v>2093</v>
      </c>
      <c r="C96" s="612" t="s">
        <v>1729</v>
      </c>
      <c r="D96" s="612" t="s">
        <v>2196</v>
      </c>
      <c r="E96" s="612" t="s">
        <v>2197</v>
      </c>
      <c r="F96" s="615"/>
      <c r="G96" s="615"/>
      <c r="H96" s="615"/>
      <c r="I96" s="615"/>
      <c r="J96" s="615">
        <v>3</v>
      </c>
      <c r="K96" s="615">
        <v>1236</v>
      </c>
      <c r="L96" s="615"/>
      <c r="M96" s="615">
        <v>412</v>
      </c>
      <c r="N96" s="615">
        <v>1</v>
      </c>
      <c r="O96" s="615">
        <v>412</v>
      </c>
      <c r="P96" s="628"/>
      <c r="Q96" s="616">
        <v>412</v>
      </c>
    </row>
    <row r="97" spans="1:17" ht="14.4" customHeight="1" x14ac:dyDescent="0.3">
      <c r="A97" s="611" t="s">
        <v>2092</v>
      </c>
      <c r="B97" s="612" t="s">
        <v>2093</v>
      </c>
      <c r="C97" s="612" t="s">
        <v>1729</v>
      </c>
      <c r="D97" s="612" t="s">
        <v>2198</v>
      </c>
      <c r="E97" s="612" t="s">
        <v>2199</v>
      </c>
      <c r="F97" s="615"/>
      <c r="G97" s="615"/>
      <c r="H97" s="615"/>
      <c r="I97" s="615"/>
      <c r="J97" s="615">
        <v>2</v>
      </c>
      <c r="K97" s="615">
        <v>788</v>
      </c>
      <c r="L97" s="615"/>
      <c r="M97" s="615">
        <v>394</v>
      </c>
      <c r="N97" s="615">
        <v>1</v>
      </c>
      <c r="O97" s="615">
        <v>394</v>
      </c>
      <c r="P97" s="628"/>
      <c r="Q97" s="616">
        <v>394</v>
      </c>
    </row>
    <row r="98" spans="1:17" ht="14.4" customHeight="1" x14ac:dyDescent="0.3">
      <c r="A98" s="611" t="s">
        <v>2092</v>
      </c>
      <c r="B98" s="612" t="s">
        <v>2093</v>
      </c>
      <c r="C98" s="612" t="s">
        <v>1729</v>
      </c>
      <c r="D98" s="612" t="s">
        <v>2052</v>
      </c>
      <c r="E98" s="612" t="s">
        <v>2053</v>
      </c>
      <c r="F98" s="615">
        <v>10</v>
      </c>
      <c r="G98" s="615">
        <v>220</v>
      </c>
      <c r="H98" s="615">
        <v>1</v>
      </c>
      <c r="I98" s="615">
        <v>22</v>
      </c>
      <c r="J98" s="615"/>
      <c r="K98" s="615"/>
      <c r="L98" s="615"/>
      <c r="M98" s="615"/>
      <c r="N98" s="615"/>
      <c r="O98" s="615"/>
      <c r="P98" s="628"/>
      <c r="Q98" s="616"/>
    </row>
    <row r="99" spans="1:17" ht="14.4" customHeight="1" x14ac:dyDescent="0.3">
      <c r="A99" s="611" t="s">
        <v>2092</v>
      </c>
      <c r="B99" s="612" t="s">
        <v>2093</v>
      </c>
      <c r="C99" s="612" t="s">
        <v>1729</v>
      </c>
      <c r="D99" s="612" t="s">
        <v>2200</v>
      </c>
      <c r="E99" s="612" t="s">
        <v>2201</v>
      </c>
      <c r="F99" s="615">
        <v>1</v>
      </c>
      <c r="G99" s="615">
        <v>88</v>
      </c>
      <c r="H99" s="615">
        <v>1</v>
      </c>
      <c r="I99" s="615">
        <v>88</v>
      </c>
      <c r="J99" s="615">
        <v>3</v>
      </c>
      <c r="K99" s="615">
        <v>264</v>
      </c>
      <c r="L99" s="615">
        <v>3</v>
      </c>
      <c r="M99" s="615">
        <v>88</v>
      </c>
      <c r="N99" s="615">
        <v>1</v>
      </c>
      <c r="O99" s="615">
        <v>89</v>
      </c>
      <c r="P99" s="628">
        <v>1.0113636363636365</v>
      </c>
      <c r="Q99" s="616">
        <v>89</v>
      </c>
    </row>
    <row r="100" spans="1:17" ht="14.4" customHeight="1" x14ac:dyDescent="0.3">
      <c r="A100" s="611" t="s">
        <v>2092</v>
      </c>
      <c r="B100" s="612" t="s">
        <v>2093</v>
      </c>
      <c r="C100" s="612" t="s">
        <v>1729</v>
      </c>
      <c r="D100" s="612" t="s">
        <v>2202</v>
      </c>
      <c r="E100" s="612" t="s">
        <v>2203</v>
      </c>
      <c r="F100" s="615">
        <v>3609</v>
      </c>
      <c r="G100" s="615">
        <v>104661</v>
      </c>
      <c r="H100" s="615">
        <v>1</v>
      </c>
      <c r="I100" s="615">
        <v>29</v>
      </c>
      <c r="J100" s="615">
        <v>4820</v>
      </c>
      <c r="K100" s="615">
        <v>139780</v>
      </c>
      <c r="L100" s="615">
        <v>1.3355500138542533</v>
      </c>
      <c r="M100" s="615">
        <v>29</v>
      </c>
      <c r="N100" s="615">
        <v>2110</v>
      </c>
      <c r="O100" s="615">
        <v>62414</v>
      </c>
      <c r="P100" s="628">
        <v>0.59634438807196566</v>
      </c>
      <c r="Q100" s="616">
        <v>29.580094786729859</v>
      </c>
    </row>
    <row r="101" spans="1:17" ht="14.4" customHeight="1" x14ac:dyDescent="0.3">
      <c r="A101" s="611" t="s">
        <v>2092</v>
      </c>
      <c r="B101" s="612" t="s">
        <v>2093</v>
      </c>
      <c r="C101" s="612" t="s">
        <v>1729</v>
      </c>
      <c r="D101" s="612" t="s">
        <v>2204</v>
      </c>
      <c r="E101" s="612" t="s">
        <v>2205</v>
      </c>
      <c r="F101" s="615">
        <v>5</v>
      </c>
      <c r="G101" s="615">
        <v>250</v>
      </c>
      <c r="H101" s="615">
        <v>1</v>
      </c>
      <c r="I101" s="615">
        <v>50</v>
      </c>
      <c r="J101" s="615">
        <v>2</v>
      </c>
      <c r="K101" s="615">
        <v>100</v>
      </c>
      <c r="L101" s="615">
        <v>0.4</v>
      </c>
      <c r="M101" s="615">
        <v>50</v>
      </c>
      <c r="N101" s="615"/>
      <c r="O101" s="615"/>
      <c r="P101" s="628"/>
      <c r="Q101" s="616"/>
    </row>
    <row r="102" spans="1:17" ht="14.4" customHeight="1" x14ac:dyDescent="0.3">
      <c r="A102" s="611" t="s">
        <v>2092</v>
      </c>
      <c r="B102" s="612" t="s">
        <v>2093</v>
      </c>
      <c r="C102" s="612" t="s">
        <v>1729</v>
      </c>
      <c r="D102" s="612" t="s">
        <v>2206</v>
      </c>
      <c r="E102" s="612" t="s">
        <v>2207</v>
      </c>
      <c r="F102" s="615">
        <v>71</v>
      </c>
      <c r="G102" s="615">
        <v>852</v>
      </c>
      <c r="H102" s="615">
        <v>1</v>
      </c>
      <c r="I102" s="615">
        <v>12</v>
      </c>
      <c r="J102" s="615">
        <v>52</v>
      </c>
      <c r="K102" s="615">
        <v>624</v>
      </c>
      <c r="L102" s="615">
        <v>0.73239436619718312</v>
      </c>
      <c r="M102" s="615">
        <v>12</v>
      </c>
      <c r="N102" s="615">
        <v>26</v>
      </c>
      <c r="O102" s="615">
        <v>312</v>
      </c>
      <c r="P102" s="628">
        <v>0.36619718309859156</v>
      </c>
      <c r="Q102" s="616">
        <v>12</v>
      </c>
    </row>
    <row r="103" spans="1:17" ht="14.4" customHeight="1" x14ac:dyDescent="0.3">
      <c r="A103" s="611" t="s">
        <v>2092</v>
      </c>
      <c r="B103" s="612" t="s">
        <v>2093</v>
      </c>
      <c r="C103" s="612" t="s">
        <v>1729</v>
      </c>
      <c r="D103" s="612" t="s">
        <v>2208</v>
      </c>
      <c r="E103" s="612" t="s">
        <v>2209</v>
      </c>
      <c r="F103" s="615"/>
      <c r="G103" s="615"/>
      <c r="H103" s="615"/>
      <c r="I103" s="615"/>
      <c r="J103" s="615">
        <v>8</v>
      </c>
      <c r="K103" s="615">
        <v>1448</v>
      </c>
      <c r="L103" s="615"/>
      <c r="M103" s="615">
        <v>181</v>
      </c>
      <c r="N103" s="615">
        <v>7</v>
      </c>
      <c r="O103" s="615">
        <v>1269</v>
      </c>
      <c r="P103" s="628"/>
      <c r="Q103" s="616">
        <v>181.28571428571428</v>
      </c>
    </row>
    <row r="104" spans="1:17" ht="14.4" customHeight="1" x14ac:dyDescent="0.3">
      <c r="A104" s="611" t="s">
        <v>2092</v>
      </c>
      <c r="B104" s="612" t="s">
        <v>2093</v>
      </c>
      <c r="C104" s="612" t="s">
        <v>1729</v>
      </c>
      <c r="D104" s="612" t="s">
        <v>2210</v>
      </c>
      <c r="E104" s="612" t="s">
        <v>2211</v>
      </c>
      <c r="F104" s="615">
        <v>3581</v>
      </c>
      <c r="G104" s="615">
        <v>254251</v>
      </c>
      <c r="H104" s="615">
        <v>1</v>
      </c>
      <c r="I104" s="615">
        <v>71</v>
      </c>
      <c r="J104" s="615">
        <v>4786</v>
      </c>
      <c r="K104" s="615">
        <v>339806</v>
      </c>
      <c r="L104" s="615">
        <v>1.336498184864563</v>
      </c>
      <c r="M104" s="615">
        <v>71</v>
      </c>
      <c r="N104" s="615">
        <v>1090</v>
      </c>
      <c r="O104" s="615">
        <v>77410</v>
      </c>
      <c r="P104" s="628">
        <v>0.30446291263357861</v>
      </c>
      <c r="Q104" s="616">
        <v>71.018348623853214</v>
      </c>
    </row>
    <row r="105" spans="1:17" ht="14.4" customHeight="1" x14ac:dyDescent="0.3">
      <c r="A105" s="611" t="s">
        <v>2092</v>
      </c>
      <c r="B105" s="612" t="s">
        <v>2093</v>
      </c>
      <c r="C105" s="612" t="s">
        <v>1729</v>
      </c>
      <c r="D105" s="612" t="s">
        <v>2212</v>
      </c>
      <c r="E105" s="612" t="s">
        <v>2213</v>
      </c>
      <c r="F105" s="615"/>
      <c r="G105" s="615"/>
      <c r="H105" s="615"/>
      <c r="I105" s="615"/>
      <c r="J105" s="615">
        <v>5</v>
      </c>
      <c r="K105" s="615">
        <v>910</v>
      </c>
      <c r="L105" s="615"/>
      <c r="M105" s="615">
        <v>182</v>
      </c>
      <c r="N105" s="615"/>
      <c r="O105" s="615"/>
      <c r="P105" s="628"/>
      <c r="Q105" s="616"/>
    </row>
    <row r="106" spans="1:17" ht="14.4" customHeight="1" x14ac:dyDescent="0.3">
      <c r="A106" s="611" t="s">
        <v>2092</v>
      </c>
      <c r="B106" s="612" t="s">
        <v>2093</v>
      </c>
      <c r="C106" s="612" t="s">
        <v>1729</v>
      </c>
      <c r="D106" s="612" t="s">
        <v>2022</v>
      </c>
      <c r="E106" s="612" t="s">
        <v>2023</v>
      </c>
      <c r="F106" s="615"/>
      <c r="G106" s="615"/>
      <c r="H106" s="615"/>
      <c r="I106" s="615"/>
      <c r="J106" s="615">
        <v>2</v>
      </c>
      <c r="K106" s="615">
        <v>2490</v>
      </c>
      <c r="L106" s="615"/>
      <c r="M106" s="615">
        <v>1245</v>
      </c>
      <c r="N106" s="615">
        <v>14</v>
      </c>
      <c r="O106" s="615">
        <v>17638</v>
      </c>
      <c r="P106" s="628"/>
      <c r="Q106" s="616">
        <v>1259.8571428571429</v>
      </c>
    </row>
    <row r="107" spans="1:17" ht="14.4" customHeight="1" x14ac:dyDescent="0.3">
      <c r="A107" s="611" t="s">
        <v>2092</v>
      </c>
      <c r="B107" s="612" t="s">
        <v>2093</v>
      </c>
      <c r="C107" s="612" t="s">
        <v>1729</v>
      </c>
      <c r="D107" s="612" t="s">
        <v>2214</v>
      </c>
      <c r="E107" s="612" t="s">
        <v>2215</v>
      </c>
      <c r="F107" s="615">
        <v>1362</v>
      </c>
      <c r="G107" s="615">
        <v>200214</v>
      </c>
      <c r="H107" s="615">
        <v>1</v>
      </c>
      <c r="I107" s="615">
        <v>147</v>
      </c>
      <c r="J107" s="615">
        <v>1284</v>
      </c>
      <c r="K107" s="615">
        <v>188748</v>
      </c>
      <c r="L107" s="615">
        <v>0.94273127753303965</v>
      </c>
      <c r="M107" s="615">
        <v>147</v>
      </c>
      <c r="N107" s="615">
        <v>1129</v>
      </c>
      <c r="O107" s="615">
        <v>166727</v>
      </c>
      <c r="P107" s="628">
        <v>0.83274396395856431</v>
      </c>
      <c r="Q107" s="616">
        <v>147.67670504871569</v>
      </c>
    </row>
    <row r="108" spans="1:17" ht="14.4" customHeight="1" x14ac:dyDescent="0.3">
      <c r="A108" s="611" t="s">
        <v>2092</v>
      </c>
      <c r="B108" s="612" t="s">
        <v>2093</v>
      </c>
      <c r="C108" s="612" t="s">
        <v>1729</v>
      </c>
      <c r="D108" s="612" t="s">
        <v>2216</v>
      </c>
      <c r="E108" s="612" t="s">
        <v>2217</v>
      </c>
      <c r="F108" s="615">
        <v>3614</v>
      </c>
      <c r="G108" s="615">
        <v>104806</v>
      </c>
      <c r="H108" s="615">
        <v>1</v>
      </c>
      <c r="I108" s="615">
        <v>29</v>
      </c>
      <c r="J108" s="615">
        <v>4819</v>
      </c>
      <c r="K108" s="615">
        <v>139751</v>
      </c>
      <c r="L108" s="615">
        <v>1.3334255672385169</v>
      </c>
      <c r="M108" s="615">
        <v>29</v>
      </c>
      <c r="N108" s="615">
        <v>2117</v>
      </c>
      <c r="O108" s="615">
        <v>62617</v>
      </c>
      <c r="P108" s="628">
        <v>0.59745625250462764</v>
      </c>
      <c r="Q108" s="616">
        <v>29.578176665092112</v>
      </c>
    </row>
    <row r="109" spans="1:17" ht="14.4" customHeight="1" x14ac:dyDescent="0.3">
      <c r="A109" s="611" t="s">
        <v>2092</v>
      </c>
      <c r="B109" s="612" t="s">
        <v>2093</v>
      </c>
      <c r="C109" s="612" t="s">
        <v>1729</v>
      </c>
      <c r="D109" s="612" t="s">
        <v>2218</v>
      </c>
      <c r="E109" s="612" t="s">
        <v>2219</v>
      </c>
      <c r="F109" s="615">
        <v>9</v>
      </c>
      <c r="G109" s="615">
        <v>279</v>
      </c>
      <c r="H109" s="615">
        <v>1</v>
      </c>
      <c r="I109" s="615">
        <v>31</v>
      </c>
      <c r="J109" s="615">
        <v>5</v>
      </c>
      <c r="K109" s="615">
        <v>155</v>
      </c>
      <c r="L109" s="615">
        <v>0.55555555555555558</v>
      </c>
      <c r="M109" s="615">
        <v>31</v>
      </c>
      <c r="N109" s="615">
        <v>4</v>
      </c>
      <c r="O109" s="615">
        <v>124</v>
      </c>
      <c r="P109" s="628">
        <v>0.44444444444444442</v>
      </c>
      <c r="Q109" s="616">
        <v>31</v>
      </c>
    </row>
    <row r="110" spans="1:17" ht="14.4" customHeight="1" x14ac:dyDescent="0.3">
      <c r="A110" s="611" t="s">
        <v>2092</v>
      </c>
      <c r="B110" s="612" t="s">
        <v>2093</v>
      </c>
      <c r="C110" s="612" t="s">
        <v>1729</v>
      </c>
      <c r="D110" s="612" t="s">
        <v>2220</v>
      </c>
      <c r="E110" s="612" t="s">
        <v>2221</v>
      </c>
      <c r="F110" s="615">
        <v>128</v>
      </c>
      <c r="G110" s="615">
        <v>3456</v>
      </c>
      <c r="H110" s="615">
        <v>1</v>
      </c>
      <c r="I110" s="615">
        <v>27</v>
      </c>
      <c r="J110" s="615">
        <v>78</v>
      </c>
      <c r="K110" s="615">
        <v>2106</v>
      </c>
      <c r="L110" s="615">
        <v>0.609375</v>
      </c>
      <c r="M110" s="615">
        <v>27</v>
      </c>
      <c r="N110" s="615">
        <v>63</v>
      </c>
      <c r="O110" s="615">
        <v>1701</v>
      </c>
      <c r="P110" s="628">
        <v>0.4921875</v>
      </c>
      <c r="Q110" s="616">
        <v>27</v>
      </c>
    </row>
    <row r="111" spans="1:17" ht="14.4" customHeight="1" x14ac:dyDescent="0.3">
      <c r="A111" s="611" t="s">
        <v>2092</v>
      </c>
      <c r="B111" s="612" t="s">
        <v>2093</v>
      </c>
      <c r="C111" s="612" t="s">
        <v>1729</v>
      </c>
      <c r="D111" s="612" t="s">
        <v>2222</v>
      </c>
      <c r="E111" s="612" t="s">
        <v>2223</v>
      </c>
      <c r="F111" s="615">
        <v>1</v>
      </c>
      <c r="G111" s="615">
        <v>160</v>
      </c>
      <c r="H111" s="615">
        <v>1</v>
      </c>
      <c r="I111" s="615">
        <v>160</v>
      </c>
      <c r="J111" s="615">
        <v>2</v>
      </c>
      <c r="K111" s="615">
        <v>322</v>
      </c>
      <c r="L111" s="615">
        <v>2.0125000000000002</v>
      </c>
      <c r="M111" s="615">
        <v>161</v>
      </c>
      <c r="N111" s="615"/>
      <c r="O111" s="615"/>
      <c r="P111" s="628"/>
      <c r="Q111" s="616"/>
    </row>
    <row r="112" spans="1:17" ht="14.4" customHeight="1" x14ac:dyDescent="0.3">
      <c r="A112" s="611" t="s">
        <v>2092</v>
      </c>
      <c r="B112" s="612" t="s">
        <v>2093</v>
      </c>
      <c r="C112" s="612" t="s">
        <v>1729</v>
      </c>
      <c r="D112" s="612" t="s">
        <v>2224</v>
      </c>
      <c r="E112" s="612" t="s">
        <v>2225</v>
      </c>
      <c r="F112" s="615">
        <v>19</v>
      </c>
      <c r="G112" s="615">
        <v>418</v>
      </c>
      <c r="H112" s="615">
        <v>1</v>
      </c>
      <c r="I112" s="615">
        <v>22</v>
      </c>
      <c r="J112" s="615">
        <v>32</v>
      </c>
      <c r="K112" s="615">
        <v>704</v>
      </c>
      <c r="L112" s="615">
        <v>1.6842105263157894</v>
      </c>
      <c r="M112" s="615">
        <v>22</v>
      </c>
      <c r="N112" s="615">
        <v>15</v>
      </c>
      <c r="O112" s="615">
        <v>330</v>
      </c>
      <c r="P112" s="628">
        <v>0.78947368421052633</v>
      </c>
      <c r="Q112" s="616">
        <v>22</v>
      </c>
    </row>
    <row r="113" spans="1:17" ht="14.4" customHeight="1" x14ac:dyDescent="0.3">
      <c r="A113" s="611" t="s">
        <v>2092</v>
      </c>
      <c r="B113" s="612" t="s">
        <v>2093</v>
      </c>
      <c r="C113" s="612" t="s">
        <v>1729</v>
      </c>
      <c r="D113" s="612" t="s">
        <v>2226</v>
      </c>
      <c r="E113" s="612" t="s">
        <v>2227</v>
      </c>
      <c r="F113" s="615">
        <v>1</v>
      </c>
      <c r="G113" s="615">
        <v>850</v>
      </c>
      <c r="H113" s="615">
        <v>1</v>
      </c>
      <c r="I113" s="615">
        <v>850</v>
      </c>
      <c r="J113" s="615"/>
      <c r="K113" s="615"/>
      <c r="L113" s="615"/>
      <c r="M113" s="615"/>
      <c r="N113" s="615">
        <v>1</v>
      </c>
      <c r="O113" s="615">
        <v>859</v>
      </c>
      <c r="P113" s="628">
        <v>1.0105882352941176</v>
      </c>
      <c r="Q113" s="616">
        <v>859</v>
      </c>
    </row>
    <row r="114" spans="1:17" ht="14.4" customHeight="1" x14ac:dyDescent="0.3">
      <c r="A114" s="611" t="s">
        <v>2092</v>
      </c>
      <c r="B114" s="612" t="s">
        <v>2093</v>
      </c>
      <c r="C114" s="612" t="s">
        <v>1729</v>
      </c>
      <c r="D114" s="612" t="s">
        <v>2228</v>
      </c>
      <c r="E114" s="612" t="s">
        <v>2229</v>
      </c>
      <c r="F114" s="615">
        <v>91</v>
      </c>
      <c r="G114" s="615">
        <v>2275</v>
      </c>
      <c r="H114" s="615">
        <v>1</v>
      </c>
      <c r="I114" s="615">
        <v>25</v>
      </c>
      <c r="J114" s="615">
        <v>63</v>
      </c>
      <c r="K114" s="615">
        <v>1575</v>
      </c>
      <c r="L114" s="615">
        <v>0.69230769230769229</v>
      </c>
      <c r="M114" s="615">
        <v>25</v>
      </c>
      <c r="N114" s="615">
        <v>39</v>
      </c>
      <c r="O114" s="615">
        <v>975</v>
      </c>
      <c r="P114" s="628">
        <v>0.42857142857142855</v>
      </c>
      <c r="Q114" s="616">
        <v>25</v>
      </c>
    </row>
    <row r="115" spans="1:17" ht="14.4" customHeight="1" x14ac:dyDescent="0.3">
      <c r="A115" s="611" t="s">
        <v>2092</v>
      </c>
      <c r="B115" s="612" t="s">
        <v>2093</v>
      </c>
      <c r="C115" s="612" t="s">
        <v>1729</v>
      </c>
      <c r="D115" s="612" t="s">
        <v>2230</v>
      </c>
      <c r="E115" s="612" t="s">
        <v>2231</v>
      </c>
      <c r="F115" s="615">
        <v>44</v>
      </c>
      <c r="G115" s="615">
        <v>1452</v>
      </c>
      <c r="H115" s="615">
        <v>1</v>
      </c>
      <c r="I115" s="615">
        <v>33</v>
      </c>
      <c r="J115" s="615">
        <v>37</v>
      </c>
      <c r="K115" s="615">
        <v>1221</v>
      </c>
      <c r="L115" s="615">
        <v>0.84090909090909094</v>
      </c>
      <c r="M115" s="615">
        <v>33</v>
      </c>
      <c r="N115" s="615">
        <v>28</v>
      </c>
      <c r="O115" s="615">
        <v>924</v>
      </c>
      <c r="P115" s="628">
        <v>0.63636363636363635</v>
      </c>
      <c r="Q115" s="616">
        <v>33</v>
      </c>
    </row>
    <row r="116" spans="1:17" ht="14.4" customHeight="1" x14ac:dyDescent="0.3">
      <c r="A116" s="611" t="s">
        <v>2092</v>
      </c>
      <c r="B116" s="612" t="s">
        <v>2093</v>
      </c>
      <c r="C116" s="612" t="s">
        <v>1729</v>
      </c>
      <c r="D116" s="612" t="s">
        <v>2232</v>
      </c>
      <c r="E116" s="612" t="s">
        <v>2233</v>
      </c>
      <c r="F116" s="615">
        <v>21</v>
      </c>
      <c r="G116" s="615">
        <v>630</v>
      </c>
      <c r="H116" s="615">
        <v>1</v>
      </c>
      <c r="I116" s="615">
        <v>30</v>
      </c>
      <c r="J116" s="615">
        <v>33</v>
      </c>
      <c r="K116" s="615">
        <v>990</v>
      </c>
      <c r="L116" s="615">
        <v>1.5714285714285714</v>
      </c>
      <c r="M116" s="615">
        <v>30</v>
      </c>
      <c r="N116" s="615">
        <v>14</v>
      </c>
      <c r="O116" s="615">
        <v>420</v>
      </c>
      <c r="P116" s="628">
        <v>0.66666666666666663</v>
      </c>
      <c r="Q116" s="616">
        <v>30</v>
      </c>
    </row>
    <row r="117" spans="1:17" ht="14.4" customHeight="1" x14ac:dyDescent="0.3">
      <c r="A117" s="611" t="s">
        <v>2092</v>
      </c>
      <c r="B117" s="612" t="s">
        <v>2093</v>
      </c>
      <c r="C117" s="612" t="s">
        <v>1729</v>
      </c>
      <c r="D117" s="612" t="s">
        <v>2234</v>
      </c>
      <c r="E117" s="612" t="s">
        <v>2235</v>
      </c>
      <c r="F117" s="615">
        <v>1</v>
      </c>
      <c r="G117" s="615">
        <v>204</v>
      </c>
      <c r="H117" s="615">
        <v>1</v>
      </c>
      <c r="I117" s="615">
        <v>204</v>
      </c>
      <c r="J117" s="615"/>
      <c r="K117" s="615"/>
      <c r="L117" s="615"/>
      <c r="M117" s="615"/>
      <c r="N117" s="615"/>
      <c r="O117" s="615"/>
      <c r="P117" s="628"/>
      <c r="Q117" s="616"/>
    </row>
    <row r="118" spans="1:17" ht="14.4" customHeight="1" x14ac:dyDescent="0.3">
      <c r="A118" s="611" t="s">
        <v>2092</v>
      </c>
      <c r="B118" s="612" t="s">
        <v>2093</v>
      </c>
      <c r="C118" s="612" t="s">
        <v>1729</v>
      </c>
      <c r="D118" s="612" t="s">
        <v>2236</v>
      </c>
      <c r="E118" s="612" t="s">
        <v>2237</v>
      </c>
      <c r="F118" s="615">
        <v>44</v>
      </c>
      <c r="G118" s="615">
        <v>1144</v>
      </c>
      <c r="H118" s="615">
        <v>1</v>
      </c>
      <c r="I118" s="615">
        <v>26</v>
      </c>
      <c r="J118" s="615">
        <v>37</v>
      </c>
      <c r="K118" s="615">
        <v>962</v>
      </c>
      <c r="L118" s="615">
        <v>0.84090909090909094</v>
      </c>
      <c r="M118" s="615">
        <v>26</v>
      </c>
      <c r="N118" s="615">
        <v>24</v>
      </c>
      <c r="O118" s="615">
        <v>624</v>
      </c>
      <c r="P118" s="628">
        <v>0.54545454545454541</v>
      </c>
      <c r="Q118" s="616">
        <v>26</v>
      </c>
    </row>
    <row r="119" spans="1:17" ht="14.4" customHeight="1" x14ac:dyDescent="0.3">
      <c r="A119" s="611" t="s">
        <v>2092</v>
      </c>
      <c r="B119" s="612" t="s">
        <v>2093</v>
      </c>
      <c r="C119" s="612" t="s">
        <v>1729</v>
      </c>
      <c r="D119" s="612" t="s">
        <v>2238</v>
      </c>
      <c r="E119" s="612" t="s">
        <v>2239</v>
      </c>
      <c r="F119" s="615">
        <v>3</v>
      </c>
      <c r="G119" s="615">
        <v>252</v>
      </c>
      <c r="H119" s="615">
        <v>1</v>
      </c>
      <c r="I119" s="615">
        <v>84</v>
      </c>
      <c r="J119" s="615"/>
      <c r="K119" s="615"/>
      <c r="L119" s="615"/>
      <c r="M119" s="615"/>
      <c r="N119" s="615"/>
      <c r="O119" s="615"/>
      <c r="P119" s="628"/>
      <c r="Q119" s="616"/>
    </row>
    <row r="120" spans="1:17" ht="14.4" customHeight="1" x14ac:dyDescent="0.3">
      <c r="A120" s="611" t="s">
        <v>2092</v>
      </c>
      <c r="B120" s="612" t="s">
        <v>2093</v>
      </c>
      <c r="C120" s="612" t="s">
        <v>1729</v>
      </c>
      <c r="D120" s="612" t="s">
        <v>2240</v>
      </c>
      <c r="E120" s="612" t="s">
        <v>2241</v>
      </c>
      <c r="F120" s="615"/>
      <c r="G120" s="615"/>
      <c r="H120" s="615"/>
      <c r="I120" s="615"/>
      <c r="J120" s="615">
        <v>10</v>
      </c>
      <c r="K120" s="615">
        <v>1740</v>
      </c>
      <c r="L120" s="615"/>
      <c r="M120" s="615">
        <v>174</v>
      </c>
      <c r="N120" s="615">
        <v>7</v>
      </c>
      <c r="O120" s="615">
        <v>1220</v>
      </c>
      <c r="P120" s="628"/>
      <c r="Q120" s="616">
        <v>174.28571428571428</v>
      </c>
    </row>
    <row r="121" spans="1:17" ht="14.4" customHeight="1" x14ac:dyDescent="0.3">
      <c r="A121" s="611" t="s">
        <v>2092</v>
      </c>
      <c r="B121" s="612" t="s">
        <v>2093</v>
      </c>
      <c r="C121" s="612" t="s">
        <v>1729</v>
      </c>
      <c r="D121" s="612" t="s">
        <v>2242</v>
      </c>
      <c r="E121" s="612" t="s">
        <v>2243</v>
      </c>
      <c r="F121" s="615"/>
      <c r="G121" s="615"/>
      <c r="H121" s="615"/>
      <c r="I121" s="615"/>
      <c r="J121" s="615"/>
      <c r="K121" s="615"/>
      <c r="L121" s="615"/>
      <c r="M121" s="615"/>
      <c r="N121" s="615">
        <v>1</v>
      </c>
      <c r="O121" s="615">
        <v>252</v>
      </c>
      <c r="P121" s="628"/>
      <c r="Q121" s="616">
        <v>252</v>
      </c>
    </row>
    <row r="122" spans="1:17" ht="14.4" customHeight="1" x14ac:dyDescent="0.3">
      <c r="A122" s="611" t="s">
        <v>2092</v>
      </c>
      <c r="B122" s="612" t="s">
        <v>2093</v>
      </c>
      <c r="C122" s="612" t="s">
        <v>1729</v>
      </c>
      <c r="D122" s="612" t="s">
        <v>2244</v>
      </c>
      <c r="E122" s="612" t="s">
        <v>2245</v>
      </c>
      <c r="F122" s="615">
        <v>271</v>
      </c>
      <c r="G122" s="615">
        <v>4065</v>
      </c>
      <c r="H122" s="615">
        <v>1</v>
      </c>
      <c r="I122" s="615">
        <v>15</v>
      </c>
      <c r="J122" s="615">
        <v>238</v>
      </c>
      <c r="K122" s="615">
        <v>3570</v>
      </c>
      <c r="L122" s="615">
        <v>0.87822878228782286</v>
      </c>
      <c r="M122" s="615">
        <v>15</v>
      </c>
      <c r="N122" s="615">
        <v>209</v>
      </c>
      <c r="O122" s="615">
        <v>3135</v>
      </c>
      <c r="P122" s="628">
        <v>0.77121771217712176</v>
      </c>
      <c r="Q122" s="616">
        <v>15</v>
      </c>
    </row>
    <row r="123" spans="1:17" ht="14.4" customHeight="1" x14ac:dyDescent="0.3">
      <c r="A123" s="611" t="s">
        <v>2092</v>
      </c>
      <c r="B123" s="612" t="s">
        <v>2093</v>
      </c>
      <c r="C123" s="612" t="s">
        <v>1729</v>
      </c>
      <c r="D123" s="612" t="s">
        <v>2246</v>
      </c>
      <c r="E123" s="612" t="s">
        <v>2247</v>
      </c>
      <c r="F123" s="615">
        <v>137</v>
      </c>
      <c r="G123" s="615">
        <v>3151</v>
      </c>
      <c r="H123" s="615">
        <v>1</v>
      </c>
      <c r="I123" s="615">
        <v>23</v>
      </c>
      <c r="J123" s="615">
        <v>93</v>
      </c>
      <c r="K123" s="615">
        <v>2139</v>
      </c>
      <c r="L123" s="615">
        <v>0.67883211678832112</v>
      </c>
      <c r="M123" s="615">
        <v>23</v>
      </c>
      <c r="N123" s="615">
        <v>67</v>
      </c>
      <c r="O123" s="615">
        <v>1541</v>
      </c>
      <c r="P123" s="628">
        <v>0.48905109489051096</v>
      </c>
      <c r="Q123" s="616">
        <v>23</v>
      </c>
    </row>
    <row r="124" spans="1:17" ht="14.4" customHeight="1" x14ac:dyDescent="0.3">
      <c r="A124" s="611" t="s">
        <v>2092</v>
      </c>
      <c r="B124" s="612" t="s">
        <v>2093</v>
      </c>
      <c r="C124" s="612" t="s">
        <v>1729</v>
      </c>
      <c r="D124" s="612" t="s">
        <v>2248</v>
      </c>
      <c r="E124" s="612" t="s">
        <v>2249</v>
      </c>
      <c r="F124" s="615">
        <v>18</v>
      </c>
      <c r="G124" s="615">
        <v>666</v>
      </c>
      <c r="H124" s="615">
        <v>1</v>
      </c>
      <c r="I124" s="615">
        <v>37</v>
      </c>
      <c r="J124" s="615">
        <v>10</v>
      </c>
      <c r="K124" s="615">
        <v>370</v>
      </c>
      <c r="L124" s="615">
        <v>0.55555555555555558</v>
      </c>
      <c r="M124" s="615">
        <v>37</v>
      </c>
      <c r="N124" s="615"/>
      <c r="O124" s="615"/>
      <c r="P124" s="628"/>
      <c r="Q124" s="616"/>
    </row>
    <row r="125" spans="1:17" ht="14.4" customHeight="1" x14ac:dyDescent="0.3">
      <c r="A125" s="611" t="s">
        <v>2092</v>
      </c>
      <c r="B125" s="612" t="s">
        <v>2093</v>
      </c>
      <c r="C125" s="612" t="s">
        <v>1729</v>
      </c>
      <c r="D125" s="612" t="s">
        <v>2250</v>
      </c>
      <c r="E125" s="612" t="s">
        <v>2251</v>
      </c>
      <c r="F125" s="615">
        <v>5</v>
      </c>
      <c r="G125" s="615">
        <v>115</v>
      </c>
      <c r="H125" s="615">
        <v>1</v>
      </c>
      <c r="I125" s="615">
        <v>23</v>
      </c>
      <c r="J125" s="615">
        <v>3</v>
      </c>
      <c r="K125" s="615">
        <v>69</v>
      </c>
      <c r="L125" s="615">
        <v>0.6</v>
      </c>
      <c r="M125" s="615">
        <v>23</v>
      </c>
      <c r="N125" s="615">
        <v>1112</v>
      </c>
      <c r="O125" s="615">
        <v>25576</v>
      </c>
      <c r="P125" s="628">
        <v>222.4</v>
      </c>
      <c r="Q125" s="616">
        <v>23</v>
      </c>
    </row>
    <row r="126" spans="1:17" ht="14.4" customHeight="1" x14ac:dyDescent="0.3">
      <c r="A126" s="611" t="s">
        <v>2092</v>
      </c>
      <c r="B126" s="612" t="s">
        <v>2093</v>
      </c>
      <c r="C126" s="612" t="s">
        <v>1729</v>
      </c>
      <c r="D126" s="612" t="s">
        <v>2252</v>
      </c>
      <c r="E126" s="612" t="s">
        <v>2253</v>
      </c>
      <c r="F126" s="615">
        <v>9</v>
      </c>
      <c r="G126" s="615">
        <v>1521</v>
      </c>
      <c r="H126" s="615">
        <v>1</v>
      </c>
      <c r="I126" s="615">
        <v>169</v>
      </c>
      <c r="J126" s="615">
        <v>10</v>
      </c>
      <c r="K126" s="615">
        <v>1690</v>
      </c>
      <c r="L126" s="615">
        <v>1.1111111111111112</v>
      </c>
      <c r="M126" s="615">
        <v>169</v>
      </c>
      <c r="N126" s="615">
        <v>4</v>
      </c>
      <c r="O126" s="615">
        <v>679</v>
      </c>
      <c r="P126" s="628">
        <v>0.44641683103221563</v>
      </c>
      <c r="Q126" s="616">
        <v>169.75</v>
      </c>
    </row>
    <row r="127" spans="1:17" ht="14.4" customHeight="1" x14ac:dyDescent="0.3">
      <c r="A127" s="611" t="s">
        <v>2092</v>
      </c>
      <c r="B127" s="612" t="s">
        <v>2093</v>
      </c>
      <c r="C127" s="612" t="s">
        <v>1729</v>
      </c>
      <c r="D127" s="612" t="s">
        <v>2254</v>
      </c>
      <c r="E127" s="612" t="s">
        <v>2255</v>
      </c>
      <c r="F127" s="615"/>
      <c r="G127" s="615"/>
      <c r="H127" s="615"/>
      <c r="I127" s="615"/>
      <c r="J127" s="615">
        <v>2</v>
      </c>
      <c r="K127" s="615">
        <v>1172</v>
      </c>
      <c r="L127" s="615"/>
      <c r="M127" s="615">
        <v>586</v>
      </c>
      <c r="N127" s="615"/>
      <c r="O127" s="615"/>
      <c r="P127" s="628"/>
      <c r="Q127" s="616"/>
    </row>
    <row r="128" spans="1:17" ht="14.4" customHeight="1" x14ac:dyDescent="0.3">
      <c r="A128" s="611" t="s">
        <v>2092</v>
      </c>
      <c r="B128" s="612" t="s">
        <v>2093</v>
      </c>
      <c r="C128" s="612" t="s">
        <v>1729</v>
      </c>
      <c r="D128" s="612" t="s">
        <v>2256</v>
      </c>
      <c r="E128" s="612" t="s">
        <v>2257</v>
      </c>
      <c r="F128" s="615">
        <v>3</v>
      </c>
      <c r="G128" s="615">
        <v>972</v>
      </c>
      <c r="H128" s="615">
        <v>1</v>
      </c>
      <c r="I128" s="615">
        <v>324</v>
      </c>
      <c r="J128" s="615"/>
      <c r="K128" s="615"/>
      <c r="L128" s="615"/>
      <c r="M128" s="615"/>
      <c r="N128" s="615"/>
      <c r="O128" s="615"/>
      <c r="P128" s="628"/>
      <c r="Q128" s="616"/>
    </row>
    <row r="129" spans="1:17" ht="14.4" customHeight="1" x14ac:dyDescent="0.3">
      <c r="A129" s="611" t="s">
        <v>2092</v>
      </c>
      <c r="B129" s="612" t="s">
        <v>2093</v>
      </c>
      <c r="C129" s="612" t="s">
        <v>1729</v>
      </c>
      <c r="D129" s="612" t="s">
        <v>2258</v>
      </c>
      <c r="E129" s="612" t="s">
        <v>2259</v>
      </c>
      <c r="F129" s="615">
        <v>3</v>
      </c>
      <c r="G129" s="615">
        <v>831</v>
      </c>
      <c r="H129" s="615">
        <v>1</v>
      </c>
      <c r="I129" s="615">
        <v>277</v>
      </c>
      <c r="J129" s="615">
        <v>4</v>
      </c>
      <c r="K129" s="615">
        <v>1108</v>
      </c>
      <c r="L129" s="615">
        <v>1.3333333333333333</v>
      </c>
      <c r="M129" s="615">
        <v>277</v>
      </c>
      <c r="N129" s="615">
        <v>1</v>
      </c>
      <c r="O129" s="615">
        <v>277</v>
      </c>
      <c r="P129" s="628">
        <v>0.33333333333333331</v>
      </c>
      <c r="Q129" s="616">
        <v>277</v>
      </c>
    </row>
    <row r="130" spans="1:17" ht="14.4" customHeight="1" x14ac:dyDescent="0.3">
      <c r="A130" s="611" t="s">
        <v>2092</v>
      </c>
      <c r="B130" s="612" t="s">
        <v>2093</v>
      </c>
      <c r="C130" s="612" t="s">
        <v>1729</v>
      </c>
      <c r="D130" s="612" t="s">
        <v>2260</v>
      </c>
      <c r="E130" s="612" t="s">
        <v>2261</v>
      </c>
      <c r="F130" s="615">
        <v>48</v>
      </c>
      <c r="G130" s="615">
        <v>1392</v>
      </c>
      <c r="H130" s="615">
        <v>1</v>
      </c>
      <c r="I130" s="615">
        <v>29</v>
      </c>
      <c r="J130" s="615">
        <v>37</v>
      </c>
      <c r="K130" s="615">
        <v>1073</v>
      </c>
      <c r="L130" s="615">
        <v>0.77083333333333337</v>
      </c>
      <c r="M130" s="615">
        <v>29</v>
      </c>
      <c r="N130" s="615">
        <v>27</v>
      </c>
      <c r="O130" s="615">
        <v>783</v>
      </c>
      <c r="P130" s="628">
        <v>0.5625</v>
      </c>
      <c r="Q130" s="616">
        <v>29</v>
      </c>
    </row>
    <row r="131" spans="1:17" ht="14.4" customHeight="1" x14ac:dyDescent="0.3">
      <c r="A131" s="611" t="s">
        <v>2092</v>
      </c>
      <c r="B131" s="612" t="s">
        <v>2093</v>
      </c>
      <c r="C131" s="612" t="s">
        <v>1729</v>
      </c>
      <c r="D131" s="612" t="s">
        <v>2262</v>
      </c>
      <c r="E131" s="612" t="s">
        <v>2263</v>
      </c>
      <c r="F131" s="615">
        <v>1</v>
      </c>
      <c r="G131" s="615">
        <v>176</v>
      </c>
      <c r="H131" s="615">
        <v>1</v>
      </c>
      <c r="I131" s="615">
        <v>176</v>
      </c>
      <c r="J131" s="615"/>
      <c r="K131" s="615"/>
      <c r="L131" s="615"/>
      <c r="M131" s="615"/>
      <c r="N131" s="615">
        <v>1</v>
      </c>
      <c r="O131" s="615">
        <v>177</v>
      </c>
      <c r="P131" s="628">
        <v>1.0056818181818181</v>
      </c>
      <c r="Q131" s="616">
        <v>177</v>
      </c>
    </row>
    <row r="132" spans="1:17" ht="14.4" customHeight="1" x14ac:dyDescent="0.3">
      <c r="A132" s="611" t="s">
        <v>2092</v>
      </c>
      <c r="B132" s="612" t="s">
        <v>2093</v>
      </c>
      <c r="C132" s="612" t="s">
        <v>1729</v>
      </c>
      <c r="D132" s="612" t="s">
        <v>2264</v>
      </c>
      <c r="E132" s="612" t="s">
        <v>2265</v>
      </c>
      <c r="F132" s="615"/>
      <c r="G132" s="615"/>
      <c r="H132" s="615"/>
      <c r="I132" s="615"/>
      <c r="J132" s="615">
        <v>1</v>
      </c>
      <c r="K132" s="615">
        <v>197</v>
      </c>
      <c r="L132" s="615"/>
      <c r="M132" s="615">
        <v>197</v>
      </c>
      <c r="N132" s="615">
        <v>2</v>
      </c>
      <c r="O132" s="615">
        <v>394</v>
      </c>
      <c r="P132" s="628"/>
      <c r="Q132" s="616">
        <v>197</v>
      </c>
    </row>
    <row r="133" spans="1:17" ht="14.4" customHeight="1" x14ac:dyDescent="0.3">
      <c r="A133" s="611" t="s">
        <v>2092</v>
      </c>
      <c r="B133" s="612" t="s">
        <v>2093</v>
      </c>
      <c r="C133" s="612" t="s">
        <v>1729</v>
      </c>
      <c r="D133" s="612" t="s">
        <v>2266</v>
      </c>
      <c r="E133" s="612" t="s">
        <v>2267</v>
      </c>
      <c r="F133" s="615">
        <v>65</v>
      </c>
      <c r="G133" s="615">
        <v>975</v>
      </c>
      <c r="H133" s="615">
        <v>1</v>
      </c>
      <c r="I133" s="615">
        <v>15</v>
      </c>
      <c r="J133" s="615">
        <v>36</v>
      </c>
      <c r="K133" s="615">
        <v>540</v>
      </c>
      <c r="L133" s="615">
        <v>0.55384615384615388</v>
      </c>
      <c r="M133" s="615">
        <v>15</v>
      </c>
      <c r="N133" s="615">
        <v>39</v>
      </c>
      <c r="O133" s="615">
        <v>585</v>
      </c>
      <c r="P133" s="628">
        <v>0.6</v>
      </c>
      <c r="Q133" s="616">
        <v>15</v>
      </c>
    </row>
    <row r="134" spans="1:17" ht="14.4" customHeight="1" x14ac:dyDescent="0.3">
      <c r="A134" s="611" t="s">
        <v>2092</v>
      </c>
      <c r="B134" s="612" t="s">
        <v>2093</v>
      </c>
      <c r="C134" s="612" t="s">
        <v>1729</v>
      </c>
      <c r="D134" s="612" t="s">
        <v>2268</v>
      </c>
      <c r="E134" s="612" t="s">
        <v>2269</v>
      </c>
      <c r="F134" s="615">
        <v>142</v>
      </c>
      <c r="G134" s="615">
        <v>2698</v>
      </c>
      <c r="H134" s="615">
        <v>1</v>
      </c>
      <c r="I134" s="615">
        <v>19</v>
      </c>
      <c r="J134" s="615">
        <v>171</v>
      </c>
      <c r="K134" s="615">
        <v>3249</v>
      </c>
      <c r="L134" s="615">
        <v>1.204225352112676</v>
      </c>
      <c r="M134" s="615">
        <v>19</v>
      </c>
      <c r="N134" s="615">
        <v>141</v>
      </c>
      <c r="O134" s="615">
        <v>2679</v>
      </c>
      <c r="P134" s="628">
        <v>0.99295774647887325</v>
      </c>
      <c r="Q134" s="616">
        <v>19</v>
      </c>
    </row>
    <row r="135" spans="1:17" ht="14.4" customHeight="1" x14ac:dyDescent="0.3">
      <c r="A135" s="611" t="s">
        <v>2092</v>
      </c>
      <c r="B135" s="612" t="s">
        <v>2093</v>
      </c>
      <c r="C135" s="612" t="s">
        <v>1729</v>
      </c>
      <c r="D135" s="612" t="s">
        <v>2270</v>
      </c>
      <c r="E135" s="612" t="s">
        <v>2271</v>
      </c>
      <c r="F135" s="615">
        <v>196</v>
      </c>
      <c r="G135" s="615">
        <v>3920</v>
      </c>
      <c r="H135" s="615">
        <v>1</v>
      </c>
      <c r="I135" s="615">
        <v>20</v>
      </c>
      <c r="J135" s="615">
        <v>167</v>
      </c>
      <c r="K135" s="615">
        <v>3340</v>
      </c>
      <c r="L135" s="615">
        <v>0.85204081632653061</v>
      </c>
      <c r="M135" s="615">
        <v>20</v>
      </c>
      <c r="N135" s="615">
        <v>135</v>
      </c>
      <c r="O135" s="615">
        <v>2700</v>
      </c>
      <c r="P135" s="628">
        <v>0.68877551020408168</v>
      </c>
      <c r="Q135" s="616">
        <v>20</v>
      </c>
    </row>
    <row r="136" spans="1:17" ht="14.4" customHeight="1" x14ac:dyDescent="0.3">
      <c r="A136" s="611" t="s">
        <v>2092</v>
      </c>
      <c r="B136" s="612" t="s">
        <v>2093</v>
      </c>
      <c r="C136" s="612" t="s">
        <v>1729</v>
      </c>
      <c r="D136" s="612" t="s">
        <v>2272</v>
      </c>
      <c r="E136" s="612" t="s">
        <v>2273</v>
      </c>
      <c r="F136" s="615"/>
      <c r="G136" s="615"/>
      <c r="H136" s="615"/>
      <c r="I136" s="615"/>
      <c r="J136" s="615">
        <v>1</v>
      </c>
      <c r="K136" s="615">
        <v>184</v>
      </c>
      <c r="L136" s="615"/>
      <c r="M136" s="615">
        <v>184</v>
      </c>
      <c r="N136" s="615">
        <v>1</v>
      </c>
      <c r="O136" s="615">
        <v>185</v>
      </c>
      <c r="P136" s="628"/>
      <c r="Q136" s="616">
        <v>185</v>
      </c>
    </row>
    <row r="137" spans="1:17" ht="14.4" customHeight="1" x14ac:dyDescent="0.3">
      <c r="A137" s="611" t="s">
        <v>2092</v>
      </c>
      <c r="B137" s="612" t="s">
        <v>2093</v>
      </c>
      <c r="C137" s="612" t="s">
        <v>1729</v>
      </c>
      <c r="D137" s="612" t="s">
        <v>2274</v>
      </c>
      <c r="E137" s="612" t="s">
        <v>2275</v>
      </c>
      <c r="F137" s="615">
        <v>2</v>
      </c>
      <c r="G137" s="615">
        <v>370</v>
      </c>
      <c r="H137" s="615">
        <v>1</v>
      </c>
      <c r="I137" s="615">
        <v>185</v>
      </c>
      <c r="J137" s="615"/>
      <c r="K137" s="615"/>
      <c r="L137" s="615"/>
      <c r="M137" s="615"/>
      <c r="N137" s="615"/>
      <c r="O137" s="615"/>
      <c r="P137" s="628"/>
      <c r="Q137" s="616"/>
    </row>
    <row r="138" spans="1:17" ht="14.4" customHeight="1" x14ac:dyDescent="0.3">
      <c r="A138" s="611" t="s">
        <v>2092</v>
      </c>
      <c r="B138" s="612" t="s">
        <v>2093</v>
      </c>
      <c r="C138" s="612" t="s">
        <v>1729</v>
      </c>
      <c r="D138" s="612" t="s">
        <v>2276</v>
      </c>
      <c r="E138" s="612" t="s">
        <v>2277</v>
      </c>
      <c r="F138" s="615"/>
      <c r="G138" s="615"/>
      <c r="H138" s="615"/>
      <c r="I138" s="615"/>
      <c r="J138" s="615">
        <v>1</v>
      </c>
      <c r="K138" s="615">
        <v>266</v>
      </c>
      <c r="L138" s="615"/>
      <c r="M138" s="615">
        <v>266</v>
      </c>
      <c r="N138" s="615"/>
      <c r="O138" s="615"/>
      <c r="P138" s="628"/>
      <c r="Q138" s="616"/>
    </row>
    <row r="139" spans="1:17" ht="14.4" customHeight="1" x14ac:dyDescent="0.3">
      <c r="A139" s="611" t="s">
        <v>2092</v>
      </c>
      <c r="B139" s="612" t="s">
        <v>2093</v>
      </c>
      <c r="C139" s="612" t="s">
        <v>1729</v>
      </c>
      <c r="D139" s="612" t="s">
        <v>2278</v>
      </c>
      <c r="E139" s="612" t="s">
        <v>2279</v>
      </c>
      <c r="F139" s="615">
        <v>1</v>
      </c>
      <c r="G139" s="615">
        <v>160</v>
      </c>
      <c r="H139" s="615">
        <v>1</v>
      </c>
      <c r="I139" s="615">
        <v>160</v>
      </c>
      <c r="J139" s="615">
        <v>1</v>
      </c>
      <c r="K139" s="615">
        <v>161</v>
      </c>
      <c r="L139" s="615">
        <v>1.0062500000000001</v>
      </c>
      <c r="M139" s="615">
        <v>161</v>
      </c>
      <c r="N139" s="615"/>
      <c r="O139" s="615"/>
      <c r="P139" s="628"/>
      <c r="Q139" s="616"/>
    </row>
    <row r="140" spans="1:17" ht="14.4" customHeight="1" x14ac:dyDescent="0.3">
      <c r="A140" s="611" t="s">
        <v>2092</v>
      </c>
      <c r="B140" s="612" t="s">
        <v>2093</v>
      </c>
      <c r="C140" s="612" t="s">
        <v>1729</v>
      </c>
      <c r="D140" s="612" t="s">
        <v>2280</v>
      </c>
      <c r="E140" s="612" t="s">
        <v>2281</v>
      </c>
      <c r="F140" s="615">
        <v>1</v>
      </c>
      <c r="G140" s="615">
        <v>84</v>
      </c>
      <c r="H140" s="615">
        <v>1</v>
      </c>
      <c r="I140" s="615">
        <v>84</v>
      </c>
      <c r="J140" s="615"/>
      <c r="K140" s="615"/>
      <c r="L140" s="615"/>
      <c r="M140" s="615"/>
      <c r="N140" s="615">
        <v>1</v>
      </c>
      <c r="O140" s="615">
        <v>84</v>
      </c>
      <c r="P140" s="628">
        <v>1</v>
      </c>
      <c r="Q140" s="616">
        <v>84</v>
      </c>
    </row>
    <row r="141" spans="1:17" ht="14.4" customHeight="1" x14ac:dyDescent="0.3">
      <c r="A141" s="611" t="s">
        <v>2092</v>
      </c>
      <c r="B141" s="612" t="s">
        <v>2093</v>
      </c>
      <c r="C141" s="612" t="s">
        <v>1729</v>
      </c>
      <c r="D141" s="612" t="s">
        <v>2282</v>
      </c>
      <c r="E141" s="612" t="s">
        <v>2283</v>
      </c>
      <c r="F141" s="615">
        <v>12</v>
      </c>
      <c r="G141" s="615">
        <v>7716</v>
      </c>
      <c r="H141" s="615">
        <v>1</v>
      </c>
      <c r="I141" s="615">
        <v>643</v>
      </c>
      <c r="J141" s="615">
        <v>18</v>
      </c>
      <c r="K141" s="615">
        <v>11592</v>
      </c>
      <c r="L141" s="615">
        <v>1.5023328149300155</v>
      </c>
      <c r="M141" s="615">
        <v>644</v>
      </c>
      <c r="N141" s="615">
        <v>14</v>
      </c>
      <c r="O141" s="615">
        <v>9044</v>
      </c>
      <c r="P141" s="628">
        <v>1.1721099015033696</v>
      </c>
      <c r="Q141" s="616">
        <v>646</v>
      </c>
    </row>
    <row r="142" spans="1:17" ht="14.4" customHeight="1" x14ac:dyDescent="0.3">
      <c r="A142" s="611" t="s">
        <v>2092</v>
      </c>
      <c r="B142" s="612" t="s">
        <v>2093</v>
      </c>
      <c r="C142" s="612" t="s">
        <v>1729</v>
      </c>
      <c r="D142" s="612" t="s">
        <v>2284</v>
      </c>
      <c r="E142" s="612" t="s">
        <v>2285</v>
      </c>
      <c r="F142" s="615"/>
      <c r="G142" s="615"/>
      <c r="H142" s="615"/>
      <c r="I142" s="615"/>
      <c r="J142" s="615">
        <v>4</v>
      </c>
      <c r="K142" s="615">
        <v>1052</v>
      </c>
      <c r="L142" s="615"/>
      <c r="M142" s="615">
        <v>263</v>
      </c>
      <c r="N142" s="615">
        <v>2</v>
      </c>
      <c r="O142" s="615">
        <v>526</v>
      </c>
      <c r="P142" s="628"/>
      <c r="Q142" s="616">
        <v>263</v>
      </c>
    </row>
    <row r="143" spans="1:17" ht="14.4" customHeight="1" x14ac:dyDescent="0.3">
      <c r="A143" s="611" t="s">
        <v>2092</v>
      </c>
      <c r="B143" s="612" t="s">
        <v>2093</v>
      </c>
      <c r="C143" s="612" t="s">
        <v>1729</v>
      </c>
      <c r="D143" s="612" t="s">
        <v>2286</v>
      </c>
      <c r="E143" s="612" t="s">
        <v>2287</v>
      </c>
      <c r="F143" s="615">
        <v>53</v>
      </c>
      <c r="G143" s="615">
        <v>4134</v>
      </c>
      <c r="H143" s="615">
        <v>1</v>
      </c>
      <c r="I143" s="615">
        <v>78</v>
      </c>
      <c r="J143" s="615">
        <v>36</v>
      </c>
      <c r="K143" s="615">
        <v>2808</v>
      </c>
      <c r="L143" s="615">
        <v>0.67924528301886788</v>
      </c>
      <c r="M143" s="615">
        <v>78</v>
      </c>
      <c r="N143" s="615">
        <v>47</v>
      </c>
      <c r="O143" s="615">
        <v>3666</v>
      </c>
      <c r="P143" s="628">
        <v>0.8867924528301887</v>
      </c>
      <c r="Q143" s="616">
        <v>78</v>
      </c>
    </row>
    <row r="144" spans="1:17" ht="14.4" customHeight="1" x14ac:dyDescent="0.3">
      <c r="A144" s="611" t="s">
        <v>2092</v>
      </c>
      <c r="B144" s="612" t="s">
        <v>2093</v>
      </c>
      <c r="C144" s="612" t="s">
        <v>1729</v>
      </c>
      <c r="D144" s="612" t="s">
        <v>2288</v>
      </c>
      <c r="E144" s="612" t="s">
        <v>2289</v>
      </c>
      <c r="F144" s="615">
        <v>10</v>
      </c>
      <c r="G144" s="615">
        <v>210</v>
      </c>
      <c r="H144" s="615">
        <v>1</v>
      </c>
      <c r="I144" s="615">
        <v>21</v>
      </c>
      <c r="J144" s="615">
        <v>3</v>
      </c>
      <c r="K144" s="615">
        <v>63</v>
      </c>
      <c r="L144" s="615">
        <v>0.3</v>
      </c>
      <c r="M144" s="615">
        <v>21</v>
      </c>
      <c r="N144" s="615">
        <v>11</v>
      </c>
      <c r="O144" s="615">
        <v>231</v>
      </c>
      <c r="P144" s="628">
        <v>1.1000000000000001</v>
      </c>
      <c r="Q144" s="616">
        <v>21</v>
      </c>
    </row>
    <row r="145" spans="1:17" ht="14.4" customHeight="1" x14ac:dyDescent="0.3">
      <c r="A145" s="611" t="s">
        <v>2092</v>
      </c>
      <c r="B145" s="612" t="s">
        <v>2093</v>
      </c>
      <c r="C145" s="612" t="s">
        <v>1729</v>
      </c>
      <c r="D145" s="612" t="s">
        <v>2290</v>
      </c>
      <c r="E145" s="612" t="s">
        <v>2291</v>
      </c>
      <c r="F145" s="615">
        <v>6</v>
      </c>
      <c r="G145" s="615">
        <v>6522</v>
      </c>
      <c r="H145" s="615">
        <v>1</v>
      </c>
      <c r="I145" s="615">
        <v>1087</v>
      </c>
      <c r="J145" s="615">
        <v>16</v>
      </c>
      <c r="K145" s="615">
        <v>17408</v>
      </c>
      <c r="L145" s="615">
        <v>2.6691199018705918</v>
      </c>
      <c r="M145" s="615">
        <v>1088</v>
      </c>
      <c r="N145" s="615">
        <v>16</v>
      </c>
      <c r="O145" s="615">
        <v>17424</v>
      </c>
      <c r="P145" s="628">
        <v>2.671573137074517</v>
      </c>
      <c r="Q145" s="616">
        <v>1089</v>
      </c>
    </row>
    <row r="146" spans="1:17" ht="14.4" customHeight="1" x14ac:dyDescent="0.3">
      <c r="A146" s="611" t="s">
        <v>2092</v>
      </c>
      <c r="B146" s="612" t="s">
        <v>2093</v>
      </c>
      <c r="C146" s="612" t="s">
        <v>1729</v>
      </c>
      <c r="D146" s="612" t="s">
        <v>2292</v>
      </c>
      <c r="E146" s="612" t="s">
        <v>2293</v>
      </c>
      <c r="F146" s="615">
        <v>9</v>
      </c>
      <c r="G146" s="615">
        <v>198</v>
      </c>
      <c r="H146" s="615">
        <v>1</v>
      </c>
      <c r="I146" s="615">
        <v>22</v>
      </c>
      <c r="J146" s="615">
        <v>2</v>
      </c>
      <c r="K146" s="615">
        <v>44</v>
      </c>
      <c r="L146" s="615">
        <v>0.22222222222222221</v>
      </c>
      <c r="M146" s="615">
        <v>22</v>
      </c>
      <c r="N146" s="615">
        <v>7</v>
      </c>
      <c r="O146" s="615">
        <v>154</v>
      </c>
      <c r="P146" s="628">
        <v>0.77777777777777779</v>
      </c>
      <c r="Q146" s="616">
        <v>22</v>
      </c>
    </row>
    <row r="147" spans="1:17" ht="14.4" customHeight="1" x14ac:dyDescent="0.3">
      <c r="A147" s="611" t="s">
        <v>2092</v>
      </c>
      <c r="B147" s="612" t="s">
        <v>2093</v>
      </c>
      <c r="C147" s="612" t="s">
        <v>1729</v>
      </c>
      <c r="D147" s="612" t="s">
        <v>2294</v>
      </c>
      <c r="E147" s="612" t="s">
        <v>2295</v>
      </c>
      <c r="F147" s="615">
        <v>2</v>
      </c>
      <c r="G147" s="615">
        <v>1136</v>
      </c>
      <c r="H147" s="615">
        <v>1</v>
      </c>
      <c r="I147" s="615">
        <v>568</v>
      </c>
      <c r="J147" s="615">
        <v>9</v>
      </c>
      <c r="K147" s="615">
        <v>5112</v>
      </c>
      <c r="L147" s="615">
        <v>4.5</v>
      </c>
      <c r="M147" s="615">
        <v>568</v>
      </c>
      <c r="N147" s="615">
        <v>9</v>
      </c>
      <c r="O147" s="615">
        <v>5121</v>
      </c>
      <c r="P147" s="628">
        <v>4.507922535211268</v>
      </c>
      <c r="Q147" s="616">
        <v>569</v>
      </c>
    </row>
    <row r="148" spans="1:17" ht="14.4" customHeight="1" x14ac:dyDescent="0.3">
      <c r="A148" s="611" t="s">
        <v>2092</v>
      </c>
      <c r="B148" s="612" t="s">
        <v>2093</v>
      </c>
      <c r="C148" s="612" t="s">
        <v>1729</v>
      </c>
      <c r="D148" s="612" t="s">
        <v>2296</v>
      </c>
      <c r="E148" s="612" t="s">
        <v>2297</v>
      </c>
      <c r="F148" s="615"/>
      <c r="G148" s="615"/>
      <c r="H148" s="615"/>
      <c r="I148" s="615"/>
      <c r="J148" s="615">
        <v>2</v>
      </c>
      <c r="K148" s="615">
        <v>340</v>
      </c>
      <c r="L148" s="615"/>
      <c r="M148" s="615">
        <v>170</v>
      </c>
      <c r="N148" s="615"/>
      <c r="O148" s="615"/>
      <c r="P148" s="628"/>
      <c r="Q148" s="616"/>
    </row>
    <row r="149" spans="1:17" ht="14.4" customHeight="1" x14ac:dyDescent="0.3">
      <c r="A149" s="611" t="s">
        <v>2092</v>
      </c>
      <c r="B149" s="612" t="s">
        <v>2093</v>
      </c>
      <c r="C149" s="612" t="s">
        <v>1729</v>
      </c>
      <c r="D149" s="612" t="s">
        <v>2298</v>
      </c>
      <c r="E149" s="612" t="s">
        <v>2299</v>
      </c>
      <c r="F149" s="615">
        <v>15</v>
      </c>
      <c r="G149" s="615">
        <v>8430</v>
      </c>
      <c r="H149" s="615">
        <v>1</v>
      </c>
      <c r="I149" s="615">
        <v>562</v>
      </c>
      <c r="J149" s="615">
        <v>3</v>
      </c>
      <c r="K149" s="615">
        <v>1692</v>
      </c>
      <c r="L149" s="615">
        <v>0.20071174377224199</v>
      </c>
      <c r="M149" s="615">
        <v>564</v>
      </c>
      <c r="N149" s="615">
        <v>18</v>
      </c>
      <c r="O149" s="615">
        <v>10254</v>
      </c>
      <c r="P149" s="628">
        <v>1.2163701067615658</v>
      </c>
      <c r="Q149" s="616">
        <v>569.66666666666663</v>
      </c>
    </row>
    <row r="150" spans="1:17" ht="14.4" customHeight="1" x14ac:dyDescent="0.3">
      <c r="A150" s="611" t="s">
        <v>2092</v>
      </c>
      <c r="B150" s="612" t="s">
        <v>2093</v>
      </c>
      <c r="C150" s="612" t="s">
        <v>1729</v>
      </c>
      <c r="D150" s="612" t="s">
        <v>2035</v>
      </c>
      <c r="E150" s="612" t="s">
        <v>2036</v>
      </c>
      <c r="F150" s="615">
        <v>15</v>
      </c>
      <c r="G150" s="615">
        <v>15000</v>
      </c>
      <c r="H150" s="615">
        <v>1</v>
      </c>
      <c r="I150" s="615">
        <v>1000</v>
      </c>
      <c r="J150" s="615">
        <v>3</v>
      </c>
      <c r="K150" s="615">
        <v>3006</v>
      </c>
      <c r="L150" s="615">
        <v>0.20039999999999999</v>
      </c>
      <c r="M150" s="615">
        <v>1002</v>
      </c>
      <c r="N150" s="615">
        <v>18</v>
      </c>
      <c r="O150" s="615">
        <v>18104</v>
      </c>
      <c r="P150" s="628">
        <v>1.2069333333333334</v>
      </c>
      <c r="Q150" s="616">
        <v>1005.7777777777778</v>
      </c>
    </row>
    <row r="151" spans="1:17" ht="14.4" customHeight="1" x14ac:dyDescent="0.3">
      <c r="A151" s="611" t="s">
        <v>2092</v>
      </c>
      <c r="B151" s="612" t="s">
        <v>2093</v>
      </c>
      <c r="C151" s="612" t="s">
        <v>1729</v>
      </c>
      <c r="D151" s="612" t="s">
        <v>2300</v>
      </c>
      <c r="E151" s="612" t="s">
        <v>2301</v>
      </c>
      <c r="F151" s="615">
        <v>1</v>
      </c>
      <c r="G151" s="615">
        <v>189</v>
      </c>
      <c r="H151" s="615">
        <v>1</v>
      </c>
      <c r="I151" s="615">
        <v>189</v>
      </c>
      <c r="J151" s="615"/>
      <c r="K151" s="615"/>
      <c r="L151" s="615"/>
      <c r="M151" s="615"/>
      <c r="N151" s="615">
        <v>1</v>
      </c>
      <c r="O151" s="615">
        <v>191</v>
      </c>
      <c r="P151" s="628">
        <v>1.0105820105820107</v>
      </c>
      <c r="Q151" s="616">
        <v>191</v>
      </c>
    </row>
    <row r="152" spans="1:17" ht="14.4" customHeight="1" x14ac:dyDescent="0.3">
      <c r="A152" s="611" t="s">
        <v>2092</v>
      </c>
      <c r="B152" s="612" t="s">
        <v>2093</v>
      </c>
      <c r="C152" s="612" t="s">
        <v>1729</v>
      </c>
      <c r="D152" s="612" t="s">
        <v>2302</v>
      </c>
      <c r="E152" s="612" t="s">
        <v>2303</v>
      </c>
      <c r="F152" s="615">
        <v>2</v>
      </c>
      <c r="G152" s="615">
        <v>410</v>
      </c>
      <c r="H152" s="615">
        <v>1</v>
      </c>
      <c r="I152" s="615">
        <v>205</v>
      </c>
      <c r="J152" s="615"/>
      <c r="K152" s="615"/>
      <c r="L152" s="615"/>
      <c r="M152" s="615"/>
      <c r="N152" s="615"/>
      <c r="O152" s="615"/>
      <c r="P152" s="628"/>
      <c r="Q152" s="616"/>
    </row>
    <row r="153" spans="1:17" ht="14.4" customHeight="1" x14ac:dyDescent="0.3">
      <c r="A153" s="611" t="s">
        <v>2092</v>
      </c>
      <c r="B153" s="612" t="s">
        <v>2093</v>
      </c>
      <c r="C153" s="612" t="s">
        <v>1729</v>
      </c>
      <c r="D153" s="612" t="s">
        <v>2304</v>
      </c>
      <c r="E153" s="612" t="s">
        <v>2305</v>
      </c>
      <c r="F153" s="615"/>
      <c r="G153" s="615"/>
      <c r="H153" s="615"/>
      <c r="I153" s="615"/>
      <c r="J153" s="615"/>
      <c r="K153" s="615"/>
      <c r="L153" s="615"/>
      <c r="M153" s="615"/>
      <c r="N153" s="615">
        <v>6</v>
      </c>
      <c r="O153" s="615">
        <v>9910</v>
      </c>
      <c r="P153" s="628"/>
      <c r="Q153" s="616">
        <v>1651.6666666666667</v>
      </c>
    </row>
    <row r="154" spans="1:17" ht="14.4" customHeight="1" x14ac:dyDescent="0.3">
      <c r="A154" s="611" t="s">
        <v>2092</v>
      </c>
      <c r="B154" s="612" t="s">
        <v>2093</v>
      </c>
      <c r="C154" s="612" t="s">
        <v>1729</v>
      </c>
      <c r="D154" s="612" t="s">
        <v>2306</v>
      </c>
      <c r="E154" s="612" t="s">
        <v>2307</v>
      </c>
      <c r="F154" s="615"/>
      <c r="G154" s="615"/>
      <c r="H154" s="615"/>
      <c r="I154" s="615"/>
      <c r="J154" s="615"/>
      <c r="K154" s="615"/>
      <c r="L154" s="615"/>
      <c r="M154" s="615"/>
      <c r="N154" s="615">
        <v>2</v>
      </c>
      <c r="O154" s="615">
        <v>254</v>
      </c>
      <c r="P154" s="628"/>
      <c r="Q154" s="616">
        <v>127</v>
      </c>
    </row>
    <row r="155" spans="1:17" ht="14.4" customHeight="1" x14ac:dyDescent="0.3">
      <c r="A155" s="611" t="s">
        <v>2092</v>
      </c>
      <c r="B155" s="612" t="s">
        <v>2093</v>
      </c>
      <c r="C155" s="612" t="s">
        <v>1729</v>
      </c>
      <c r="D155" s="612" t="s">
        <v>2308</v>
      </c>
      <c r="E155" s="612" t="s">
        <v>2309</v>
      </c>
      <c r="F155" s="615"/>
      <c r="G155" s="615"/>
      <c r="H155" s="615"/>
      <c r="I155" s="615"/>
      <c r="J155" s="615">
        <v>2</v>
      </c>
      <c r="K155" s="615">
        <v>620</v>
      </c>
      <c r="L155" s="615"/>
      <c r="M155" s="615">
        <v>310</v>
      </c>
      <c r="N155" s="615"/>
      <c r="O155" s="615"/>
      <c r="P155" s="628"/>
      <c r="Q155" s="616"/>
    </row>
    <row r="156" spans="1:17" ht="14.4" customHeight="1" x14ac:dyDescent="0.3">
      <c r="A156" s="611" t="s">
        <v>2092</v>
      </c>
      <c r="B156" s="612" t="s">
        <v>2093</v>
      </c>
      <c r="C156" s="612" t="s">
        <v>1729</v>
      </c>
      <c r="D156" s="612" t="s">
        <v>2310</v>
      </c>
      <c r="E156" s="612" t="s">
        <v>2311</v>
      </c>
      <c r="F156" s="615">
        <v>27</v>
      </c>
      <c r="G156" s="615">
        <v>621</v>
      </c>
      <c r="H156" s="615">
        <v>1</v>
      </c>
      <c r="I156" s="615">
        <v>23</v>
      </c>
      <c r="J156" s="615">
        <v>18</v>
      </c>
      <c r="K156" s="615">
        <v>414</v>
      </c>
      <c r="L156" s="615">
        <v>0.66666666666666663</v>
      </c>
      <c r="M156" s="615">
        <v>23</v>
      </c>
      <c r="N156" s="615">
        <v>14</v>
      </c>
      <c r="O156" s="615">
        <v>322</v>
      </c>
      <c r="P156" s="628">
        <v>0.51851851851851849</v>
      </c>
      <c r="Q156" s="616">
        <v>23</v>
      </c>
    </row>
    <row r="157" spans="1:17" ht="14.4" customHeight="1" x14ac:dyDescent="0.3">
      <c r="A157" s="611" t="s">
        <v>2092</v>
      </c>
      <c r="B157" s="612" t="s">
        <v>2093</v>
      </c>
      <c r="C157" s="612" t="s">
        <v>1729</v>
      </c>
      <c r="D157" s="612" t="s">
        <v>2312</v>
      </c>
      <c r="E157" s="612" t="s">
        <v>2313</v>
      </c>
      <c r="F157" s="615"/>
      <c r="G157" s="615"/>
      <c r="H157" s="615"/>
      <c r="I157" s="615"/>
      <c r="J157" s="615">
        <v>3</v>
      </c>
      <c r="K157" s="615">
        <v>393</v>
      </c>
      <c r="L157" s="615"/>
      <c r="M157" s="615">
        <v>131</v>
      </c>
      <c r="N157" s="615"/>
      <c r="O157" s="615"/>
      <c r="P157" s="628"/>
      <c r="Q157" s="616"/>
    </row>
    <row r="158" spans="1:17" ht="14.4" customHeight="1" x14ac:dyDescent="0.3">
      <c r="A158" s="611" t="s">
        <v>2092</v>
      </c>
      <c r="B158" s="612" t="s">
        <v>2093</v>
      </c>
      <c r="C158" s="612" t="s">
        <v>1729</v>
      </c>
      <c r="D158" s="612" t="s">
        <v>2314</v>
      </c>
      <c r="E158" s="612" t="s">
        <v>2315</v>
      </c>
      <c r="F158" s="615">
        <v>1</v>
      </c>
      <c r="G158" s="615">
        <v>291</v>
      </c>
      <c r="H158" s="615">
        <v>1</v>
      </c>
      <c r="I158" s="615">
        <v>291</v>
      </c>
      <c r="J158" s="615">
        <v>1</v>
      </c>
      <c r="K158" s="615">
        <v>291</v>
      </c>
      <c r="L158" s="615">
        <v>1</v>
      </c>
      <c r="M158" s="615">
        <v>291</v>
      </c>
      <c r="N158" s="615"/>
      <c r="O158" s="615"/>
      <c r="P158" s="628"/>
      <c r="Q158" s="616"/>
    </row>
    <row r="159" spans="1:17" ht="14.4" customHeight="1" x14ac:dyDescent="0.3">
      <c r="A159" s="611" t="s">
        <v>2092</v>
      </c>
      <c r="B159" s="612" t="s">
        <v>2093</v>
      </c>
      <c r="C159" s="612" t="s">
        <v>1729</v>
      </c>
      <c r="D159" s="612" t="s">
        <v>2316</v>
      </c>
      <c r="E159" s="612" t="s">
        <v>2317</v>
      </c>
      <c r="F159" s="615"/>
      <c r="G159" s="615"/>
      <c r="H159" s="615"/>
      <c r="I159" s="615"/>
      <c r="J159" s="615">
        <v>1</v>
      </c>
      <c r="K159" s="615">
        <v>366</v>
      </c>
      <c r="L159" s="615"/>
      <c r="M159" s="615">
        <v>366</v>
      </c>
      <c r="N159" s="615"/>
      <c r="O159" s="615"/>
      <c r="P159" s="628"/>
      <c r="Q159" s="616"/>
    </row>
    <row r="160" spans="1:17" ht="14.4" customHeight="1" x14ac:dyDescent="0.3">
      <c r="A160" s="611" t="s">
        <v>2092</v>
      </c>
      <c r="B160" s="612" t="s">
        <v>2093</v>
      </c>
      <c r="C160" s="612" t="s">
        <v>1729</v>
      </c>
      <c r="D160" s="612" t="s">
        <v>2318</v>
      </c>
      <c r="E160" s="612" t="s">
        <v>2319</v>
      </c>
      <c r="F160" s="615">
        <v>46</v>
      </c>
      <c r="G160" s="615">
        <v>2070</v>
      </c>
      <c r="H160" s="615">
        <v>1</v>
      </c>
      <c r="I160" s="615">
        <v>45</v>
      </c>
      <c r="J160" s="615">
        <v>37</v>
      </c>
      <c r="K160" s="615">
        <v>1665</v>
      </c>
      <c r="L160" s="615">
        <v>0.80434782608695654</v>
      </c>
      <c r="M160" s="615">
        <v>45</v>
      </c>
      <c r="N160" s="615">
        <v>22</v>
      </c>
      <c r="O160" s="615">
        <v>990</v>
      </c>
      <c r="P160" s="628">
        <v>0.47826086956521741</v>
      </c>
      <c r="Q160" s="616">
        <v>45</v>
      </c>
    </row>
    <row r="161" spans="1:17" ht="14.4" customHeight="1" x14ac:dyDescent="0.3">
      <c r="A161" s="611" t="s">
        <v>2092</v>
      </c>
      <c r="B161" s="612" t="s">
        <v>2093</v>
      </c>
      <c r="C161" s="612" t="s">
        <v>1729</v>
      </c>
      <c r="D161" s="612" t="s">
        <v>2320</v>
      </c>
      <c r="E161" s="612" t="s">
        <v>2159</v>
      </c>
      <c r="F161" s="615">
        <v>5</v>
      </c>
      <c r="G161" s="615">
        <v>925</v>
      </c>
      <c r="H161" s="615">
        <v>1</v>
      </c>
      <c r="I161" s="615">
        <v>185</v>
      </c>
      <c r="J161" s="615">
        <v>15</v>
      </c>
      <c r="K161" s="615">
        <v>2775</v>
      </c>
      <c r="L161" s="615">
        <v>3</v>
      </c>
      <c r="M161" s="615">
        <v>185</v>
      </c>
      <c r="N161" s="615">
        <v>9</v>
      </c>
      <c r="O161" s="615">
        <v>1674</v>
      </c>
      <c r="P161" s="628">
        <v>1.8097297297297297</v>
      </c>
      <c r="Q161" s="616">
        <v>186</v>
      </c>
    </row>
    <row r="162" spans="1:17" ht="14.4" customHeight="1" x14ac:dyDescent="0.3">
      <c r="A162" s="611" t="s">
        <v>2092</v>
      </c>
      <c r="B162" s="612" t="s">
        <v>2093</v>
      </c>
      <c r="C162" s="612" t="s">
        <v>1729</v>
      </c>
      <c r="D162" s="612" t="s">
        <v>2321</v>
      </c>
      <c r="E162" s="612" t="s">
        <v>2322</v>
      </c>
      <c r="F162" s="615"/>
      <c r="G162" s="615"/>
      <c r="H162" s="615"/>
      <c r="I162" s="615"/>
      <c r="J162" s="615">
        <v>1</v>
      </c>
      <c r="K162" s="615">
        <v>145</v>
      </c>
      <c r="L162" s="615"/>
      <c r="M162" s="615">
        <v>145</v>
      </c>
      <c r="N162" s="615">
        <v>3</v>
      </c>
      <c r="O162" s="615">
        <v>435</v>
      </c>
      <c r="P162" s="628"/>
      <c r="Q162" s="616">
        <v>145</v>
      </c>
    </row>
    <row r="163" spans="1:17" ht="14.4" customHeight="1" x14ac:dyDescent="0.3">
      <c r="A163" s="611" t="s">
        <v>2092</v>
      </c>
      <c r="B163" s="612" t="s">
        <v>2093</v>
      </c>
      <c r="C163" s="612" t="s">
        <v>1729</v>
      </c>
      <c r="D163" s="612" t="s">
        <v>2323</v>
      </c>
      <c r="E163" s="612" t="s">
        <v>2324</v>
      </c>
      <c r="F163" s="615"/>
      <c r="G163" s="615"/>
      <c r="H163" s="615"/>
      <c r="I163" s="615"/>
      <c r="J163" s="615">
        <v>1</v>
      </c>
      <c r="K163" s="615">
        <v>46</v>
      </c>
      <c r="L163" s="615"/>
      <c r="M163" s="615">
        <v>46</v>
      </c>
      <c r="N163" s="615">
        <v>100</v>
      </c>
      <c r="O163" s="615">
        <v>4600</v>
      </c>
      <c r="P163" s="628"/>
      <c r="Q163" s="616">
        <v>46</v>
      </c>
    </row>
    <row r="164" spans="1:17" ht="14.4" customHeight="1" x14ac:dyDescent="0.3">
      <c r="A164" s="611" t="s">
        <v>2092</v>
      </c>
      <c r="B164" s="612" t="s">
        <v>2093</v>
      </c>
      <c r="C164" s="612" t="s">
        <v>1729</v>
      </c>
      <c r="D164" s="612" t="s">
        <v>2325</v>
      </c>
      <c r="E164" s="612" t="s">
        <v>2326</v>
      </c>
      <c r="F164" s="615"/>
      <c r="G164" s="615"/>
      <c r="H164" s="615"/>
      <c r="I164" s="615"/>
      <c r="J164" s="615">
        <v>4</v>
      </c>
      <c r="K164" s="615">
        <v>404</v>
      </c>
      <c r="L164" s="615"/>
      <c r="M164" s="615">
        <v>101</v>
      </c>
      <c r="N164" s="615"/>
      <c r="O164" s="615"/>
      <c r="P164" s="628"/>
      <c r="Q164" s="616"/>
    </row>
    <row r="165" spans="1:17" ht="14.4" customHeight="1" x14ac:dyDescent="0.3">
      <c r="A165" s="611" t="s">
        <v>2092</v>
      </c>
      <c r="B165" s="612" t="s">
        <v>2093</v>
      </c>
      <c r="C165" s="612" t="s">
        <v>1729</v>
      </c>
      <c r="D165" s="612" t="s">
        <v>2327</v>
      </c>
      <c r="E165" s="612" t="s">
        <v>2328</v>
      </c>
      <c r="F165" s="615"/>
      <c r="G165" s="615"/>
      <c r="H165" s="615"/>
      <c r="I165" s="615"/>
      <c r="J165" s="615">
        <v>2</v>
      </c>
      <c r="K165" s="615">
        <v>576</v>
      </c>
      <c r="L165" s="615"/>
      <c r="M165" s="615">
        <v>288</v>
      </c>
      <c r="N165" s="615">
        <v>2</v>
      </c>
      <c r="O165" s="615">
        <v>578</v>
      </c>
      <c r="P165" s="628"/>
      <c r="Q165" s="616">
        <v>289</v>
      </c>
    </row>
    <row r="166" spans="1:17" ht="14.4" customHeight="1" x14ac:dyDescent="0.3">
      <c r="A166" s="611" t="s">
        <v>2092</v>
      </c>
      <c r="B166" s="612" t="s">
        <v>2093</v>
      </c>
      <c r="C166" s="612" t="s">
        <v>1729</v>
      </c>
      <c r="D166" s="612" t="s">
        <v>2329</v>
      </c>
      <c r="E166" s="612" t="s">
        <v>2330</v>
      </c>
      <c r="F166" s="615">
        <v>10</v>
      </c>
      <c r="G166" s="615">
        <v>1360</v>
      </c>
      <c r="H166" s="615">
        <v>1</v>
      </c>
      <c r="I166" s="615">
        <v>136</v>
      </c>
      <c r="J166" s="615"/>
      <c r="K166" s="615"/>
      <c r="L166" s="615"/>
      <c r="M166" s="615"/>
      <c r="N166" s="615"/>
      <c r="O166" s="615"/>
      <c r="P166" s="628"/>
      <c r="Q166" s="616"/>
    </row>
    <row r="167" spans="1:17" ht="14.4" customHeight="1" x14ac:dyDescent="0.3">
      <c r="A167" s="611" t="s">
        <v>2092</v>
      </c>
      <c r="B167" s="612" t="s">
        <v>2093</v>
      </c>
      <c r="C167" s="612" t="s">
        <v>1729</v>
      </c>
      <c r="D167" s="612" t="s">
        <v>2331</v>
      </c>
      <c r="E167" s="612" t="s">
        <v>2332</v>
      </c>
      <c r="F167" s="615">
        <v>10</v>
      </c>
      <c r="G167" s="615">
        <v>70</v>
      </c>
      <c r="H167" s="615">
        <v>1</v>
      </c>
      <c r="I167" s="615">
        <v>7</v>
      </c>
      <c r="J167" s="615"/>
      <c r="K167" s="615"/>
      <c r="L167" s="615"/>
      <c r="M167" s="615"/>
      <c r="N167" s="615"/>
      <c r="O167" s="615"/>
      <c r="P167" s="628"/>
      <c r="Q167" s="616"/>
    </row>
    <row r="168" spans="1:17" ht="14.4" customHeight="1" x14ac:dyDescent="0.3">
      <c r="A168" s="611" t="s">
        <v>2092</v>
      </c>
      <c r="B168" s="612" t="s">
        <v>2093</v>
      </c>
      <c r="C168" s="612" t="s">
        <v>1729</v>
      </c>
      <c r="D168" s="612" t="s">
        <v>2333</v>
      </c>
      <c r="E168" s="612" t="s">
        <v>2334</v>
      </c>
      <c r="F168" s="615"/>
      <c r="G168" s="615"/>
      <c r="H168" s="615"/>
      <c r="I168" s="615"/>
      <c r="J168" s="615"/>
      <c r="K168" s="615"/>
      <c r="L168" s="615"/>
      <c r="M168" s="615"/>
      <c r="N168" s="615">
        <v>3</v>
      </c>
      <c r="O168" s="615">
        <v>90</v>
      </c>
      <c r="P168" s="628"/>
      <c r="Q168" s="616">
        <v>30</v>
      </c>
    </row>
    <row r="169" spans="1:17" ht="14.4" customHeight="1" x14ac:dyDescent="0.3">
      <c r="A169" s="611" t="s">
        <v>2092</v>
      </c>
      <c r="B169" s="612" t="s">
        <v>2093</v>
      </c>
      <c r="C169" s="612" t="s">
        <v>1729</v>
      </c>
      <c r="D169" s="612" t="s">
        <v>2335</v>
      </c>
      <c r="E169" s="612" t="s">
        <v>2336</v>
      </c>
      <c r="F169" s="615"/>
      <c r="G169" s="615"/>
      <c r="H169" s="615"/>
      <c r="I169" s="615"/>
      <c r="J169" s="615">
        <v>2</v>
      </c>
      <c r="K169" s="615">
        <v>1110</v>
      </c>
      <c r="L169" s="615"/>
      <c r="M169" s="615">
        <v>555</v>
      </c>
      <c r="N169" s="615">
        <v>4</v>
      </c>
      <c r="O169" s="615">
        <v>2228</v>
      </c>
      <c r="P169" s="628"/>
      <c r="Q169" s="616">
        <v>557</v>
      </c>
    </row>
    <row r="170" spans="1:17" ht="14.4" customHeight="1" x14ac:dyDescent="0.3">
      <c r="A170" s="611" t="s">
        <v>2092</v>
      </c>
      <c r="B170" s="612" t="s">
        <v>2093</v>
      </c>
      <c r="C170" s="612" t="s">
        <v>1729</v>
      </c>
      <c r="D170" s="612" t="s">
        <v>2337</v>
      </c>
      <c r="E170" s="612" t="s">
        <v>2338</v>
      </c>
      <c r="F170" s="615">
        <v>8</v>
      </c>
      <c r="G170" s="615">
        <v>1448</v>
      </c>
      <c r="H170" s="615">
        <v>1</v>
      </c>
      <c r="I170" s="615">
        <v>181</v>
      </c>
      <c r="J170" s="615">
        <v>3</v>
      </c>
      <c r="K170" s="615">
        <v>546</v>
      </c>
      <c r="L170" s="615">
        <v>0.3770718232044199</v>
      </c>
      <c r="M170" s="615">
        <v>182</v>
      </c>
      <c r="N170" s="615">
        <v>4</v>
      </c>
      <c r="O170" s="615">
        <v>731</v>
      </c>
      <c r="P170" s="628">
        <v>0.50483425414364635</v>
      </c>
      <c r="Q170" s="616">
        <v>182.75</v>
      </c>
    </row>
    <row r="171" spans="1:17" ht="14.4" customHeight="1" x14ac:dyDescent="0.3">
      <c r="A171" s="611" t="s">
        <v>2092</v>
      </c>
      <c r="B171" s="612" t="s">
        <v>2093</v>
      </c>
      <c r="C171" s="612" t="s">
        <v>1729</v>
      </c>
      <c r="D171" s="612" t="s">
        <v>2339</v>
      </c>
      <c r="E171" s="612" t="s">
        <v>2340</v>
      </c>
      <c r="F171" s="615">
        <v>1</v>
      </c>
      <c r="G171" s="615">
        <v>287</v>
      </c>
      <c r="H171" s="615">
        <v>1</v>
      </c>
      <c r="I171" s="615">
        <v>287</v>
      </c>
      <c r="J171" s="615">
        <v>3</v>
      </c>
      <c r="K171" s="615">
        <v>864</v>
      </c>
      <c r="L171" s="615">
        <v>3.010452961672474</v>
      </c>
      <c r="M171" s="615">
        <v>288</v>
      </c>
      <c r="N171" s="615">
        <v>5</v>
      </c>
      <c r="O171" s="615">
        <v>1455</v>
      </c>
      <c r="P171" s="628">
        <v>5.0696864111498261</v>
      </c>
      <c r="Q171" s="616">
        <v>291</v>
      </c>
    </row>
    <row r="172" spans="1:17" ht="14.4" customHeight="1" x14ac:dyDescent="0.3">
      <c r="A172" s="611" t="s">
        <v>2092</v>
      </c>
      <c r="B172" s="612" t="s">
        <v>2093</v>
      </c>
      <c r="C172" s="612" t="s">
        <v>1729</v>
      </c>
      <c r="D172" s="612" t="s">
        <v>2341</v>
      </c>
      <c r="E172" s="612" t="s">
        <v>2342</v>
      </c>
      <c r="F172" s="615"/>
      <c r="G172" s="615"/>
      <c r="H172" s="615"/>
      <c r="I172" s="615"/>
      <c r="J172" s="615">
        <v>2</v>
      </c>
      <c r="K172" s="615">
        <v>702</v>
      </c>
      <c r="L172" s="615"/>
      <c r="M172" s="615">
        <v>351</v>
      </c>
      <c r="N172" s="615"/>
      <c r="O172" s="615"/>
      <c r="P172" s="628"/>
      <c r="Q172" s="616"/>
    </row>
    <row r="173" spans="1:17" ht="14.4" customHeight="1" x14ac:dyDescent="0.3">
      <c r="A173" s="611" t="s">
        <v>2092</v>
      </c>
      <c r="B173" s="612" t="s">
        <v>2093</v>
      </c>
      <c r="C173" s="612" t="s">
        <v>1729</v>
      </c>
      <c r="D173" s="612" t="s">
        <v>2343</v>
      </c>
      <c r="E173" s="612" t="s">
        <v>2344</v>
      </c>
      <c r="F173" s="615"/>
      <c r="G173" s="615"/>
      <c r="H173" s="615"/>
      <c r="I173" s="615"/>
      <c r="J173" s="615">
        <v>1</v>
      </c>
      <c r="K173" s="615">
        <v>514</v>
      </c>
      <c r="L173" s="615"/>
      <c r="M173" s="615">
        <v>514</v>
      </c>
      <c r="N173" s="615">
        <v>1</v>
      </c>
      <c r="O173" s="615">
        <v>515</v>
      </c>
      <c r="P173" s="628"/>
      <c r="Q173" s="616">
        <v>515</v>
      </c>
    </row>
    <row r="174" spans="1:17" ht="14.4" customHeight="1" x14ac:dyDescent="0.3">
      <c r="A174" s="611" t="s">
        <v>2092</v>
      </c>
      <c r="B174" s="612" t="s">
        <v>2345</v>
      </c>
      <c r="C174" s="612" t="s">
        <v>1729</v>
      </c>
      <c r="D174" s="612" t="s">
        <v>2346</v>
      </c>
      <c r="E174" s="612" t="s">
        <v>2347</v>
      </c>
      <c r="F174" s="615">
        <v>425</v>
      </c>
      <c r="G174" s="615">
        <v>439875</v>
      </c>
      <c r="H174" s="615">
        <v>1</v>
      </c>
      <c r="I174" s="615">
        <v>1035</v>
      </c>
      <c r="J174" s="615">
        <v>393</v>
      </c>
      <c r="K174" s="615">
        <v>406755</v>
      </c>
      <c r="L174" s="615">
        <v>0.92470588235294116</v>
      </c>
      <c r="M174" s="615">
        <v>1035</v>
      </c>
      <c r="N174" s="615">
        <v>340</v>
      </c>
      <c r="O174" s="615">
        <v>352354</v>
      </c>
      <c r="P174" s="628">
        <v>0.80103211139528274</v>
      </c>
      <c r="Q174" s="616">
        <v>1036.335294117647</v>
      </c>
    </row>
    <row r="175" spans="1:17" ht="14.4" customHeight="1" x14ac:dyDescent="0.3">
      <c r="A175" s="611" t="s">
        <v>2092</v>
      </c>
      <c r="B175" s="612" t="s">
        <v>2345</v>
      </c>
      <c r="C175" s="612" t="s">
        <v>1729</v>
      </c>
      <c r="D175" s="612" t="s">
        <v>2022</v>
      </c>
      <c r="E175" s="612" t="s">
        <v>2023</v>
      </c>
      <c r="F175" s="615">
        <v>13</v>
      </c>
      <c r="G175" s="615">
        <v>16068</v>
      </c>
      <c r="H175" s="615">
        <v>1</v>
      </c>
      <c r="I175" s="615">
        <v>1236</v>
      </c>
      <c r="J175" s="615">
        <v>1</v>
      </c>
      <c r="K175" s="615">
        <v>1245</v>
      </c>
      <c r="L175" s="615">
        <v>7.7483196415235253E-2</v>
      </c>
      <c r="M175" s="615">
        <v>1245</v>
      </c>
      <c r="N175" s="615"/>
      <c r="O175" s="615"/>
      <c r="P175" s="628"/>
      <c r="Q175" s="616"/>
    </row>
    <row r="176" spans="1:17" ht="14.4" customHeight="1" x14ac:dyDescent="0.3">
      <c r="A176" s="611" t="s">
        <v>2348</v>
      </c>
      <c r="B176" s="612" t="s">
        <v>2349</v>
      </c>
      <c r="C176" s="612" t="s">
        <v>1738</v>
      </c>
      <c r="D176" s="612" t="s">
        <v>2350</v>
      </c>
      <c r="E176" s="612" t="s">
        <v>2351</v>
      </c>
      <c r="F176" s="615"/>
      <c r="G176" s="615"/>
      <c r="H176" s="615"/>
      <c r="I176" s="615"/>
      <c r="J176" s="615">
        <v>1</v>
      </c>
      <c r="K176" s="615">
        <v>489.03</v>
      </c>
      <c r="L176" s="615"/>
      <c r="M176" s="615">
        <v>489.03</v>
      </c>
      <c r="N176" s="615"/>
      <c r="O176" s="615"/>
      <c r="P176" s="628"/>
      <c r="Q176" s="616"/>
    </row>
    <row r="177" spans="1:17" ht="14.4" customHeight="1" x14ac:dyDescent="0.3">
      <c r="A177" s="611" t="s">
        <v>2348</v>
      </c>
      <c r="B177" s="612" t="s">
        <v>2349</v>
      </c>
      <c r="C177" s="612" t="s">
        <v>1738</v>
      </c>
      <c r="D177" s="612" t="s">
        <v>2352</v>
      </c>
      <c r="E177" s="612" t="s">
        <v>2353</v>
      </c>
      <c r="F177" s="615"/>
      <c r="G177" s="615"/>
      <c r="H177" s="615"/>
      <c r="I177" s="615"/>
      <c r="J177" s="615"/>
      <c r="K177" s="615"/>
      <c r="L177" s="615"/>
      <c r="M177" s="615"/>
      <c r="N177" s="615">
        <v>0.2</v>
      </c>
      <c r="O177" s="615">
        <v>197.8</v>
      </c>
      <c r="P177" s="628"/>
      <c r="Q177" s="616">
        <v>989</v>
      </c>
    </row>
    <row r="178" spans="1:17" ht="14.4" customHeight="1" x14ac:dyDescent="0.3">
      <c r="A178" s="611" t="s">
        <v>2348</v>
      </c>
      <c r="B178" s="612" t="s">
        <v>2349</v>
      </c>
      <c r="C178" s="612" t="s">
        <v>1738</v>
      </c>
      <c r="D178" s="612" t="s">
        <v>2354</v>
      </c>
      <c r="E178" s="612" t="s">
        <v>2355</v>
      </c>
      <c r="F178" s="615"/>
      <c r="G178" s="615"/>
      <c r="H178" s="615"/>
      <c r="I178" s="615"/>
      <c r="J178" s="615"/>
      <c r="K178" s="615"/>
      <c r="L178" s="615"/>
      <c r="M178" s="615"/>
      <c r="N178" s="615">
        <v>0.05</v>
      </c>
      <c r="O178" s="615">
        <v>516.86</v>
      </c>
      <c r="P178" s="628"/>
      <c r="Q178" s="616">
        <v>10337.199999999999</v>
      </c>
    </row>
    <row r="179" spans="1:17" ht="14.4" customHeight="1" x14ac:dyDescent="0.3">
      <c r="A179" s="611" t="s">
        <v>2348</v>
      </c>
      <c r="B179" s="612" t="s">
        <v>2349</v>
      </c>
      <c r="C179" s="612" t="s">
        <v>1738</v>
      </c>
      <c r="D179" s="612" t="s">
        <v>2356</v>
      </c>
      <c r="E179" s="612" t="s">
        <v>2357</v>
      </c>
      <c r="F179" s="615"/>
      <c r="G179" s="615"/>
      <c r="H179" s="615"/>
      <c r="I179" s="615"/>
      <c r="J179" s="615"/>
      <c r="K179" s="615"/>
      <c r="L179" s="615"/>
      <c r="M179" s="615"/>
      <c r="N179" s="615">
        <v>7.0000000000000007E-2</v>
      </c>
      <c r="O179" s="615">
        <v>371.75</v>
      </c>
      <c r="P179" s="628"/>
      <c r="Q179" s="616">
        <v>5310.7142857142853</v>
      </c>
    </row>
    <row r="180" spans="1:17" ht="14.4" customHeight="1" x14ac:dyDescent="0.3">
      <c r="A180" s="611" t="s">
        <v>2348</v>
      </c>
      <c r="B180" s="612" t="s">
        <v>2349</v>
      </c>
      <c r="C180" s="612" t="s">
        <v>1738</v>
      </c>
      <c r="D180" s="612" t="s">
        <v>2358</v>
      </c>
      <c r="E180" s="612" t="s">
        <v>2355</v>
      </c>
      <c r="F180" s="615"/>
      <c r="G180" s="615"/>
      <c r="H180" s="615"/>
      <c r="I180" s="615"/>
      <c r="J180" s="615"/>
      <c r="K180" s="615"/>
      <c r="L180" s="615"/>
      <c r="M180" s="615"/>
      <c r="N180" s="615">
        <v>0.05</v>
      </c>
      <c r="O180" s="615">
        <v>325.32</v>
      </c>
      <c r="P180" s="628"/>
      <c r="Q180" s="616">
        <v>6506.4</v>
      </c>
    </row>
    <row r="181" spans="1:17" ht="14.4" customHeight="1" x14ac:dyDescent="0.3">
      <c r="A181" s="611" t="s">
        <v>2348</v>
      </c>
      <c r="B181" s="612" t="s">
        <v>2349</v>
      </c>
      <c r="C181" s="612" t="s">
        <v>1738</v>
      </c>
      <c r="D181" s="612" t="s">
        <v>2359</v>
      </c>
      <c r="E181" s="612" t="s">
        <v>1758</v>
      </c>
      <c r="F181" s="615"/>
      <c r="G181" s="615"/>
      <c r="H181" s="615"/>
      <c r="I181" s="615"/>
      <c r="J181" s="615">
        <v>0.01</v>
      </c>
      <c r="K181" s="615">
        <v>115.23</v>
      </c>
      <c r="L181" s="615"/>
      <c r="M181" s="615">
        <v>11523</v>
      </c>
      <c r="N181" s="615"/>
      <c r="O181" s="615"/>
      <c r="P181" s="628"/>
      <c r="Q181" s="616"/>
    </row>
    <row r="182" spans="1:17" ht="14.4" customHeight="1" x14ac:dyDescent="0.3">
      <c r="A182" s="611" t="s">
        <v>2348</v>
      </c>
      <c r="B182" s="612" t="s">
        <v>2349</v>
      </c>
      <c r="C182" s="612" t="s">
        <v>1738</v>
      </c>
      <c r="D182" s="612" t="s">
        <v>2359</v>
      </c>
      <c r="E182" s="612" t="s">
        <v>2355</v>
      </c>
      <c r="F182" s="615"/>
      <c r="G182" s="615"/>
      <c r="H182" s="615"/>
      <c r="I182" s="615"/>
      <c r="J182" s="615">
        <v>0.01</v>
      </c>
      <c r="K182" s="615">
        <v>115.23</v>
      </c>
      <c r="L182" s="615"/>
      <c r="M182" s="615">
        <v>11523</v>
      </c>
      <c r="N182" s="615">
        <v>0.02</v>
      </c>
      <c r="O182" s="615">
        <v>172.84</v>
      </c>
      <c r="P182" s="628"/>
      <c r="Q182" s="616">
        <v>8642</v>
      </c>
    </row>
    <row r="183" spans="1:17" ht="14.4" customHeight="1" x14ac:dyDescent="0.3">
      <c r="A183" s="611" t="s">
        <v>2348</v>
      </c>
      <c r="B183" s="612" t="s">
        <v>2349</v>
      </c>
      <c r="C183" s="612" t="s">
        <v>1738</v>
      </c>
      <c r="D183" s="612" t="s">
        <v>2360</v>
      </c>
      <c r="E183" s="612" t="s">
        <v>2361</v>
      </c>
      <c r="F183" s="615">
        <v>0.2</v>
      </c>
      <c r="G183" s="615">
        <v>193.34</v>
      </c>
      <c r="H183" s="615">
        <v>1</v>
      </c>
      <c r="I183" s="615">
        <v>966.69999999999993</v>
      </c>
      <c r="J183" s="615">
        <v>0.1</v>
      </c>
      <c r="K183" s="615">
        <v>97.52</v>
      </c>
      <c r="L183" s="615">
        <v>0.50439640012413367</v>
      </c>
      <c r="M183" s="615">
        <v>975.19999999999993</v>
      </c>
      <c r="N183" s="615">
        <v>0.5</v>
      </c>
      <c r="O183" s="615">
        <v>487.61</v>
      </c>
      <c r="P183" s="628">
        <v>2.52203372297507</v>
      </c>
      <c r="Q183" s="616">
        <v>975.22</v>
      </c>
    </row>
    <row r="184" spans="1:17" ht="14.4" customHeight="1" x14ac:dyDescent="0.3">
      <c r="A184" s="611" t="s">
        <v>2348</v>
      </c>
      <c r="B184" s="612" t="s">
        <v>2349</v>
      </c>
      <c r="C184" s="612" t="s">
        <v>1738</v>
      </c>
      <c r="D184" s="612" t="s">
        <v>2362</v>
      </c>
      <c r="E184" s="612" t="s">
        <v>1758</v>
      </c>
      <c r="F184" s="615">
        <v>1</v>
      </c>
      <c r="G184" s="615">
        <v>5653.55</v>
      </c>
      <c r="H184" s="615">
        <v>1</v>
      </c>
      <c r="I184" s="615">
        <v>5653.55</v>
      </c>
      <c r="J184" s="615"/>
      <c r="K184" s="615"/>
      <c r="L184" s="615"/>
      <c r="M184" s="615"/>
      <c r="N184" s="615"/>
      <c r="O184" s="615"/>
      <c r="P184" s="628"/>
      <c r="Q184" s="616"/>
    </row>
    <row r="185" spans="1:17" ht="14.4" customHeight="1" x14ac:dyDescent="0.3">
      <c r="A185" s="611" t="s">
        <v>2348</v>
      </c>
      <c r="B185" s="612" t="s">
        <v>2349</v>
      </c>
      <c r="C185" s="612" t="s">
        <v>1738</v>
      </c>
      <c r="D185" s="612" t="s">
        <v>2363</v>
      </c>
      <c r="E185" s="612" t="s">
        <v>2364</v>
      </c>
      <c r="F185" s="615">
        <v>0.11</v>
      </c>
      <c r="G185" s="615">
        <v>595.45000000000005</v>
      </c>
      <c r="H185" s="615">
        <v>1</v>
      </c>
      <c r="I185" s="615">
        <v>5413.1818181818189</v>
      </c>
      <c r="J185" s="615"/>
      <c r="K185" s="615"/>
      <c r="L185" s="615"/>
      <c r="M185" s="615"/>
      <c r="N185" s="615"/>
      <c r="O185" s="615"/>
      <c r="P185" s="628"/>
      <c r="Q185" s="616"/>
    </row>
    <row r="186" spans="1:17" ht="14.4" customHeight="1" x14ac:dyDescent="0.3">
      <c r="A186" s="611" t="s">
        <v>2348</v>
      </c>
      <c r="B186" s="612" t="s">
        <v>2349</v>
      </c>
      <c r="C186" s="612" t="s">
        <v>1738</v>
      </c>
      <c r="D186" s="612" t="s">
        <v>2365</v>
      </c>
      <c r="E186" s="612" t="s">
        <v>2364</v>
      </c>
      <c r="F186" s="615"/>
      <c r="G186" s="615"/>
      <c r="H186" s="615"/>
      <c r="I186" s="615"/>
      <c r="J186" s="615">
        <v>0.34</v>
      </c>
      <c r="K186" s="615">
        <v>3696.2200000000003</v>
      </c>
      <c r="L186" s="615"/>
      <c r="M186" s="615">
        <v>10871.235294117647</v>
      </c>
      <c r="N186" s="615">
        <v>0.04</v>
      </c>
      <c r="O186" s="615">
        <v>382.24</v>
      </c>
      <c r="P186" s="628"/>
      <c r="Q186" s="616">
        <v>9556</v>
      </c>
    </row>
    <row r="187" spans="1:17" ht="14.4" customHeight="1" x14ac:dyDescent="0.3">
      <c r="A187" s="611" t="s">
        <v>2348</v>
      </c>
      <c r="B187" s="612" t="s">
        <v>2349</v>
      </c>
      <c r="C187" s="612" t="s">
        <v>1738</v>
      </c>
      <c r="D187" s="612" t="s">
        <v>2366</v>
      </c>
      <c r="E187" s="612" t="s">
        <v>2367</v>
      </c>
      <c r="F187" s="615">
        <v>0.33999999999999997</v>
      </c>
      <c r="G187" s="615">
        <v>649.57999999999993</v>
      </c>
      <c r="H187" s="615">
        <v>1</v>
      </c>
      <c r="I187" s="615">
        <v>1910.5294117647059</v>
      </c>
      <c r="J187" s="615">
        <v>0.30000000000000004</v>
      </c>
      <c r="K187" s="615">
        <v>585.97</v>
      </c>
      <c r="L187" s="615">
        <v>0.90207518704393619</v>
      </c>
      <c r="M187" s="615">
        <v>1953.2333333333331</v>
      </c>
      <c r="N187" s="615">
        <v>0.22999999999999998</v>
      </c>
      <c r="O187" s="615">
        <v>440.11</v>
      </c>
      <c r="P187" s="628">
        <v>0.6775300963699622</v>
      </c>
      <c r="Q187" s="616">
        <v>1913.521739130435</v>
      </c>
    </row>
    <row r="188" spans="1:17" ht="14.4" customHeight="1" x14ac:dyDescent="0.3">
      <c r="A188" s="611" t="s">
        <v>2348</v>
      </c>
      <c r="B188" s="612" t="s">
        <v>2349</v>
      </c>
      <c r="C188" s="612" t="s">
        <v>1830</v>
      </c>
      <c r="D188" s="612" t="s">
        <v>2368</v>
      </c>
      <c r="E188" s="612" t="s">
        <v>2369</v>
      </c>
      <c r="F188" s="615"/>
      <c r="G188" s="615"/>
      <c r="H188" s="615"/>
      <c r="I188" s="615"/>
      <c r="J188" s="615"/>
      <c r="K188" s="615"/>
      <c r="L188" s="615"/>
      <c r="M188" s="615"/>
      <c r="N188" s="615">
        <v>2</v>
      </c>
      <c r="O188" s="615">
        <v>3414.62</v>
      </c>
      <c r="P188" s="628"/>
      <c r="Q188" s="616">
        <v>1707.31</v>
      </c>
    </row>
    <row r="189" spans="1:17" ht="14.4" customHeight="1" x14ac:dyDescent="0.3">
      <c r="A189" s="611" t="s">
        <v>2348</v>
      </c>
      <c r="B189" s="612" t="s">
        <v>2349</v>
      </c>
      <c r="C189" s="612" t="s">
        <v>1830</v>
      </c>
      <c r="D189" s="612" t="s">
        <v>2370</v>
      </c>
      <c r="E189" s="612" t="s">
        <v>2371</v>
      </c>
      <c r="F189" s="615"/>
      <c r="G189" s="615"/>
      <c r="H189" s="615"/>
      <c r="I189" s="615"/>
      <c r="J189" s="615"/>
      <c r="K189" s="615"/>
      <c r="L189" s="615"/>
      <c r="M189" s="615"/>
      <c r="N189" s="615">
        <v>4</v>
      </c>
      <c r="O189" s="615">
        <v>27563.119999999999</v>
      </c>
      <c r="P189" s="628"/>
      <c r="Q189" s="616">
        <v>6890.78</v>
      </c>
    </row>
    <row r="190" spans="1:17" ht="14.4" customHeight="1" x14ac:dyDescent="0.3">
      <c r="A190" s="611" t="s">
        <v>2348</v>
      </c>
      <c r="B190" s="612" t="s">
        <v>2349</v>
      </c>
      <c r="C190" s="612" t="s">
        <v>1830</v>
      </c>
      <c r="D190" s="612" t="s">
        <v>2372</v>
      </c>
      <c r="E190" s="612" t="s">
        <v>2373</v>
      </c>
      <c r="F190" s="615"/>
      <c r="G190" s="615"/>
      <c r="H190" s="615"/>
      <c r="I190" s="615"/>
      <c r="J190" s="615"/>
      <c r="K190" s="615"/>
      <c r="L190" s="615"/>
      <c r="M190" s="615"/>
      <c r="N190" s="615">
        <v>2</v>
      </c>
      <c r="O190" s="615">
        <v>2005.6</v>
      </c>
      <c r="P190" s="628"/>
      <c r="Q190" s="616">
        <v>1002.8</v>
      </c>
    </row>
    <row r="191" spans="1:17" ht="14.4" customHeight="1" x14ac:dyDescent="0.3">
      <c r="A191" s="611" t="s">
        <v>2348</v>
      </c>
      <c r="B191" s="612" t="s">
        <v>2349</v>
      </c>
      <c r="C191" s="612" t="s">
        <v>1830</v>
      </c>
      <c r="D191" s="612" t="s">
        <v>2374</v>
      </c>
      <c r="E191" s="612" t="s">
        <v>2375</v>
      </c>
      <c r="F191" s="615"/>
      <c r="G191" s="615"/>
      <c r="H191" s="615"/>
      <c r="I191" s="615"/>
      <c r="J191" s="615"/>
      <c r="K191" s="615"/>
      <c r="L191" s="615"/>
      <c r="M191" s="615"/>
      <c r="N191" s="615">
        <v>2</v>
      </c>
      <c r="O191" s="615">
        <v>2611.64</v>
      </c>
      <c r="P191" s="628"/>
      <c r="Q191" s="616">
        <v>1305.82</v>
      </c>
    </row>
    <row r="192" spans="1:17" ht="14.4" customHeight="1" x14ac:dyDescent="0.3">
      <c r="A192" s="611" t="s">
        <v>2348</v>
      </c>
      <c r="B192" s="612" t="s">
        <v>2349</v>
      </c>
      <c r="C192" s="612" t="s">
        <v>1729</v>
      </c>
      <c r="D192" s="612" t="s">
        <v>2376</v>
      </c>
      <c r="E192" s="612" t="s">
        <v>2377</v>
      </c>
      <c r="F192" s="615"/>
      <c r="G192" s="615"/>
      <c r="H192" s="615"/>
      <c r="I192" s="615"/>
      <c r="J192" s="615"/>
      <c r="K192" s="615"/>
      <c r="L192" s="615"/>
      <c r="M192" s="615"/>
      <c r="N192" s="615">
        <v>1</v>
      </c>
      <c r="O192" s="615">
        <v>151</v>
      </c>
      <c r="P192" s="628"/>
      <c r="Q192" s="616">
        <v>151</v>
      </c>
    </row>
    <row r="193" spans="1:17" ht="14.4" customHeight="1" x14ac:dyDescent="0.3">
      <c r="A193" s="611" t="s">
        <v>2348</v>
      </c>
      <c r="B193" s="612" t="s">
        <v>2349</v>
      </c>
      <c r="C193" s="612" t="s">
        <v>1729</v>
      </c>
      <c r="D193" s="612" t="s">
        <v>2378</v>
      </c>
      <c r="E193" s="612" t="s">
        <v>2379</v>
      </c>
      <c r="F193" s="615"/>
      <c r="G193" s="615"/>
      <c r="H193" s="615"/>
      <c r="I193" s="615"/>
      <c r="J193" s="615"/>
      <c r="K193" s="615"/>
      <c r="L193" s="615"/>
      <c r="M193" s="615"/>
      <c r="N193" s="615">
        <v>3</v>
      </c>
      <c r="O193" s="615">
        <v>549</v>
      </c>
      <c r="P193" s="628"/>
      <c r="Q193" s="616">
        <v>183</v>
      </c>
    </row>
    <row r="194" spans="1:17" ht="14.4" customHeight="1" x14ac:dyDescent="0.3">
      <c r="A194" s="611" t="s">
        <v>2348</v>
      </c>
      <c r="B194" s="612" t="s">
        <v>2349</v>
      </c>
      <c r="C194" s="612" t="s">
        <v>1729</v>
      </c>
      <c r="D194" s="612" t="s">
        <v>2380</v>
      </c>
      <c r="E194" s="612" t="s">
        <v>2381</v>
      </c>
      <c r="F194" s="615"/>
      <c r="G194" s="615"/>
      <c r="H194" s="615"/>
      <c r="I194" s="615"/>
      <c r="J194" s="615"/>
      <c r="K194" s="615"/>
      <c r="L194" s="615"/>
      <c r="M194" s="615"/>
      <c r="N194" s="615">
        <v>1</v>
      </c>
      <c r="O194" s="615">
        <v>125</v>
      </c>
      <c r="P194" s="628"/>
      <c r="Q194" s="616">
        <v>125</v>
      </c>
    </row>
    <row r="195" spans="1:17" ht="14.4" customHeight="1" x14ac:dyDescent="0.3">
      <c r="A195" s="611" t="s">
        <v>2348</v>
      </c>
      <c r="B195" s="612" t="s">
        <v>2349</v>
      </c>
      <c r="C195" s="612" t="s">
        <v>1729</v>
      </c>
      <c r="D195" s="612" t="s">
        <v>2382</v>
      </c>
      <c r="E195" s="612" t="s">
        <v>2383</v>
      </c>
      <c r="F195" s="615">
        <v>29</v>
      </c>
      <c r="G195" s="615">
        <v>6264</v>
      </c>
      <c r="H195" s="615">
        <v>1</v>
      </c>
      <c r="I195" s="615">
        <v>216</v>
      </c>
      <c r="J195" s="615">
        <v>46</v>
      </c>
      <c r="K195" s="615">
        <v>9982</v>
      </c>
      <c r="L195" s="615">
        <v>1.5935504469987229</v>
      </c>
      <c r="M195" s="615">
        <v>217</v>
      </c>
      <c r="N195" s="615">
        <v>53</v>
      </c>
      <c r="O195" s="615">
        <v>11531</v>
      </c>
      <c r="P195" s="628">
        <v>1.8408365261813537</v>
      </c>
      <c r="Q195" s="616">
        <v>217.56603773584905</v>
      </c>
    </row>
    <row r="196" spans="1:17" ht="14.4" customHeight="1" x14ac:dyDescent="0.3">
      <c r="A196" s="611" t="s">
        <v>2348</v>
      </c>
      <c r="B196" s="612" t="s">
        <v>2349</v>
      </c>
      <c r="C196" s="612" t="s">
        <v>1729</v>
      </c>
      <c r="D196" s="612" t="s">
        <v>2384</v>
      </c>
      <c r="E196" s="612" t="s">
        <v>2385</v>
      </c>
      <c r="F196" s="615">
        <v>1</v>
      </c>
      <c r="G196" s="615">
        <v>216</v>
      </c>
      <c r="H196" s="615">
        <v>1</v>
      </c>
      <c r="I196" s="615">
        <v>216</v>
      </c>
      <c r="J196" s="615"/>
      <c r="K196" s="615"/>
      <c r="L196" s="615"/>
      <c r="M196" s="615"/>
      <c r="N196" s="615"/>
      <c r="O196" s="615"/>
      <c r="P196" s="628"/>
      <c r="Q196" s="616"/>
    </row>
    <row r="197" spans="1:17" ht="14.4" customHeight="1" x14ac:dyDescent="0.3">
      <c r="A197" s="611" t="s">
        <v>2348</v>
      </c>
      <c r="B197" s="612" t="s">
        <v>2349</v>
      </c>
      <c r="C197" s="612" t="s">
        <v>1729</v>
      </c>
      <c r="D197" s="612" t="s">
        <v>2386</v>
      </c>
      <c r="E197" s="612" t="s">
        <v>2387</v>
      </c>
      <c r="F197" s="615">
        <v>14</v>
      </c>
      <c r="G197" s="615">
        <v>3052</v>
      </c>
      <c r="H197" s="615">
        <v>1</v>
      </c>
      <c r="I197" s="615">
        <v>218</v>
      </c>
      <c r="J197" s="615">
        <v>28</v>
      </c>
      <c r="K197" s="615">
        <v>6132</v>
      </c>
      <c r="L197" s="615">
        <v>2.0091743119266057</v>
      </c>
      <c r="M197" s="615">
        <v>219</v>
      </c>
      <c r="N197" s="615">
        <v>17</v>
      </c>
      <c r="O197" s="615">
        <v>3735</v>
      </c>
      <c r="P197" s="628">
        <v>1.2237876802096985</v>
      </c>
      <c r="Q197" s="616">
        <v>219.70588235294119</v>
      </c>
    </row>
    <row r="198" spans="1:17" ht="14.4" customHeight="1" x14ac:dyDescent="0.3">
      <c r="A198" s="611" t="s">
        <v>2348</v>
      </c>
      <c r="B198" s="612" t="s">
        <v>2349</v>
      </c>
      <c r="C198" s="612" t="s">
        <v>1729</v>
      </c>
      <c r="D198" s="612" t="s">
        <v>2388</v>
      </c>
      <c r="E198" s="612" t="s">
        <v>2389</v>
      </c>
      <c r="F198" s="615"/>
      <c r="G198" s="615"/>
      <c r="H198" s="615"/>
      <c r="I198" s="615"/>
      <c r="J198" s="615"/>
      <c r="K198" s="615"/>
      <c r="L198" s="615"/>
      <c r="M198" s="615"/>
      <c r="N198" s="615">
        <v>1</v>
      </c>
      <c r="O198" s="615">
        <v>609</v>
      </c>
      <c r="P198" s="628"/>
      <c r="Q198" s="616">
        <v>609</v>
      </c>
    </row>
    <row r="199" spans="1:17" ht="14.4" customHeight="1" x14ac:dyDescent="0.3">
      <c r="A199" s="611" t="s">
        <v>2348</v>
      </c>
      <c r="B199" s="612" t="s">
        <v>2349</v>
      </c>
      <c r="C199" s="612" t="s">
        <v>1729</v>
      </c>
      <c r="D199" s="612" t="s">
        <v>2390</v>
      </c>
      <c r="E199" s="612" t="s">
        <v>2391</v>
      </c>
      <c r="F199" s="615">
        <v>2</v>
      </c>
      <c r="G199" s="615">
        <v>896</v>
      </c>
      <c r="H199" s="615">
        <v>1</v>
      </c>
      <c r="I199" s="615">
        <v>448</v>
      </c>
      <c r="J199" s="615">
        <v>2</v>
      </c>
      <c r="K199" s="615">
        <v>898</v>
      </c>
      <c r="L199" s="615">
        <v>1.0022321428571428</v>
      </c>
      <c r="M199" s="615">
        <v>449</v>
      </c>
      <c r="N199" s="615"/>
      <c r="O199" s="615"/>
      <c r="P199" s="628"/>
      <c r="Q199" s="616"/>
    </row>
    <row r="200" spans="1:17" ht="14.4" customHeight="1" x14ac:dyDescent="0.3">
      <c r="A200" s="611" t="s">
        <v>2348</v>
      </c>
      <c r="B200" s="612" t="s">
        <v>2349</v>
      </c>
      <c r="C200" s="612" t="s">
        <v>1729</v>
      </c>
      <c r="D200" s="612" t="s">
        <v>2392</v>
      </c>
      <c r="E200" s="612" t="s">
        <v>2393</v>
      </c>
      <c r="F200" s="615"/>
      <c r="G200" s="615"/>
      <c r="H200" s="615"/>
      <c r="I200" s="615"/>
      <c r="J200" s="615"/>
      <c r="K200" s="615"/>
      <c r="L200" s="615"/>
      <c r="M200" s="615"/>
      <c r="N200" s="615">
        <v>2</v>
      </c>
      <c r="O200" s="615">
        <v>3046</v>
      </c>
      <c r="P200" s="628"/>
      <c r="Q200" s="616">
        <v>1523</v>
      </c>
    </row>
    <row r="201" spans="1:17" ht="14.4" customHeight="1" x14ac:dyDescent="0.3">
      <c r="A201" s="611" t="s">
        <v>2348</v>
      </c>
      <c r="B201" s="612" t="s">
        <v>2349</v>
      </c>
      <c r="C201" s="612" t="s">
        <v>1729</v>
      </c>
      <c r="D201" s="612" t="s">
        <v>2394</v>
      </c>
      <c r="E201" s="612" t="s">
        <v>2395</v>
      </c>
      <c r="F201" s="615"/>
      <c r="G201" s="615"/>
      <c r="H201" s="615"/>
      <c r="I201" s="615"/>
      <c r="J201" s="615">
        <v>1</v>
      </c>
      <c r="K201" s="615">
        <v>1277</v>
      </c>
      <c r="L201" s="615"/>
      <c r="M201" s="615">
        <v>1277</v>
      </c>
      <c r="N201" s="615"/>
      <c r="O201" s="615"/>
      <c r="P201" s="628"/>
      <c r="Q201" s="616"/>
    </row>
    <row r="202" spans="1:17" ht="14.4" customHeight="1" x14ac:dyDescent="0.3">
      <c r="A202" s="611" t="s">
        <v>2348</v>
      </c>
      <c r="B202" s="612" t="s">
        <v>2349</v>
      </c>
      <c r="C202" s="612" t="s">
        <v>1729</v>
      </c>
      <c r="D202" s="612" t="s">
        <v>2396</v>
      </c>
      <c r="E202" s="612" t="s">
        <v>2397</v>
      </c>
      <c r="F202" s="615"/>
      <c r="G202" s="615"/>
      <c r="H202" s="615"/>
      <c r="I202" s="615"/>
      <c r="J202" s="615">
        <v>1</v>
      </c>
      <c r="K202" s="615">
        <v>1164</v>
      </c>
      <c r="L202" s="615"/>
      <c r="M202" s="615">
        <v>1164</v>
      </c>
      <c r="N202" s="615"/>
      <c r="O202" s="615"/>
      <c r="P202" s="628"/>
      <c r="Q202" s="616"/>
    </row>
    <row r="203" spans="1:17" ht="14.4" customHeight="1" x14ac:dyDescent="0.3">
      <c r="A203" s="611" t="s">
        <v>2348</v>
      </c>
      <c r="B203" s="612" t="s">
        <v>2349</v>
      </c>
      <c r="C203" s="612" t="s">
        <v>1729</v>
      </c>
      <c r="D203" s="612" t="s">
        <v>2398</v>
      </c>
      <c r="E203" s="612" t="s">
        <v>2399</v>
      </c>
      <c r="F203" s="615">
        <v>17</v>
      </c>
      <c r="G203" s="615">
        <v>86105</v>
      </c>
      <c r="H203" s="615">
        <v>1</v>
      </c>
      <c r="I203" s="615">
        <v>5065</v>
      </c>
      <c r="J203" s="615">
        <v>20</v>
      </c>
      <c r="K203" s="615">
        <v>101360</v>
      </c>
      <c r="L203" s="615">
        <v>1.1771674118808431</v>
      </c>
      <c r="M203" s="615">
        <v>5068</v>
      </c>
      <c r="N203" s="615">
        <v>13</v>
      </c>
      <c r="O203" s="615">
        <v>65944</v>
      </c>
      <c r="P203" s="628">
        <v>0.76585564136809714</v>
      </c>
      <c r="Q203" s="616">
        <v>5072.6153846153848</v>
      </c>
    </row>
    <row r="204" spans="1:17" ht="14.4" customHeight="1" x14ac:dyDescent="0.3">
      <c r="A204" s="611" t="s">
        <v>2348</v>
      </c>
      <c r="B204" s="612" t="s">
        <v>2349</v>
      </c>
      <c r="C204" s="612" t="s">
        <v>1729</v>
      </c>
      <c r="D204" s="612" t="s">
        <v>2400</v>
      </c>
      <c r="E204" s="612" t="s">
        <v>2401</v>
      </c>
      <c r="F204" s="615">
        <v>2</v>
      </c>
      <c r="G204" s="615">
        <v>11010</v>
      </c>
      <c r="H204" s="615">
        <v>1</v>
      </c>
      <c r="I204" s="615">
        <v>5505</v>
      </c>
      <c r="J204" s="615">
        <v>2</v>
      </c>
      <c r="K204" s="615">
        <v>11016</v>
      </c>
      <c r="L204" s="615">
        <v>1.0005449591280653</v>
      </c>
      <c r="M204" s="615">
        <v>5508</v>
      </c>
      <c r="N204" s="615">
        <v>1</v>
      </c>
      <c r="O204" s="615">
        <v>5514</v>
      </c>
      <c r="P204" s="628">
        <v>0.50081743869209805</v>
      </c>
      <c r="Q204" s="616">
        <v>5514</v>
      </c>
    </row>
    <row r="205" spans="1:17" ht="14.4" customHeight="1" x14ac:dyDescent="0.3">
      <c r="A205" s="611" t="s">
        <v>2348</v>
      </c>
      <c r="B205" s="612" t="s">
        <v>2349</v>
      </c>
      <c r="C205" s="612" t="s">
        <v>1729</v>
      </c>
      <c r="D205" s="612" t="s">
        <v>2402</v>
      </c>
      <c r="E205" s="612" t="s">
        <v>2403</v>
      </c>
      <c r="F205" s="615">
        <v>335</v>
      </c>
      <c r="G205" s="615">
        <v>57620</v>
      </c>
      <c r="H205" s="615">
        <v>1</v>
      </c>
      <c r="I205" s="615">
        <v>172</v>
      </c>
      <c r="J205" s="615">
        <v>365</v>
      </c>
      <c r="K205" s="615">
        <v>63145</v>
      </c>
      <c r="L205" s="615">
        <v>1.0958868448455397</v>
      </c>
      <c r="M205" s="615">
        <v>173</v>
      </c>
      <c r="N205" s="615">
        <v>267</v>
      </c>
      <c r="O205" s="615">
        <v>46351</v>
      </c>
      <c r="P205" s="628">
        <v>0.80442554668517874</v>
      </c>
      <c r="Q205" s="616">
        <v>173.59925093632958</v>
      </c>
    </row>
    <row r="206" spans="1:17" ht="14.4" customHeight="1" x14ac:dyDescent="0.3">
      <c r="A206" s="611" t="s">
        <v>2348</v>
      </c>
      <c r="B206" s="612" t="s">
        <v>2349</v>
      </c>
      <c r="C206" s="612" t="s">
        <v>1729</v>
      </c>
      <c r="D206" s="612" t="s">
        <v>2404</v>
      </c>
      <c r="E206" s="612" t="s">
        <v>2405</v>
      </c>
      <c r="F206" s="615">
        <v>2</v>
      </c>
      <c r="G206" s="615">
        <v>3988</v>
      </c>
      <c r="H206" s="615">
        <v>1</v>
      </c>
      <c r="I206" s="615">
        <v>1994</v>
      </c>
      <c r="J206" s="615">
        <v>1</v>
      </c>
      <c r="K206" s="615">
        <v>1996</v>
      </c>
      <c r="L206" s="615">
        <v>0.50050150451354058</v>
      </c>
      <c r="M206" s="615">
        <v>1996</v>
      </c>
      <c r="N206" s="615"/>
      <c r="O206" s="615"/>
      <c r="P206" s="628"/>
      <c r="Q206" s="616"/>
    </row>
    <row r="207" spans="1:17" ht="14.4" customHeight="1" x14ac:dyDescent="0.3">
      <c r="A207" s="611" t="s">
        <v>2348</v>
      </c>
      <c r="B207" s="612" t="s">
        <v>2349</v>
      </c>
      <c r="C207" s="612" t="s">
        <v>1729</v>
      </c>
      <c r="D207" s="612" t="s">
        <v>2406</v>
      </c>
      <c r="E207" s="612" t="s">
        <v>2407</v>
      </c>
      <c r="F207" s="615">
        <v>14</v>
      </c>
      <c r="G207" s="615">
        <v>37674</v>
      </c>
      <c r="H207" s="615">
        <v>1</v>
      </c>
      <c r="I207" s="615">
        <v>2691</v>
      </c>
      <c r="J207" s="615">
        <v>17</v>
      </c>
      <c r="K207" s="615">
        <v>45764</v>
      </c>
      <c r="L207" s="615">
        <v>1.2147369538673887</v>
      </c>
      <c r="M207" s="615">
        <v>2692</v>
      </c>
      <c r="N207" s="615">
        <v>9</v>
      </c>
      <c r="O207" s="615">
        <v>24252</v>
      </c>
      <c r="P207" s="628">
        <v>0.64373307851568717</v>
      </c>
      <c r="Q207" s="616">
        <v>2694.6666666666665</v>
      </c>
    </row>
    <row r="208" spans="1:17" ht="14.4" customHeight="1" x14ac:dyDescent="0.3">
      <c r="A208" s="611" t="s">
        <v>2348</v>
      </c>
      <c r="B208" s="612" t="s">
        <v>2349</v>
      </c>
      <c r="C208" s="612" t="s">
        <v>1729</v>
      </c>
      <c r="D208" s="612" t="s">
        <v>2408</v>
      </c>
      <c r="E208" s="612" t="s">
        <v>2409</v>
      </c>
      <c r="F208" s="615">
        <v>2</v>
      </c>
      <c r="G208" s="615">
        <v>10354</v>
      </c>
      <c r="H208" s="615">
        <v>1</v>
      </c>
      <c r="I208" s="615">
        <v>5177</v>
      </c>
      <c r="J208" s="615">
        <v>3</v>
      </c>
      <c r="K208" s="615">
        <v>15540</v>
      </c>
      <c r="L208" s="615">
        <v>1.5008692292833687</v>
      </c>
      <c r="M208" s="615">
        <v>5180</v>
      </c>
      <c r="N208" s="615"/>
      <c r="O208" s="615"/>
      <c r="P208" s="628"/>
      <c r="Q208" s="616"/>
    </row>
    <row r="209" spans="1:17" ht="14.4" customHeight="1" x14ac:dyDescent="0.3">
      <c r="A209" s="611" t="s">
        <v>2348</v>
      </c>
      <c r="B209" s="612" t="s">
        <v>2349</v>
      </c>
      <c r="C209" s="612" t="s">
        <v>1729</v>
      </c>
      <c r="D209" s="612" t="s">
        <v>2410</v>
      </c>
      <c r="E209" s="612" t="s">
        <v>2411</v>
      </c>
      <c r="F209" s="615">
        <v>2</v>
      </c>
      <c r="G209" s="615">
        <v>1314</v>
      </c>
      <c r="H209" s="615">
        <v>1</v>
      </c>
      <c r="I209" s="615">
        <v>657</v>
      </c>
      <c r="J209" s="615">
        <v>8</v>
      </c>
      <c r="K209" s="615">
        <v>5264</v>
      </c>
      <c r="L209" s="615">
        <v>4.006088280060883</v>
      </c>
      <c r="M209" s="615">
        <v>658</v>
      </c>
      <c r="N209" s="615">
        <v>8</v>
      </c>
      <c r="O209" s="615">
        <v>5279</v>
      </c>
      <c r="P209" s="628">
        <v>4.0175038051750382</v>
      </c>
      <c r="Q209" s="616">
        <v>659.875</v>
      </c>
    </row>
    <row r="210" spans="1:17" ht="14.4" customHeight="1" x14ac:dyDescent="0.3">
      <c r="A210" s="611" t="s">
        <v>2348</v>
      </c>
      <c r="B210" s="612" t="s">
        <v>2349</v>
      </c>
      <c r="C210" s="612" t="s">
        <v>1729</v>
      </c>
      <c r="D210" s="612" t="s">
        <v>2016</v>
      </c>
      <c r="E210" s="612" t="s">
        <v>2017</v>
      </c>
      <c r="F210" s="615">
        <v>2</v>
      </c>
      <c r="G210" s="615">
        <v>1108</v>
      </c>
      <c r="H210" s="615">
        <v>1</v>
      </c>
      <c r="I210" s="615">
        <v>554</v>
      </c>
      <c r="J210" s="615">
        <v>2</v>
      </c>
      <c r="K210" s="615">
        <v>1110</v>
      </c>
      <c r="L210" s="615">
        <v>1.0018050541516246</v>
      </c>
      <c r="M210" s="615">
        <v>555</v>
      </c>
      <c r="N210" s="615"/>
      <c r="O210" s="615"/>
      <c r="P210" s="628"/>
      <c r="Q210" s="616"/>
    </row>
    <row r="211" spans="1:17" ht="14.4" customHeight="1" x14ac:dyDescent="0.3">
      <c r="A211" s="611" t="s">
        <v>2348</v>
      </c>
      <c r="B211" s="612" t="s">
        <v>2349</v>
      </c>
      <c r="C211" s="612" t="s">
        <v>1729</v>
      </c>
      <c r="D211" s="612" t="s">
        <v>2412</v>
      </c>
      <c r="E211" s="612" t="s">
        <v>2413</v>
      </c>
      <c r="F211" s="615">
        <v>1</v>
      </c>
      <c r="G211" s="615">
        <v>149</v>
      </c>
      <c r="H211" s="615">
        <v>1</v>
      </c>
      <c r="I211" s="615">
        <v>149</v>
      </c>
      <c r="J211" s="615">
        <v>3</v>
      </c>
      <c r="K211" s="615">
        <v>450</v>
      </c>
      <c r="L211" s="615">
        <v>3.0201342281879193</v>
      </c>
      <c r="M211" s="615">
        <v>150</v>
      </c>
      <c r="N211" s="615">
        <v>1</v>
      </c>
      <c r="O211" s="615">
        <v>151</v>
      </c>
      <c r="P211" s="628">
        <v>1.0134228187919463</v>
      </c>
      <c r="Q211" s="616">
        <v>151</v>
      </c>
    </row>
    <row r="212" spans="1:17" ht="14.4" customHeight="1" x14ac:dyDescent="0.3">
      <c r="A212" s="611" t="s">
        <v>2348</v>
      </c>
      <c r="B212" s="612" t="s">
        <v>2349</v>
      </c>
      <c r="C212" s="612" t="s">
        <v>1729</v>
      </c>
      <c r="D212" s="612" t="s">
        <v>2414</v>
      </c>
      <c r="E212" s="612" t="s">
        <v>2415</v>
      </c>
      <c r="F212" s="615">
        <v>4</v>
      </c>
      <c r="G212" s="615">
        <v>768</v>
      </c>
      <c r="H212" s="615">
        <v>1</v>
      </c>
      <c r="I212" s="615">
        <v>192</v>
      </c>
      <c r="J212" s="615">
        <v>1</v>
      </c>
      <c r="K212" s="615">
        <v>193</v>
      </c>
      <c r="L212" s="615">
        <v>0.25130208333333331</v>
      </c>
      <c r="M212" s="615">
        <v>193</v>
      </c>
      <c r="N212" s="615">
        <v>2</v>
      </c>
      <c r="O212" s="615">
        <v>386</v>
      </c>
      <c r="P212" s="628">
        <v>0.50260416666666663</v>
      </c>
      <c r="Q212" s="616">
        <v>193</v>
      </c>
    </row>
    <row r="213" spans="1:17" ht="14.4" customHeight="1" x14ac:dyDescent="0.3">
      <c r="A213" s="611" t="s">
        <v>2348</v>
      </c>
      <c r="B213" s="612" t="s">
        <v>2349</v>
      </c>
      <c r="C213" s="612" t="s">
        <v>1729</v>
      </c>
      <c r="D213" s="612" t="s">
        <v>2416</v>
      </c>
      <c r="E213" s="612" t="s">
        <v>2417</v>
      </c>
      <c r="F213" s="615"/>
      <c r="G213" s="615"/>
      <c r="H213" s="615"/>
      <c r="I213" s="615"/>
      <c r="J213" s="615">
        <v>2</v>
      </c>
      <c r="K213" s="615">
        <v>396</v>
      </c>
      <c r="L213" s="615"/>
      <c r="M213" s="615">
        <v>198</v>
      </c>
      <c r="N213" s="615"/>
      <c r="O213" s="615"/>
      <c r="P213" s="628"/>
      <c r="Q213" s="616"/>
    </row>
    <row r="214" spans="1:17" ht="14.4" customHeight="1" x14ac:dyDescent="0.3">
      <c r="A214" s="611" t="s">
        <v>2348</v>
      </c>
      <c r="B214" s="612" t="s">
        <v>2349</v>
      </c>
      <c r="C214" s="612" t="s">
        <v>1729</v>
      </c>
      <c r="D214" s="612" t="s">
        <v>2418</v>
      </c>
      <c r="E214" s="612" t="s">
        <v>2419</v>
      </c>
      <c r="F214" s="615">
        <v>1</v>
      </c>
      <c r="G214" s="615">
        <v>414</v>
      </c>
      <c r="H214" s="615">
        <v>1</v>
      </c>
      <c r="I214" s="615">
        <v>414</v>
      </c>
      <c r="J214" s="615">
        <v>1</v>
      </c>
      <c r="K214" s="615">
        <v>415</v>
      </c>
      <c r="L214" s="615">
        <v>1.0024154589371981</v>
      </c>
      <c r="M214" s="615">
        <v>415</v>
      </c>
      <c r="N214" s="615">
        <v>5</v>
      </c>
      <c r="O214" s="615">
        <v>2081</v>
      </c>
      <c r="P214" s="628">
        <v>5.0265700483091784</v>
      </c>
      <c r="Q214" s="616">
        <v>416.2</v>
      </c>
    </row>
    <row r="215" spans="1:17" ht="14.4" customHeight="1" x14ac:dyDescent="0.3">
      <c r="A215" s="611" t="s">
        <v>2348</v>
      </c>
      <c r="B215" s="612" t="s">
        <v>2349</v>
      </c>
      <c r="C215" s="612" t="s">
        <v>1729</v>
      </c>
      <c r="D215" s="612" t="s">
        <v>2420</v>
      </c>
      <c r="E215" s="612" t="s">
        <v>2421</v>
      </c>
      <c r="F215" s="615">
        <v>2</v>
      </c>
      <c r="G215" s="615">
        <v>314</v>
      </c>
      <c r="H215" s="615">
        <v>1</v>
      </c>
      <c r="I215" s="615">
        <v>157</v>
      </c>
      <c r="J215" s="615">
        <v>2</v>
      </c>
      <c r="K215" s="615">
        <v>316</v>
      </c>
      <c r="L215" s="615">
        <v>1.0063694267515924</v>
      </c>
      <c r="M215" s="615">
        <v>158</v>
      </c>
      <c r="N215" s="615">
        <v>2</v>
      </c>
      <c r="O215" s="615">
        <v>318</v>
      </c>
      <c r="P215" s="628">
        <v>1.0127388535031847</v>
      </c>
      <c r="Q215" s="616">
        <v>159</v>
      </c>
    </row>
    <row r="216" spans="1:17" ht="14.4" customHeight="1" x14ac:dyDescent="0.3">
      <c r="A216" s="611" t="s">
        <v>2348</v>
      </c>
      <c r="B216" s="612" t="s">
        <v>2349</v>
      </c>
      <c r="C216" s="612" t="s">
        <v>1729</v>
      </c>
      <c r="D216" s="612" t="s">
        <v>2422</v>
      </c>
      <c r="E216" s="612" t="s">
        <v>2423</v>
      </c>
      <c r="F216" s="615">
        <v>3</v>
      </c>
      <c r="G216" s="615">
        <v>2730</v>
      </c>
      <c r="H216" s="615">
        <v>1</v>
      </c>
      <c r="I216" s="615">
        <v>910</v>
      </c>
      <c r="J216" s="615">
        <v>4</v>
      </c>
      <c r="K216" s="615">
        <v>3648</v>
      </c>
      <c r="L216" s="615">
        <v>1.3362637362637362</v>
      </c>
      <c r="M216" s="615">
        <v>912</v>
      </c>
      <c r="N216" s="615">
        <v>2</v>
      </c>
      <c r="O216" s="615">
        <v>1830</v>
      </c>
      <c r="P216" s="628">
        <v>0.67032967032967028</v>
      </c>
      <c r="Q216" s="616">
        <v>915</v>
      </c>
    </row>
    <row r="217" spans="1:17" ht="14.4" customHeight="1" x14ac:dyDescent="0.3">
      <c r="A217" s="611" t="s">
        <v>2424</v>
      </c>
      <c r="B217" s="612" t="s">
        <v>2425</v>
      </c>
      <c r="C217" s="612" t="s">
        <v>1729</v>
      </c>
      <c r="D217" s="612" t="s">
        <v>2426</v>
      </c>
      <c r="E217" s="612" t="s">
        <v>2427</v>
      </c>
      <c r="F217" s="615">
        <v>19</v>
      </c>
      <c r="G217" s="615">
        <v>3838</v>
      </c>
      <c r="H217" s="615">
        <v>1</v>
      </c>
      <c r="I217" s="615">
        <v>202</v>
      </c>
      <c r="J217" s="615">
        <v>27</v>
      </c>
      <c r="K217" s="615">
        <v>5481</v>
      </c>
      <c r="L217" s="615">
        <v>1.4280875455966648</v>
      </c>
      <c r="M217" s="615">
        <v>203</v>
      </c>
      <c r="N217" s="615">
        <v>16</v>
      </c>
      <c r="O217" s="615">
        <v>3270</v>
      </c>
      <c r="P217" s="628">
        <v>0.8520062532569046</v>
      </c>
      <c r="Q217" s="616">
        <v>204.375</v>
      </c>
    </row>
    <row r="218" spans="1:17" ht="14.4" customHeight="1" x14ac:dyDescent="0.3">
      <c r="A218" s="611" t="s">
        <v>2424</v>
      </c>
      <c r="B218" s="612" t="s">
        <v>2425</v>
      </c>
      <c r="C218" s="612" t="s">
        <v>1729</v>
      </c>
      <c r="D218" s="612" t="s">
        <v>2428</v>
      </c>
      <c r="E218" s="612" t="s">
        <v>2427</v>
      </c>
      <c r="F218" s="615"/>
      <c r="G218" s="615"/>
      <c r="H218" s="615"/>
      <c r="I218" s="615"/>
      <c r="J218" s="615"/>
      <c r="K218" s="615"/>
      <c r="L218" s="615"/>
      <c r="M218" s="615"/>
      <c r="N218" s="615">
        <v>3</v>
      </c>
      <c r="O218" s="615">
        <v>255</v>
      </c>
      <c r="P218" s="628"/>
      <c r="Q218" s="616">
        <v>85</v>
      </c>
    </row>
    <row r="219" spans="1:17" ht="14.4" customHeight="1" x14ac:dyDescent="0.3">
      <c r="A219" s="611" t="s">
        <v>2424</v>
      </c>
      <c r="B219" s="612" t="s">
        <v>2425</v>
      </c>
      <c r="C219" s="612" t="s">
        <v>1729</v>
      </c>
      <c r="D219" s="612" t="s">
        <v>2429</v>
      </c>
      <c r="E219" s="612" t="s">
        <v>2430</v>
      </c>
      <c r="F219" s="615">
        <v>67</v>
      </c>
      <c r="G219" s="615">
        <v>19497</v>
      </c>
      <c r="H219" s="615">
        <v>1</v>
      </c>
      <c r="I219" s="615">
        <v>291</v>
      </c>
      <c r="J219" s="615">
        <v>51</v>
      </c>
      <c r="K219" s="615">
        <v>14892</v>
      </c>
      <c r="L219" s="615">
        <v>0.7638098168949069</v>
      </c>
      <c r="M219" s="615">
        <v>292</v>
      </c>
      <c r="N219" s="615">
        <v>42</v>
      </c>
      <c r="O219" s="615">
        <v>12334</v>
      </c>
      <c r="P219" s="628">
        <v>0.63261014515053593</v>
      </c>
      <c r="Q219" s="616">
        <v>293.66666666666669</v>
      </c>
    </row>
    <row r="220" spans="1:17" ht="14.4" customHeight="1" x14ac:dyDescent="0.3">
      <c r="A220" s="611" t="s">
        <v>2424</v>
      </c>
      <c r="B220" s="612" t="s">
        <v>2425</v>
      </c>
      <c r="C220" s="612" t="s">
        <v>1729</v>
      </c>
      <c r="D220" s="612" t="s">
        <v>2431</v>
      </c>
      <c r="E220" s="612" t="s">
        <v>2432</v>
      </c>
      <c r="F220" s="615">
        <v>12</v>
      </c>
      <c r="G220" s="615">
        <v>1104</v>
      </c>
      <c r="H220" s="615">
        <v>1</v>
      </c>
      <c r="I220" s="615">
        <v>92</v>
      </c>
      <c r="J220" s="615">
        <v>24</v>
      </c>
      <c r="K220" s="615">
        <v>2232</v>
      </c>
      <c r="L220" s="615">
        <v>2.0217391304347827</v>
      </c>
      <c r="M220" s="615">
        <v>93</v>
      </c>
      <c r="N220" s="615">
        <v>11</v>
      </c>
      <c r="O220" s="615">
        <v>1034</v>
      </c>
      <c r="P220" s="628">
        <v>0.93659420289855078</v>
      </c>
      <c r="Q220" s="616">
        <v>94</v>
      </c>
    </row>
    <row r="221" spans="1:17" ht="14.4" customHeight="1" x14ac:dyDescent="0.3">
      <c r="A221" s="611" t="s">
        <v>2424</v>
      </c>
      <c r="B221" s="612" t="s">
        <v>2425</v>
      </c>
      <c r="C221" s="612" t="s">
        <v>1729</v>
      </c>
      <c r="D221" s="612" t="s">
        <v>2433</v>
      </c>
      <c r="E221" s="612" t="s">
        <v>2434</v>
      </c>
      <c r="F221" s="615">
        <v>4</v>
      </c>
      <c r="G221" s="615">
        <v>876</v>
      </c>
      <c r="H221" s="615">
        <v>1</v>
      </c>
      <c r="I221" s="615">
        <v>219</v>
      </c>
      <c r="J221" s="615">
        <v>5</v>
      </c>
      <c r="K221" s="615">
        <v>1100</v>
      </c>
      <c r="L221" s="615">
        <v>1.2557077625570776</v>
      </c>
      <c r="M221" s="615">
        <v>220</v>
      </c>
      <c r="N221" s="615">
        <v>6</v>
      </c>
      <c r="O221" s="615">
        <v>1335</v>
      </c>
      <c r="P221" s="628">
        <v>1.523972602739726</v>
      </c>
      <c r="Q221" s="616">
        <v>222.5</v>
      </c>
    </row>
    <row r="222" spans="1:17" ht="14.4" customHeight="1" x14ac:dyDescent="0.3">
      <c r="A222" s="611" t="s">
        <v>2424</v>
      </c>
      <c r="B222" s="612" t="s">
        <v>2425</v>
      </c>
      <c r="C222" s="612" t="s">
        <v>1729</v>
      </c>
      <c r="D222" s="612" t="s">
        <v>2435</v>
      </c>
      <c r="E222" s="612" t="s">
        <v>2436</v>
      </c>
      <c r="F222" s="615">
        <v>18</v>
      </c>
      <c r="G222" s="615">
        <v>2394</v>
      </c>
      <c r="H222" s="615">
        <v>1</v>
      </c>
      <c r="I222" s="615">
        <v>133</v>
      </c>
      <c r="J222" s="615">
        <v>26</v>
      </c>
      <c r="K222" s="615">
        <v>3484</v>
      </c>
      <c r="L222" s="615">
        <v>1.4553049289891395</v>
      </c>
      <c r="M222" s="615">
        <v>134</v>
      </c>
      <c r="N222" s="615">
        <v>22</v>
      </c>
      <c r="O222" s="615">
        <v>2966</v>
      </c>
      <c r="P222" s="628">
        <v>1.2389306599832917</v>
      </c>
      <c r="Q222" s="616">
        <v>134.81818181818181</v>
      </c>
    </row>
    <row r="223" spans="1:17" ht="14.4" customHeight="1" x14ac:dyDescent="0.3">
      <c r="A223" s="611" t="s">
        <v>2424</v>
      </c>
      <c r="B223" s="612" t="s">
        <v>2425</v>
      </c>
      <c r="C223" s="612" t="s">
        <v>1729</v>
      </c>
      <c r="D223" s="612" t="s">
        <v>2437</v>
      </c>
      <c r="E223" s="612" t="s">
        <v>2438</v>
      </c>
      <c r="F223" s="615">
        <v>6</v>
      </c>
      <c r="G223" s="615">
        <v>1668</v>
      </c>
      <c r="H223" s="615">
        <v>1</v>
      </c>
      <c r="I223" s="615">
        <v>278</v>
      </c>
      <c r="J223" s="615">
        <v>15</v>
      </c>
      <c r="K223" s="615">
        <v>4200</v>
      </c>
      <c r="L223" s="615">
        <v>2.5179856115107913</v>
      </c>
      <c r="M223" s="615">
        <v>280</v>
      </c>
      <c r="N223" s="615">
        <v>11</v>
      </c>
      <c r="O223" s="615">
        <v>3110</v>
      </c>
      <c r="P223" s="628">
        <v>1.8645083932853717</v>
      </c>
      <c r="Q223" s="616">
        <v>282.72727272727275</v>
      </c>
    </row>
    <row r="224" spans="1:17" ht="14.4" customHeight="1" x14ac:dyDescent="0.3">
      <c r="A224" s="611" t="s">
        <v>2424</v>
      </c>
      <c r="B224" s="612" t="s">
        <v>2425</v>
      </c>
      <c r="C224" s="612" t="s">
        <v>1729</v>
      </c>
      <c r="D224" s="612" t="s">
        <v>2439</v>
      </c>
      <c r="E224" s="612" t="s">
        <v>2440</v>
      </c>
      <c r="F224" s="615"/>
      <c r="G224" s="615"/>
      <c r="H224" s="615"/>
      <c r="I224" s="615"/>
      <c r="J224" s="615">
        <v>1</v>
      </c>
      <c r="K224" s="615">
        <v>612</v>
      </c>
      <c r="L224" s="615"/>
      <c r="M224" s="615">
        <v>612</v>
      </c>
      <c r="N224" s="615"/>
      <c r="O224" s="615"/>
      <c r="P224" s="628"/>
      <c r="Q224" s="616"/>
    </row>
    <row r="225" spans="1:17" ht="14.4" customHeight="1" x14ac:dyDescent="0.3">
      <c r="A225" s="611" t="s">
        <v>2424</v>
      </c>
      <c r="B225" s="612" t="s">
        <v>2425</v>
      </c>
      <c r="C225" s="612" t="s">
        <v>1729</v>
      </c>
      <c r="D225" s="612" t="s">
        <v>2441</v>
      </c>
      <c r="E225" s="612" t="s">
        <v>2442</v>
      </c>
      <c r="F225" s="615">
        <v>16</v>
      </c>
      <c r="G225" s="615">
        <v>2528</v>
      </c>
      <c r="H225" s="615">
        <v>1</v>
      </c>
      <c r="I225" s="615">
        <v>158</v>
      </c>
      <c r="J225" s="615">
        <v>21</v>
      </c>
      <c r="K225" s="615">
        <v>3339</v>
      </c>
      <c r="L225" s="615">
        <v>1.3208069620253164</v>
      </c>
      <c r="M225" s="615">
        <v>159</v>
      </c>
      <c r="N225" s="615">
        <v>24</v>
      </c>
      <c r="O225" s="615">
        <v>3834</v>
      </c>
      <c r="P225" s="628">
        <v>1.5166139240506329</v>
      </c>
      <c r="Q225" s="616">
        <v>159.75</v>
      </c>
    </row>
    <row r="226" spans="1:17" ht="14.4" customHeight="1" x14ac:dyDescent="0.3">
      <c r="A226" s="611" t="s">
        <v>2424</v>
      </c>
      <c r="B226" s="612" t="s">
        <v>2425</v>
      </c>
      <c r="C226" s="612" t="s">
        <v>1729</v>
      </c>
      <c r="D226" s="612" t="s">
        <v>2443</v>
      </c>
      <c r="E226" s="612" t="s">
        <v>2444</v>
      </c>
      <c r="F226" s="615"/>
      <c r="G226" s="615"/>
      <c r="H226" s="615"/>
      <c r="I226" s="615"/>
      <c r="J226" s="615"/>
      <c r="K226" s="615"/>
      <c r="L226" s="615"/>
      <c r="M226" s="615"/>
      <c r="N226" s="615">
        <v>1</v>
      </c>
      <c r="O226" s="615">
        <v>382</v>
      </c>
      <c r="P226" s="628"/>
      <c r="Q226" s="616">
        <v>382</v>
      </c>
    </row>
    <row r="227" spans="1:17" ht="14.4" customHeight="1" x14ac:dyDescent="0.3">
      <c r="A227" s="611" t="s">
        <v>2424</v>
      </c>
      <c r="B227" s="612" t="s">
        <v>2425</v>
      </c>
      <c r="C227" s="612" t="s">
        <v>1729</v>
      </c>
      <c r="D227" s="612" t="s">
        <v>2445</v>
      </c>
      <c r="E227" s="612" t="s">
        <v>2446</v>
      </c>
      <c r="F227" s="615"/>
      <c r="G227" s="615"/>
      <c r="H227" s="615"/>
      <c r="I227" s="615"/>
      <c r="J227" s="615"/>
      <c r="K227" s="615"/>
      <c r="L227" s="615"/>
      <c r="M227" s="615"/>
      <c r="N227" s="615">
        <v>1</v>
      </c>
      <c r="O227" s="615">
        <v>265</v>
      </c>
      <c r="P227" s="628"/>
      <c r="Q227" s="616">
        <v>265</v>
      </c>
    </row>
    <row r="228" spans="1:17" ht="14.4" customHeight="1" x14ac:dyDescent="0.3">
      <c r="A228" s="611" t="s">
        <v>2424</v>
      </c>
      <c r="B228" s="612" t="s">
        <v>2425</v>
      </c>
      <c r="C228" s="612" t="s">
        <v>1729</v>
      </c>
      <c r="D228" s="612" t="s">
        <v>2447</v>
      </c>
      <c r="E228" s="612" t="s">
        <v>2448</v>
      </c>
      <c r="F228" s="615">
        <v>1</v>
      </c>
      <c r="G228" s="615">
        <v>140</v>
      </c>
      <c r="H228" s="615">
        <v>1</v>
      </c>
      <c r="I228" s="615">
        <v>140</v>
      </c>
      <c r="J228" s="615"/>
      <c r="K228" s="615"/>
      <c r="L228" s="615"/>
      <c r="M228" s="615"/>
      <c r="N228" s="615">
        <v>1</v>
      </c>
      <c r="O228" s="615">
        <v>141</v>
      </c>
      <c r="P228" s="628">
        <v>1.0071428571428571</v>
      </c>
      <c r="Q228" s="616">
        <v>141</v>
      </c>
    </row>
    <row r="229" spans="1:17" ht="14.4" customHeight="1" x14ac:dyDescent="0.3">
      <c r="A229" s="611" t="s">
        <v>2424</v>
      </c>
      <c r="B229" s="612" t="s">
        <v>2425</v>
      </c>
      <c r="C229" s="612" t="s">
        <v>1729</v>
      </c>
      <c r="D229" s="612" t="s">
        <v>2449</v>
      </c>
      <c r="E229" s="612" t="s">
        <v>2448</v>
      </c>
      <c r="F229" s="615">
        <v>18</v>
      </c>
      <c r="G229" s="615">
        <v>1404</v>
      </c>
      <c r="H229" s="615">
        <v>1</v>
      </c>
      <c r="I229" s="615">
        <v>78</v>
      </c>
      <c r="J229" s="615">
        <v>26</v>
      </c>
      <c r="K229" s="615">
        <v>2028</v>
      </c>
      <c r="L229" s="615">
        <v>1.4444444444444444</v>
      </c>
      <c r="M229" s="615">
        <v>78</v>
      </c>
      <c r="N229" s="615">
        <v>23</v>
      </c>
      <c r="O229" s="615">
        <v>1794</v>
      </c>
      <c r="P229" s="628">
        <v>1.2777777777777777</v>
      </c>
      <c r="Q229" s="616">
        <v>78</v>
      </c>
    </row>
    <row r="230" spans="1:17" ht="14.4" customHeight="1" x14ac:dyDescent="0.3">
      <c r="A230" s="611" t="s">
        <v>2424</v>
      </c>
      <c r="B230" s="612" t="s">
        <v>2425</v>
      </c>
      <c r="C230" s="612" t="s">
        <v>1729</v>
      </c>
      <c r="D230" s="612" t="s">
        <v>2450</v>
      </c>
      <c r="E230" s="612" t="s">
        <v>2451</v>
      </c>
      <c r="F230" s="615">
        <v>1</v>
      </c>
      <c r="G230" s="615">
        <v>302</v>
      </c>
      <c r="H230" s="615">
        <v>1</v>
      </c>
      <c r="I230" s="615">
        <v>302</v>
      </c>
      <c r="J230" s="615"/>
      <c r="K230" s="615"/>
      <c r="L230" s="615"/>
      <c r="M230" s="615"/>
      <c r="N230" s="615">
        <v>2</v>
      </c>
      <c r="O230" s="615">
        <v>609</v>
      </c>
      <c r="P230" s="628">
        <v>2.0165562913907285</v>
      </c>
      <c r="Q230" s="616">
        <v>304.5</v>
      </c>
    </row>
    <row r="231" spans="1:17" ht="14.4" customHeight="1" x14ac:dyDescent="0.3">
      <c r="A231" s="611" t="s">
        <v>2424</v>
      </c>
      <c r="B231" s="612" t="s">
        <v>2425</v>
      </c>
      <c r="C231" s="612" t="s">
        <v>1729</v>
      </c>
      <c r="D231" s="612" t="s">
        <v>2452</v>
      </c>
      <c r="E231" s="612" t="s">
        <v>2453</v>
      </c>
      <c r="F231" s="615">
        <v>1520</v>
      </c>
      <c r="G231" s="615">
        <v>738720</v>
      </c>
      <c r="H231" s="615">
        <v>1</v>
      </c>
      <c r="I231" s="615">
        <v>486</v>
      </c>
      <c r="J231" s="615">
        <v>1688</v>
      </c>
      <c r="K231" s="615">
        <v>820368</v>
      </c>
      <c r="L231" s="615">
        <v>1.1105263157894736</v>
      </c>
      <c r="M231" s="615">
        <v>486</v>
      </c>
      <c r="N231" s="615">
        <v>1812</v>
      </c>
      <c r="O231" s="615">
        <v>881948</v>
      </c>
      <c r="P231" s="628">
        <v>1.1938867229802903</v>
      </c>
      <c r="Q231" s="616">
        <v>486.72626931567328</v>
      </c>
    </row>
    <row r="232" spans="1:17" ht="14.4" customHeight="1" x14ac:dyDescent="0.3">
      <c r="A232" s="611" t="s">
        <v>2424</v>
      </c>
      <c r="B232" s="612" t="s">
        <v>2425</v>
      </c>
      <c r="C232" s="612" t="s">
        <v>1729</v>
      </c>
      <c r="D232" s="612" t="s">
        <v>2454</v>
      </c>
      <c r="E232" s="612" t="s">
        <v>2455</v>
      </c>
      <c r="F232" s="615">
        <v>50</v>
      </c>
      <c r="G232" s="615">
        <v>7950</v>
      </c>
      <c r="H232" s="615">
        <v>1</v>
      </c>
      <c r="I232" s="615">
        <v>159</v>
      </c>
      <c r="J232" s="615">
        <v>34</v>
      </c>
      <c r="K232" s="615">
        <v>5440</v>
      </c>
      <c r="L232" s="615">
        <v>0.68427672955974839</v>
      </c>
      <c r="M232" s="615">
        <v>160</v>
      </c>
      <c r="N232" s="615">
        <v>25</v>
      </c>
      <c r="O232" s="615">
        <v>4020</v>
      </c>
      <c r="P232" s="628">
        <v>0.50566037735849056</v>
      </c>
      <c r="Q232" s="616">
        <v>160.80000000000001</v>
      </c>
    </row>
    <row r="233" spans="1:17" ht="14.4" customHeight="1" x14ac:dyDescent="0.3">
      <c r="A233" s="611" t="s">
        <v>2424</v>
      </c>
      <c r="B233" s="612" t="s">
        <v>2425</v>
      </c>
      <c r="C233" s="612" t="s">
        <v>1729</v>
      </c>
      <c r="D233" s="612" t="s">
        <v>2456</v>
      </c>
      <c r="E233" s="612" t="s">
        <v>2427</v>
      </c>
      <c r="F233" s="615">
        <v>100</v>
      </c>
      <c r="G233" s="615">
        <v>7000</v>
      </c>
      <c r="H233" s="615">
        <v>1</v>
      </c>
      <c r="I233" s="615">
        <v>70</v>
      </c>
      <c r="J233" s="615">
        <v>98</v>
      </c>
      <c r="K233" s="615">
        <v>6860</v>
      </c>
      <c r="L233" s="615">
        <v>0.98</v>
      </c>
      <c r="M233" s="615">
        <v>70</v>
      </c>
      <c r="N233" s="615">
        <v>71</v>
      </c>
      <c r="O233" s="615">
        <v>5018</v>
      </c>
      <c r="P233" s="628">
        <v>0.71685714285714286</v>
      </c>
      <c r="Q233" s="616">
        <v>70.676056338028175</v>
      </c>
    </row>
    <row r="234" spans="1:17" ht="14.4" customHeight="1" x14ac:dyDescent="0.3">
      <c r="A234" s="611" t="s">
        <v>2424</v>
      </c>
      <c r="B234" s="612" t="s">
        <v>2425</v>
      </c>
      <c r="C234" s="612" t="s">
        <v>1729</v>
      </c>
      <c r="D234" s="612" t="s">
        <v>2457</v>
      </c>
      <c r="E234" s="612" t="s">
        <v>2458</v>
      </c>
      <c r="F234" s="615">
        <v>7</v>
      </c>
      <c r="G234" s="615">
        <v>8302</v>
      </c>
      <c r="H234" s="615">
        <v>1</v>
      </c>
      <c r="I234" s="615">
        <v>1186</v>
      </c>
      <c r="J234" s="615">
        <v>8</v>
      </c>
      <c r="K234" s="615">
        <v>9512</v>
      </c>
      <c r="L234" s="615">
        <v>1.145748012527102</v>
      </c>
      <c r="M234" s="615">
        <v>1189</v>
      </c>
      <c r="N234" s="615">
        <v>6</v>
      </c>
      <c r="O234" s="615">
        <v>7150</v>
      </c>
      <c r="P234" s="628">
        <v>0.86123825584196578</v>
      </c>
      <c r="Q234" s="616">
        <v>1191.6666666666667</v>
      </c>
    </row>
    <row r="235" spans="1:17" ht="14.4" customHeight="1" x14ac:dyDescent="0.3">
      <c r="A235" s="611" t="s">
        <v>2424</v>
      </c>
      <c r="B235" s="612" t="s">
        <v>2425</v>
      </c>
      <c r="C235" s="612" t="s">
        <v>1729</v>
      </c>
      <c r="D235" s="612" t="s">
        <v>2459</v>
      </c>
      <c r="E235" s="612" t="s">
        <v>2460</v>
      </c>
      <c r="F235" s="615">
        <v>326</v>
      </c>
      <c r="G235" s="615">
        <v>34882</v>
      </c>
      <c r="H235" s="615">
        <v>1</v>
      </c>
      <c r="I235" s="615">
        <v>107</v>
      </c>
      <c r="J235" s="615">
        <v>336</v>
      </c>
      <c r="K235" s="615">
        <v>36288</v>
      </c>
      <c r="L235" s="615">
        <v>1.0403073218278769</v>
      </c>
      <c r="M235" s="615">
        <v>108</v>
      </c>
      <c r="N235" s="615">
        <v>326</v>
      </c>
      <c r="O235" s="615">
        <v>35434</v>
      </c>
      <c r="P235" s="628">
        <v>1.0158247806891807</v>
      </c>
      <c r="Q235" s="616">
        <v>108.69325153374233</v>
      </c>
    </row>
    <row r="236" spans="1:17" ht="14.4" customHeight="1" x14ac:dyDescent="0.3">
      <c r="A236" s="611" t="s">
        <v>2424</v>
      </c>
      <c r="B236" s="612" t="s">
        <v>2425</v>
      </c>
      <c r="C236" s="612" t="s">
        <v>1729</v>
      </c>
      <c r="D236" s="612" t="s">
        <v>2461</v>
      </c>
      <c r="E236" s="612" t="s">
        <v>2462</v>
      </c>
      <c r="F236" s="615"/>
      <c r="G236" s="615"/>
      <c r="H236" s="615"/>
      <c r="I236" s="615"/>
      <c r="J236" s="615">
        <v>2</v>
      </c>
      <c r="K236" s="615">
        <v>638</v>
      </c>
      <c r="L236" s="615"/>
      <c r="M236" s="615">
        <v>319</v>
      </c>
      <c r="N236" s="615">
        <v>1</v>
      </c>
      <c r="O236" s="615">
        <v>322</v>
      </c>
      <c r="P236" s="628"/>
      <c r="Q236" s="616">
        <v>322</v>
      </c>
    </row>
    <row r="237" spans="1:17" ht="14.4" customHeight="1" x14ac:dyDescent="0.3">
      <c r="A237" s="611" t="s">
        <v>2424</v>
      </c>
      <c r="B237" s="612" t="s">
        <v>2425</v>
      </c>
      <c r="C237" s="612" t="s">
        <v>1729</v>
      </c>
      <c r="D237" s="612" t="s">
        <v>2463</v>
      </c>
      <c r="E237" s="612" t="s">
        <v>2464</v>
      </c>
      <c r="F237" s="615">
        <v>722</v>
      </c>
      <c r="G237" s="615">
        <v>103246</v>
      </c>
      <c r="H237" s="615">
        <v>1</v>
      </c>
      <c r="I237" s="615">
        <v>143</v>
      </c>
      <c r="J237" s="615">
        <v>809</v>
      </c>
      <c r="K237" s="615">
        <v>116496</v>
      </c>
      <c r="L237" s="615">
        <v>1.1283342696085079</v>
      </c>
      <c r="M237" s="615">
        <v>144</v>
      </c>
      <c r="N237" s="615">
        <v>813</v>
      </c>
      <c r="O237" s="615">
        <v>117647</v>
      </c>
      <c r="P237" s="628">
        <v>1.1394824012552545</v>
      </c>
      <c r="Q237" s="616">
        <v>144.70725707257071</v>
      </c>
    </row>
    <row r="238" spans="1:17" ht="14.4" customHeight="1" x14ac:dyDescent="0.3">
      <c r="A238" s="611" t="s">
        <v>2424</v>
      </c>
      <c r="B238" s="612" t="s">
        <v>2425</v>
      </c>
      <c r="C238" s="612" t="s">
        <v>1729</v>
      </c>
      <c r="D238" s="612" t="s">
        <v>2465</v>
      </c>
      <c r="E238" s="612" t="s">
        <v>2466</v>
      </c>
      <c r="F238" s="615"/>
      <c r="G238" s="615"/>
      <c r="H238" s="615"/>
      <c r="I238" s="615"/>
      <c r="J238" s="615">
        <v>1</v>
      </c>
      <c r="K238" s="615">
        <v>1020</v>
      </c>
      <c r="L238" s="615"/>
      <c r="M238" s="615">
        <v>1020</v>
      </c>
      <c r="N238" s="615"/>
      <c r="O238" s="615"/>
      <c r="P238" s="628"/>
      <c r="Q238" s="616"/>
    </row>
    <row r="239" spans="1:17" ht="14.4" customHeight="1" x14ac:dyDescent="0.3">
      <c r="A239" s="611" t="s">
        <v>2424</v>
      </c>
      <c r="B239" s="612" t="s">
        <v>2425</v>
      </c>
      <c r="C239" s="612" t="s">
        <v>1729</v>
      </c>
      <c r="D239" s="612" t="s">
        <v>2467</v>
      </c>
      <c r="E239" s="612" t="s">
        <v>2468</v>
      </c>
      <c r="F239" s="615">
        <v>4</v>
      </c>
      <c r="G239" s="615">
        <v>1160</v>
      </c>
      <c r="H239" s="615">
        <v>1</v>
      </c>
      <c r="I239" s="615">
        <v>290</v>
      </c>
      <c r="J239" s="615">
        <v>4</v>
      </c>
      <c r="K239" s="615">
        <v>1164</v>
      </c>
      <c r="L239" s="615">
        <v>1.0034482758620689</v>
      </c>
      <c r="M239" s="615">
        <v>291</v>
      </c>
      <c r="N239" s="615">
        <v>4</v>
      </c>
      <c r="O239" s="615">
        <v>1172</v>
      </c>
      <c r="P239" s="628">
        <v>1.0103448275862068</v>
      </c>
      <c r="Q239" s="616">
        <v>293</v>
      </c>
    </row>
    <row r="240" spans="1:17" ht="14.4" customHeight="1" x14ac:dyDescent="0.3">
      <c r="A240" s="611" t="s">
        <v>2424</v>
      </c>
      <c r="B240" s="612" t="s">
        <v>2425</v>
      </c>
      <c r="C240" s="612" t="s">
        <v>1729</v>
      </c>
      <c r="D240" s="612" t="s">
        <v>2469</v>
      </c>
      <c r="E240" s="612" t="s">
        <v>2470</v>
      </c>
      <c r="F240" s="615"/>
      <c r="G240" s="615"/>
      <c r="H240" s="615"/>
      <c r="I240" s="615"/>
      <c r="J240" s="615">
        <v>4</v>
      </c>
      <c r="K240" s="615">
        <v>2896</v>
      </c>
      <c r="L240" s="615"/>
      <c r="M240" s="615">
        <v>724</v>
      </c>
      <c r="N240" s="615"/>
      <c r="O240" s="615"/>
      <c r="P240" s="628"/>
      <c r="Q240" s="616"/>
    </row>
    <row r="241" spans="1:17" ht="14.4" customHeight="1" x14ac:dyDescent="0.3">
      <c r="A241" s="611" t="s">
        <v>2471</v>
      </c>
      <c r="B241" s="612" t="s">
        <v>2472</v>
      </c>
      <c r="C241" s="612" t="s">
        <v>1729</v>
      </c>
      <c r="D241" s="612" t="s">
        <v>2473</v>
      </c>
      <c r="E241" s="612" t="s">
        <v>2474</v>
      </c>
      <c r="F241" s="615">
        <v>12</v>
      </c>
      <c r="G241" s="615">
        <v>636</v>
      </c>
      <c r="H241" s="615">
        <v>1</v>
      </c>
      <c r="I241" s="615">
        <v>53</v>
      </c>
      <c r="J241" s="615">
        <v>10</v>
      </c>
      <c r="K241" s="615">
        <v>530</v>
      </c>
      <c r="L241" s="615">
        <v>0.83333333333333337</v>
      </c>
      <c r="M241" s="615">
        <v>53</v>
      </c>
      <c r="N241" s="615">
        <v>6</v>
      </c>
      <c r="O241" s="615">
        <v>318</v>
      </c>
      <c r="P241" s="628">
        <v>0.5</v>
      </c>
      <c r="Q241" s="616">
        <v>53</v>
      </c>
    </row>
    <row r="242" spans="1:17" ht="14.4" customHeight="1" x14ac:dyDescent="0.3">
      <c r="A242" s="611" t="s">
        <v>2471</v>
      </c>
      <c r="B242" s="612" t="s">
        <v>2472</v>
      </c>
      <c r="C242" s="612" t="s">
        <v>1729</v>
      </c>
      <c r="D242" s="612" t="s">
        <v>2475</v>
      </c>
      <c r="E242" s="612" t="s">
        <v>2476</v>
      </c>
      <c r="F242" s="615">
        <v>8</v>
      </c>
      <c r="G242" s="615">
        <v>960</v>
      </c>
      <c r="H242" s="615">
        <v>1</v>
      </c>
      <c r="I242" s="615">
        <v>120</v>
      </c>
      <c r="J242" s="615">
        <v>22</v>
      </c>
      <c r="K242" s="615">
        <v>2662</v>
      </c>
      <c r="L242" s="615">
        <v>2.7729166666666667</v>
      </c>
      <c r="M242" s="615">
        <v>121</v>
      </c>
      <c r="N242" s="615">
        <v>18</v>
      </c>
      <c r="O242" s="615">
        <v>2194</v>
      </c>
      <c r="P242" s="628">
        <v>2.2854166666666669</v>
      </c>
      <c r="Q242" s="616">
        <v>121.88888888888889</v>
      </c>
    </row>
    <row r="243" spans="1:17" ht="14.4" customHeight="1" x14ac:dyDescent="0.3">
      <c r="A243" s="611" t="s">
        <v>2471</v>
      </c>
      <c r="B243" s="612" t="s">
        <v>2472</v>
      </c>
      <c r="C243" s="612" t="s">
        <v>1729</v>
      </c>
      <c r="D243" s="612" t="s">
        <v>2477</v>
      </c>
      <c r="E243" s="612" t="s">
        <v>2478</v>
      </c>
      <c r="F243" s="615"/>
      <c r="G243" s="615"/>
      <c r="H243" s="615"/>
      <c r="I243" s="615"/>
      <c r="J243" s="615"/>
      <c r="K243" s="615"/>
      <c r="L243" s="615"/>
      <c r="M243" s="615"/>
      <c r="N243" s="615">
        <v>1</v>
      </c>
      <c r="O243" s="615">
        <v>176</v>
      </c>
      <c r="P243" s="628"/>
      <c r="Q243" s="616">
        <v>176</v>
      </c>
    </row>
    <row r="244" spans="1:17" ht="14.4" customHeight="1" x14ac:dyDescent="0.3">
      <c r="A244" s="611" t="s">
        <v>2471</v>
      </c>
      <c r="B244" s="612" t="s">
        <v>2472</v>
      </c>
      <c r="C244" s="612" t="s">
        <v>1729</v>
      </c>
      <c r="D244" s="612" t="s">
        <v>2479</v>
      </c>
      <c r="E244" s="612" t="s">
        <v>2480</v>
      </c>
      <c r="F244" s="615">
        <v>1</v>
      </c>
      <c r="G244" s="615">
        <v>379</v>
      </c>
      <c r="H244" s="615">
        <v>1</v>
      </c>
      <c r="I244" s="615">
        <v>379</v>
      </c>
      <c r="J244" s="615"/>
      <c r="K244" s="615"/>
      <c r="L244" s="615"/>
      <c r="M244" s="615"/>
      <c r="N244" s="615"/>
      <c r="O244" s="615"/>
      <c r="P244" s="628"/>
      <c r="Q244" s="616"/>
    </row>
    <row r="245" spans="1:17" ht="14.4" customHeight="1" x14ac:dyDescent="0.3">
      <c r="A245" s="611" t="s">
        <v>2471</v>
      </c>
      <c r="B245" s="612" t="s">
        <v>2472</v>
      </c>
      <c r="C245" s="612" t="s">
        <v>1729</v>
      </c>
      <c r="D245" s="612" t="s">
        <v>2481</v>
      </c>
      <c r="E245" s="612" t="s">
        <v>2482</v>
      </c>
      <c r="F245" s="615">
        <v>3</v>
      </c>
      <c r="G245" s="615">
        <v>501</v>
      </c>
      <c r="H245" s="615">
        <v>1</v>
      </c>
      <c r="I245" s="615">
        <v>167</v>
      </c>
      <c r="J245" s="615">
        <v>14</v>
      </c>
      <c r="K245" s="615">
        <v>2352</v>
      </c>
      <c r="L245" s="615">
        <v>4.6946107784431135</v>
      </c>
      <c r="M245" s="615">
        <v>168</v>
      </c>
      <c r="N245" s="615"/>
      <c r="O245" s="615"/>
      <c r="P245" s="628"/>
      <c r="Q245" s="616"/>
    </row>
    <row r="246" spans="1:17" ht="14.4" customHeight="1" x14ac:dyDescent="0.3">
      <c r="A246" s="611" t="s">
        <v>2471</v>
      </c>
      <c r="B246" s="612" t="s">
        <v>2472</v>
      </c>
      <c r="C246" s="612" t="s">
        <v>1729</v>
      </c>
      <c r="D246" s="612" t="s">
        <v>2483</v>
      </c>
      <c r="E246" s="612" t="s">
        <v>2484</v>
      </c>
      <c r="F246" s="615">
        <v>2</v>
      </c>
      <c r="G246" s="615">
        <v>626</v>
      </c>
      <c r="H246" s="615">
        <v>1</v>
      </c>
      <c r="I246" s="615">
        <v>313</v>
      </c>
      <c r="J246" s="615">
        <v>2</v>
      </c>
      <c r="K246" s="615">
        <v>632</v>
      </c>
      <c r="L246" s="615">
        <v>1.0095846645367412</v>
      </c>
      <c r="M246" s="615">
        <v>316</v>
      </c>
      <c r="N246" s="615">
        <v>5</v>
      </c>
      <c r="O246" s="615">
        <v>1592</v>
      </c>
      <c r="P246" s="628">
        <v>2.5431309904153356</v>
      </c>
      <c r="Q246" s="616">
        <v>318.39999999999998</v>
      </c>
    </row>
    <row r="247" spans="1:17" ht="14.4" customHeight="1" x14ac:dyDescent="0.3">
      <c r="A247" s="611" t="s">
        <v>2471</v>
      </c>
      <c r="B247" s="612" t="s">
        <v>2472</v>
      </c>
      <c r="C247" s="612" t="s">
        <v>1729</v>
      </c>
      <c r="D247" s="612" t="s">
        <v>2485</v>
      </c>
      <c r="E247" s="612" t="s">
        <v>2486</v>
      </c>
      <c r="F247" s="615"/>
      <c r="G247" s="615"/>
      <c r="H247" s="615"/>
      <c r="I247" s="615"/>
      <c r="J247" s="615">
        <v>1</v>
      </c>
      <c r="K247" s="615">
        <v>435</v>
      </c>
      <c r="L247" s="615"/>
      <c r="M247" s="615">
        <v>435</v>
      </c>
      <c r="N247" s="615"/>
      <c r="O247" s="615"/>
      <c r="P247" s="628"/>
      <c r="Q247" s="616"/>
    </row>
    <row r="248" spans="1:17" ht="14.4" customHeight="1" x14ac:dyDescent="0.3">
      <c r="A248" s="611" t="s">
        <v>2471</v>
      </c>
      <c r="B248" s="612" t="s">
        <v>2472</v>
      </c>
      <c r="C248" s="612" t="s">
        <v>1729</v>
      </c>
      <c r="D248" s="612" t="s">
        <v>2487</v>
      </c>
      <c r="E248" s="612" t="s">
        <v>2488</v>
      </c>
      <c r="F248" s="615">
        <v>12</v>
      </c>
      <c r="G248" s="615">
        <v>4044</v>
      </c>
      <c r="H248" s="615">
        <v>1</v>
      </c>
      <c r="I248" s="615">
        <v>337</v>
      </c>
      <c r="J248" s="615">
        <v>3</v>
      </c>
      <c r="K248" s="615">
        <v>1014</v>
      </c>
      <c r="L248" s="615">
        <v>0.25074183976261127</v>
      </c>
      <c r="M248" s="615">
        <v>338</v>
      </c>
      <c r="N248" s="615">
        <v>9</v>
      </c>
      <c r="O248" s="615">
        <v>3044</v>
      </c>
      <c r="P248" s="628">
        <v>0.75272007912957473</v>
      </c>
      <c r="Q248" s="616">
        <v>338.22222222222223</v>
      </c>
    </row>
    <row r="249" spans="1:17" ht="14.4" customHeight="1" x14ac:dyDescent="0.3">
      <c r="A249" s="611" t="s">
        <v>2471</v>
      </c>
      <c r="B249" s="612" t="s">
        <v>2472</v>
      </c>
      <c r="C249" s="612" t="s">
        <v>1729</v>
      </c>
      <c r="D249" s="612" t="s">
        <v>2489</v>
      </c>
      <c r="E249" s="612" t="s">
        <v>2490</v>
      </c>
      <c r="F249" s="615">
        <v>1</v>
      </c>
      <c r="G249" s="615">
        <v>107</v>
      </c>
      <c r="H249" s="615">
        <v>1</v>
      </c>
      <c r="I249" s="615">
        <v>107</v>
      </c>
      <c r="J249" s="615"/>
      <c r="K249" s="615"/>
      <c r="L249" s="615"/>
      <c r="M249" s="615"/>
      <c r="N249" s="615"/>
      <c r="O249" s="615"/>
      <c r="P249" s="628"/>
      <c r="Q249" s="616"/>
    </row>
    <row r="250" spans="1:17" ht="14.4" customHeight="1" x14ac:dyDescent="0.3">
      <c r="A250" s="611" t="s">
        <v>2471</v>
      </c>
      <c r="B250" s="612" t="s">
        <v>2472</v>
      </c>
      <c r="C250" s="612" t="s">
        <v>1729</v>
      </c>
      <c r="D250" s="612" t="s">
        <v>2162</v>
      </c>
      <c r="E250" s="612" t="s">
        <v>2163</v>
      </c>
      <c r="F250" s="615">
        <v>1</v>
      </c>
      <c r="G250" s="615">
        <v>36</v>
      </c>
      <c r="H250" s="615">
        <v>1</v>
      </c>
      <c r="I250" s="615">
        <v>36</v>
      </c>
      <c r="J250" s="615"/>
      <c r="K250" s="615"/>
      <c r="L250" s="615"/>
      <c r="M250" s="615"/>
      <c r="N250" s="615"/>
      <c r="O250" s="615"/>
      <c r="P250" s="628"/>
      <c r="Q250" s="616"/>
    </row>
    <row r="251" spans="1:17" ht="14.4" customHeight="1" x14ac:dyDescent="0.3">
      <c r="A251" s="611" t="s">
        <v>2471</v>
      </c>
      <c r="B251" s="612" t="s">
        <v>2472</v>
      </c>
      <c r="C251" s="612" t="s">
        <v>1729</v>
      </c>
      <c r="D251" s="612" t="s">
        <v>2491</v>
      </c>
      <c r="E251" s="612" t="s">
        <v>2492</v>
      </c>
      <c r="F251" s="615">
        <v>8</v>
      </c>
      <c r="G251" s="615">
        <v>2240</v>
      </c>
      <c r="H251" s="615">
        <v>1</v>
      </c>
      <c r="I251" s="615">
        <v>280</v>
      </c>
      <c r="J251" s="615">
        <v>13</v>
      </c>
      <c r="K251" s="615">
        <v>3653</v>
      </c>
      <c r="L251" s="615">
        <v>1.6308035714285714</v>
      </c>
      <c r="M251" s="615">
        <v>281</v>
      </c>
      <c r="N251" s="615">
        <v>11</v>
      </c>
      <c r="O251" s="615">
        <v>3121</v>
      </c>
      <c r="P251" s="628">
        <v>1.3933035714285715</v>
      </c>
      <c r="Q251" s="616">
        <v>283.72727272727275</v>
      </c>
    </row>
    <row r="252" spans="1:17" ht="14.4" customHeight="1" x14ac:dyDescent="0.3">
      <c r="A252" s="611" t="s">
        <v>2471</v>
      </c>
      <c r="B252" s="612" t="s">
        <v>2472</v>
      </c>
      <c r="C252" s="612" t="s">
        <v>1729</v>
      </c>
      <c r="D252" s="612" t="s">
        <v>2493</v>
      </c>
      <c r="E252" s="612" t="s">
        <v>2494</v>
      </c>
      <c r="F252" s="615">
        <v>1</v>
      </c>
      <c r="G252" s="615">
        <v>453</v>
      </c>
      <c r="H252" s="615">
        <v>1</v>
      </c>
      <c r="I252" s="615">
        <v>453</v>
      </c>
      <c r="J252" s="615">
        <v>3</v>
      </c>
      <c r="K252" s="615">
        <v>1368</v>
      </c>
      <c r="L252" s="615">
        <v>3.0198675496688741</v>
      </c>
      <c r="M252" s="615">
        <v>456</v>
      </c>
      <c r="N252" s="615">
        <v>5</v>
      </c>
      <c r="O252" s="615">
        <v>2284</v>
      </c>
      <c r="P252" s="628">
        <v>5.0419426048565121</v>
      </c>
      <c r="Q252" s="616">
        <v>456.8</v>
      </c>
    </row>
    <row r="253" spans="1:17" ht="14.4" customHeight="1" x14ac:dyDescent="0.3">
      <c r="A253" s="611" t="s">
        <v>2471</v>
      </c>
      <c r="B253" s="612" t="s">
        <v>2472</v>
      </c>
      <c r="C253" s="612" t="s">
        <v>1729</v>
      </c>
      <c r="D253" s="612" t="s">
        <v>2495</v>
      </c>
      <c r="E253" s="612" t="s">
        <v>2496</v>
      </c>
      <c r="F253" s="615">
        <v>10</v>
      </c>
      <c r="G253" s="615">
        <v>3450</v>
      </c>
      <c r="H253" s="615">
        <v>1</v>
      </c>
      <c r="I253" s="615">
        <v>345</v>
      </c>
      <c r="J253" s="615">
        <v>16</v>
      </c>
      <c r="K253" s="615">
        <v>5568</v>
      </c>
      <c r="L253" s="615">
        <v>1.6139130434782609</v>
      </c>
      <c r="M253" s="615">
        <v>348</v>
      </c>
      <c r="N253" s="615">
        <v>14</v>
      </c>
      <c r="O253" s="615">
        <v>4932</v>
      </c>
      <c r="P253" s="628">
        <v>1.4295652173913043</v>
      </c>
      <c r="Q253" s="616">
        <v>352.28571428571428</v>
      </c>
    </row>
    <row r="254" spans="1:17" ht="14.4" customHeight="1" x14ac:dyDescent="0.3">
      <c r="A254" s="611" t="s">
        <v>2471</v>
      </c>
      <c r="B254" s="612" t="s">
        <v>2472</v>
      </c>
      <c r="C254" s="612" t="s">
        <v>1729</v>
      </c>
      <c r="D254" s="612" t="s">
        <v>2497</v>
      </c>
      <c r="E254" s="612" t="s">
        <v>2498</v>
      </c>
      <c r="F254" s="615"/>
      <c r="G254" s="615"/>
      <c r="H254" s="615"/>
      <c r="I254" s="615"/>
      <c r="J254" s="615">
        <v>1</v>
      </c>
      <c r="K254" s="615">
        <v>103</v>
      </c>
      <c r="L254" s="615"/>
      <c r="M254" s="615">
        <v>103</v>
      </c>
      <c r="N254" s="615"/>
      <c r="O254" s="615"/>
      <c r="P254" s="628"/>
      <c r="Q254" s="616"/>
    </row>
    <row r="255" spans="1:17" ht="14.4" customHeight="1" x14ac:dyDescent="0.3">
      <c r="A255" s="611" t="s">
        <v>2471</v>
      </c>
      <c r="B255" s="612" t="s">
        <v>2472</v>
      </c>
      <c r="C255" s="612" t="s">
        <v>1729</v>
      </c>
      <c r="D255" s="612" t="s">
        <v>2499</v>
      </c>
      <c r="E255" s="612" t="s">
        <v>2500</v>
      </c>
      <c r="F255" s="615">
        <v>1</v>
      </c>
      <c r="G255" s="615">
        <v>115</v>
      </c>
      <c r="H255" s="615">
        <v>1</v>
      </c>
      <c r="I255" s="615">
        <v>115</v>
      </c>
      <c r="J255" s="615">
        <v>1</v>
      </c>
      <c r="K255" s="615">
        <v>115</v>
      </c>
      <c r="L255" s="615">
        <v>1</v>
      </c>
      <c r="M255" s="615">
        <v>115</v>
      </c>
      <c r="N255" s="615"/>
      <c r="O255" s="615"/>
      <c r="P255" s="628"/>
      <c r="Q255" s="616"/>
    </row>
    <row r="256" spans="1:17" ht="14.4" customHeight="1" x14ac:dyDescent="0.3">
      <c r="A256" s="611" t="s">
        <v>2471</v>
      </c>
      <c r="B256" s="612" t="s">
        <v>2472</v>
      </c>
      <c r="C256" s="612" t="s">
        <v>1729</v>
      </c>
      <c r="D256" s="612" t="s">
        <v>2501</v>
      </c>
      <c r="E256" s="612" t="s">
        <v>2502</v>
      </c>
      <c r="F256" s="615">
        <v>1</v>
      </c>
      <c r="G256" s="615">
        <v>454</v>
      </c>
      <c r="H256" s="615">
        <v>1</v>
      </c>
      <c r="I256" s="615">
        <v>454</v>
      </c>
      <c r="J256" s="615"/>
      <c r="K256" s="615"/>
      <c r="L256" s="615"/>
      <c r="M256" s="615"/>
      <c r="N256" s="615"/>
      <c r="O256" s="615"/>
      <c r="P256" s="628"/>
      <c r="Q256" s="616"/>
    </row>
    <row r="257" spans="1:17" ht="14.4" customHeight="1" x14ac:dyDescent="0.3">
      <c r="A257" s="611" t="s">
        <v>2471</v>
      </c>
      <c r="B257" s="612" t="s">
        <v>2472</v>
      </c>
      <c r="C257" s="612" t="s">
        <v>1729</v>
      </c>
      <c r="D257" s="612" t="s">
        <v>2503</v>
      </c>
      <c r="E257" s="612" t="s">
        <v>2504</v>
      </c>
      <c r="F257" s="615">
        <v>2</v>
      </c>
      <c r="G257" s="615">
        <v>850</v>
      </c>
      <c r="H257" s="615">
        <v>1</v>
      </c>
      <c r="I257" s="615">
        <v>425</v>
      </c>
      <c r="J257" s="615">
        <v>1</v>
      </c>
      <c r="K257" s="615">
        <v>429</v>
      </c>
      <c r="L257" s="615">
        <v>0.50470588235294123</v>
      </c>
      <c r="M257" s="615">
        <v>429</v>
      </c>
      <c r="N257" s="615"/>
      <c r="O257" s="615"/>
      <c r="P257" s="628"/>
      <c r="Q257" s="616"/>
    </row>
    <row r="258" spans="1:17" ht="14.4" customHeight="1" x14ac:dyDescent="0.3">
      <c r="A258" s="611" t="s">
        <v>2471</v>
      </c>
      <c r="B258" s="612" t="s">
        <v>2472</v>
      </c>
      <c r="C258" s="612" t="s">
        <v>1729</v>
      </c>
      <c r="D258" s="612" t="s">
        <v>2505</v>
      </c>
      <c r="E258" s="612" t="s">
        <v>2506</v>
      </c>
      <c r="F258" s="615"/>
      <c r="G258" s="615"/>
      <c r="H258" s="615"/>
      <c r="I258" s="615"/>
      <c r="J258" s="615"/>
      <c r="K258" s="615"/>
      <c r="L258" s="615"/>
      <c r="M258" s="615"/>
      <c r="N258" s="615">
        <v>2</v>
      </c>
      <c r="O258" s="615">
        <v>108</v>
      </c>
      <c r="P258" s="628"/>
      <c r="Q258" s="616">
        <v>54</v>
      </c>
    </row>
    <row r="259" spans="1:17" ht="14.4" customHeight="1" x14ac:dyDescent="0.3">
      <c r="A259" s="611" t="s">
        <v>2471</v>
      </c>
      <c r="B259" s="612" t="s">
        <v>2472</v>
      </c>
      <c r="C259" s="612" t="s">
        <v>1729</v>
      </c>
      <c r="D259" s="612" t="s">
        <v>2507</v>
      </c>
      <c r="E259" s="612" t="s">
        <v>2508</v>
      </c>
      <c r="F259" s="615">
        <v>83</v>
      </c>
      <c r="G259" s="615">
        <v>13612</v>
      </c>
      <c r="H259" s="615">
        <v>1</v>
      </c>
      <c r="I259" s="615">
        <v>164</v>
      </c>
      <c r="J259" s="615">
        <v>174</v>
      </c>
      <c r="K259" s="615">
        <v>28710</v>
      </c>
      <c r="L259" s="615">
        <v>2.1091683808404351</v>
      </c>
      <c r="M259" s="615">
        <v>165</v>
      </c>
      <c r="N259" s="615">
        <v>136</v>
      </c>
      <c r="O259" s="615">
        <v>22758</v>
      </c>
      <c r="P259" s="628">
        <v>1.6719071407581545</v>
      </c>
      <c r="Q259" s="616">
        <v>167.33823529411765</v>
      </c>
    </row>
    <row r="260" spans="1:17" ht="14.4" customHeight="1" x14ac:dyDescent="0.3">
      <c r="A260" s="611" t="s">
        <v>2471</v>
      </c>
      <c r="B260" s="612" t="s">
        <v>2472</v>
      </c>
      <c r="C260" s="612" t="s">
        <v>1729</v>
      </c>
      <c r="D260" s="612" t="s">
        <v>2509</v>
      </c>
      <c r="E260" s="612" t="s">
        <v>2510</v>
      </c>
      <c r="F260" s="615">
        <v>4</v>
      </c>
      <c r="G260" s="615">
        <v>636</v>
      </c>
      <c r="H260" s="615">
        <v>1</v>
      </c>
      <c r="I260" s="615">
        <v>159</v>
      </c>
      <c r="J260" s="615">
        <v>2</v>
      </c>
      <c r="K260" s="615">
        <v>320</v>
      </c>
      <c r="L260" s="615">
        <v>0.50314465408805031</v>
      </c>
      <c r="M260" s="615">
        <v>160</v>
      </c>
      <c r="N260" s="615">
        <v>2</v>
      </c>
      <c r="O260" s="615">
        <v>322</v>
      </c>
      <c r="P260" s="628">
        <v>0.50628930817610063</v>
      </c>
      <c r="Q260" s="616">
        <v>161</v>
      </c>
    </row>
    <row r="261" spans="1:17" ht="14.4" customHeight="1" x14ac:dyDescent="0.3">
      <c r="A261" s="611" t="s">
        <v>2471</v>
      </c>
      <c r="B261" s="612" t="s">
        <v>2472</v>
      </c>
      <c r="C261" s="612" t="s">
        <v>1729</v>
      </c>
      <c r="D261" s="612" t="s">
        <v>2511</v>
      </c>
      <c r="E261" s="612" t="s">
        <v>2512</v>
      </c>
      <c r="F261" s="615">
        <v>1</v>
      </c>
      <c r="G261" s="615">
        <v>222</v>
      </c>
      <c r="H261" s="615">
        <v>1</v>
      </c>
      <c r="I261" s="615">
        <v>222</v>
      </c>
      <c r="J261" s="615"/>
      <c r="K261" s="615"/>
      <c r="L261" s="615"/>
      <c r="M261" s="615"/>
      <c r="N261" s="615"/>
      <c r="O261" s="615"/>
      <c r="P261" s="628"/>
      <c r="Q261" s="616"/>
    </row>
    <row r="262" spans="1:17" ht="14.4" customHeight="1" x14ac:dyDescent="0.3">
      <c r="A262" s="611" t="s">
        <v>2471</v>
      </c>
      <c r="B262" s="612" t="s">
        <v>2472</v>
      </c>
      <c r="C262" s="612" t="s">
        <v>1729</v>
      </c>
      <c r="D262" s="612" t="s">
        <v>2513</v>
      </c>
      <c r="E262" s="612" t="s">
        <v>2514</v>
      </c>
      <c r="F262" s="615">
        <v>4</v>
      </c>
      <c r="G262" s="615">
        <v>1596</v>
      </c>
      <c r="H262" s="615">
        <v>1</v>
      </c>
      <c r="I262" s="615">
        <v>399</v>
      </c>
      <c r="J262" s="615">
        <v>7</v>
      </c>
      <c r="K262" s="615">
        <v>2828</v>
      </c>
      <c r="L262" s="615">
        <v>1.7719298245614035</v>
      </c>
      <c r="M262" s="615">
        <v>404</v>
      </c>
      <c r="N262" s="615">
        <v>5</v>
      </c>
      <c r="O262" s="615">
        <v>2050</v>
      </c>
      <c r="P262" s="628">
        <v>1.2844611528822054</v>
      </c>
      <c r="Q262" s="616">
        <v>410</v>
      </c>
    </row>
    <row r="263" spans="1:17" ht="14.4" customHeight="1" x14ac:dyDescent="0.3">
      <c r="A263" s="611" t="s">
        <v>2515</v>
      </c>
      <c r="B263" s="612" t="s">
        <v>583</v>
      </c>
      <c r="C263" s="612" t="s">
        <v>1729</v>
      </c>
      <c r="D263" s="612" t="s">
        <v>2516</v>
      </c>
      <c r="E263" s="612" t="s">
        <v>2517</v>
      </c>
      <c r="F263" s="615">
        <v>133</v>
      </c>
      <c r="G263" s="615">
        <v>21014</v>
      </c>
      <c r="H263" s="615">
        <v>1</v>
      </c>
      <c r="I263" s="615">
        <v>158</v>
      </c>
      <c r="J263" s="615">
        <v>187</v>
      </c>
      <c r="K263" s="615">
        <v>29733</v>
      </c>
      <c r="L263" s="615">
        <v>1.4149138669458456</v>
      </c>
      <c r="M263" s="615">
        <v>159</v>
      </c>
      <c r="N263" s="615">
        <v>133</v>
      </c>
      <c r="O263" s="615">
        <v>21222</v>
      </c>
      <c r="P263" s="628">
        <v>1.0098981631293424</v>
      </c>
      <c r="Q263" s="616">
        <v>159.5639097744361</v>
      </c>
    </row>
    <row r="264" spans="1:17" ht="14.4" customHeight="1" x14ac:dyDescent="0.3">
      <c r="A264" s="611" t="s">
        <v>2515</v>
      </c>
      <c r="B264" s="612" t="s">
        <v>583</v>
      </c>
      <c r="C264" s="612" t="s">
        <v>1729</v>
      </c>
      <c r="D264" s="612" t="s">
        <v>2518</v>
      </c>
      <c r="E264" s="612" t="s">
        <v>2519</v>
      </c>
      <c r="F264" s="615"/>
      <c r="G264" s="615"/>
      <c r="H264" s="615"/>
      <c r="I264" s="615"/>
      <c r="J264" s="615">
        <v>13</v>
      </c>
      <c r="K264" s="615">
        <v>15145</v>
      </c>
      <c r="L264" s="615"/>
      <c r="M264" s="615">
        <v>1165</v>
      </c>
      <c r="N264" s="615">
        <v>20</v>
      </c>
      <c r="O264" s="615">
        <v>23327</v>
      </c>
      <c r="P264" s="628"/>
      <c r="Q264" s="616">
        <v>1166.3499999999999</v>
      </c>
    </row>
    <row r="265" spans="1:17" ht="14.4" customHeight="1" x14ac:dyDescent="0.3">
      <c r="A265" s="611" t="s">
        <v>2515</v>
      </c>
      <c r="B265" s="612" t="s">
        <v>583</v>
      </c>
      <c r="C265" s="612" t="s">
        <v>1729</v>
      </c>
      <c r="D265" s="612" t="s">
        <v>2520</v>
      </c>
      <c r="E265" s="612" t="s">
        <v>2521</v>
      </c>
      <c r="F265" s="615">
        <v>3417</v>
      </c>
      <c r="G265" s="615">
        <v>133263</v>
      </c>
      <c r="H265" s="615">
        <v>1</v>
      </c>
      <c r="I265" s="615">
        <v>39</v>
      </c>
      <c r="J265" s="615">
        <v>2721</v>
      </c>
      <c r="K265" s="615">
        <v>106119</v>
      </c>
      <c r="L265" s="615">
        <v>0.79631255487269537</v>
      </c>
      <c r="M265" s="615">
        <v>39</v>
      </c>
      <c r="N265" s="615">
        <v>1997</v>
      </c>
      <c r="O265" s="615">
        <v>79407</v>
      </c>
      <c r="P265" s="628">
        <v>0.59586681974741673</v>
      </c>
      <c r="Q265" s="616">
        <v>39.763144717075612</v>
      </c>
    </row>
    <row r="266" spans="1:17" ht="14.4" customHeight="1" x14ac:dyDescent="0.3">
      <c r="A266" s="611" t="s">
        <v>2515</v>
      </c>
      <c r="B266" s="612" t="s">
        <v>583</v>
      </c>
      <c r="C266" s="612" t="s">
        <v>1729</v>
      </c>
      <c r="D266" s="612" t="s">
        <v>2443</v>
      </c>
      <c r="E266" s="612" t="s">
        <v>2444</v>
      </c>
      <c r="F266" s="615"/>
      <c r="G266" s="615"/>
      <c r="H266" s="615"/>
      <c r="I266" s="615"/>
      <c r="J266" s="615">
        <v>4</v>
      </c>
      <c r="K266" s="615">
        <v>1528</v>
      </c>
      <c r="L266" s="615"/>
      <c r="M266" s="615">
        <v>382</v>
      </c>
      <c r="N266" s="615">
        <v>5</v>
      </c>
      <c r="O266" s="615">
        <v>1915</v>
      </c>
      <c r="P266" s="628"/>
      <c r="Q266" s="616">
        <v>383</v>
      </c>
    </row>
    <row r="267" spans="1:17" ht="14.4" customHeight="1" x14ac:dyDescent="0.3">
      <c r="A267" s="611" t="s">
        <v>2515</v>
      </c>
      <c r="B267" s="612" t="s">
        <v>583</v>
      </c>
      <c r="C267" s="612" t="s">
        <v>1729</v>
      </c>
      <c r="D267" s="612" t="s">
        <v>2522</v>
      </c>
      <c r="E267" s="612" t="s">
        <v>2523</v>
      </c>
      <c r="F267" s="615">
        <v>38</v>
      </c>
      <c r="G267" s="615">
        <v>1368</v>
      </c>
      <c r="H267" s="615">
        <v>1</v>
      </c>
      <c r="I267" s="615">
        <v>36</v>
      </c>
      <c r="J267" s="615">
        <v>4</v>
      </c>
      <c r="K267" s="615">
        <v>148</v>
      </c>
      <c r="L267" s="615">
        <v>0.10818713450292397</v>
      </c>
      <c r="M267" s="615">
        <v>37</v>
      </c>
      <c r="N267" s="615">
        <v>14</v>
      </c>
      <c r="O267" s="615">
        <v>518</v>
      </c>
      <c r="P267" s="628">
        <v>0.37865497076023391</v>
      </c>
      <c r="Q267" s="616">
        <v>37</v>
      </c>
    </row>
    <row r="268" spans="1:17" ht="14.4" customHeight="1" x14ac:dyDescent="0.3">
      <c r="A268" s="611" t="s">
        <v>2515</v>
      </c>
      <c r="B268" s="612" t="s">
        <v>583</v>
      </c>
      <c r="C268" s="612" t="s">
        <v>1729</v>
      </c>
      <c r="D268" s="612" t="s">
        <v>2524</v>
      </c>
      <c r="E268" s="612" t="s">
        <v>2525</v>
      </c>
      <c r="F268" s="615"/>
      <c r="G268" s="615"/>
      <c r="H268" s="615"/>
      <c r="I268" s="615"/>
      <c r="J268" s="615">
        <v>3</v>
      </c>
      <c r="K268" s="615">
        <v>1332</v>
      </c>
      <c r="L268" s="615"/>
      <c r="M268" s="615">
        <v>444</v>
      </c>
      <c r="N268" s="615">
        <v>9</v>
      </c>
      <c r="O268" s="615">
        <v>4005</v>
      </c>
      <c r="P268" s="628"/>
      <c r="Q268" s="616">
        <v>445</v>
      </c>
    </row>
    <row r="269" spans="1:17" ht="14.4" customHeight="1" x14ac:dyDescent="0.3">
      <c r="A269" s="611" t="s">
        <v>2515</v>
      </c>
      <c r="B269" s="612" t="s">
        <v>583</v>
      </c>
      <c r="C269" s="612" t="s">
        <v>1729</v>
      </c>
      <c r="D269" s="612" t="s">
        <v>2526</v>
      </c>
      <c r="E269" s="612" t="s">
        <v>2527</v>
      </c>
      <c r="F269" s="615">
        <v>2</v>
      </c>
      <c r="G269" s="615">
        <v>980</v>
      </c>
      <c r="H269" s="615">
        <v>1</v>
      </c>
      <c r="I269" s="615">
        <v>490</v>
      </c>
      <c r="J269" s="615">
        <v>2</v>
      </c>
      <c r="K269" s="615">
        <v>980</v>
      </c>
      <c r="L269" s="615">
        <v>1</v>
      </c>
      <c r="M269" s="615">
        <v>490</v>
      </c>
      <c r="N269" s="615">
        <v>1</v>
      </c>
      <c r="O269" s="615">
        <v>491</v>
      </c>
      <c r="P269" s="628">
        <v>0.50102040816326532</v>
      </c>
      <c r="Q269" s="616">
        <v>491</v>
      </c>
    </row>
    <row r="270" spans="1:17" ht="14.4" customHeight="1" x14ac:dyDescent="0.3">
      <c r="A270" s="611" t="s">
        <v>2515</v>
      </c>
      <c r="B270" s="612" t="s">
        <v>583</v>
      </c>
      <c r="C270" s="612" t="s">
        <v>1729</v>
      </c>
      <c r="D270" s="612" t="s">
        <v>2528</v>
      </c>
      <c r="E270" s="612" t="s">
        <v>2529</v>
      </c>
      <c r="F270" s="615">
        <v>12</v>
      </c>
      <c r="G270" s="615">
        <v>372</v>
      </c>
      <c r="H270" s="615">
        <v>1</v>
      </c>
      <c r="I270" s="615">
        <v>31</v>
      </c>
      <c r="J270" s="615">
        <v>7</v>
      </c>
      <c r="K270" s="615">
        <v>217</v>
      </c>
      <c r="L270" s="615">
        <v>0.58333333333333337</v>
      </c>
      <c r="M270" s="615">
        <v>31</v>
      </c>
      <c r="N270" s="615">
        <v>5</v>
      </c>
      <c r="O270" s="615">
        <v>155</v>
      </c>
      <c r="P270" s="628">
        <v>0.41666666666666669</v>
      </c>
      <c r="Q270" s="616">
        <v>31</v>
      </c>
    </row>
    <row r="271" spans="1:17" ht="14.4" customHeight="1" x14ac:dyDescent="0.3">
      <c r="A271" s="611" t="s">
        <v>2515</v>
      </c>
      <c r="B271" s="612" t="s">
        <v>583</v>
      </c>
      <c r="C271" s="612" t="s">
        <v>1729</v>
      </c>
      <c r="D271" s="612" t="s">
        <v>2530</v>
      </c>
      <c r="E271" s="612" t="s">
        <v>2531</v>
      </c>
      <c r="F271" s="615">
        <v>10</v>
      </c>
      <c r="G271" s="615">
        <v>2300</v>
      </c>
      <c r="H271" s="615">
        <v>1</v>
      </c>
      <c r="I271" s="615">
        <v>230</v>
      </c>
      <c r="J271" s="615">
        <v>19</v>
      </c>
      <c r="K271" s="615">
        <v>4389</v>
      </c>
      <c r="L271" s="615">
        <v>1.9082608695652175</v>
      </c>
      <c r="M271" s="615">
        <v>231</v>
      </c>
      <c r="N271" s="615">
        <v>4</v>
      </c>
      <c r="O271" s="615">
        <v>926</v>
      </c>
      <c r="P271" s="628">
        <v>0.40260869565217389</v>
      </c>
      <c r="Q271" s="616">
        <v>231.5</v>
      </c>
    </row>
    <row r="272" spans="1:17" ht="14.4" customHeight="1" x14ac:dyDescent="0.3">
      <c r="A272" s="611" t="s">
        <v>2515</v>
      </c>
      <c r="B272" s="612" t="s">
        <v>583</v>
      </c>
      <c r="C272" s="612" t="s">
        <v>1729</v>
      </c>
      <c r="D272" s="612" t="s">
        <v>2532</v>
      </c>
      <c r="E272" s="612" t="s">
        <v>2533</v>
      </c>
      <c r="F272" s="615">
        <v>2047</v>
      </c>
      <c r="G272" s="615">
        <v>229264</v>
      </c>
      <c r="H272" s="615">
        <v>1</v>
      </c>
      <c r="I272" s="615">
        <v>112</v>
      </c>
      <c r="J272" s="615">
        <v>1634</v>
      </c>
      <c r="K272" s="615">
        <v>184642</v>
      </c>
      <c r="L272" s="615">
        <v>0.80536848349501011</v>
      </c>
      <c r="M272" s="615">
        <v>113</v>
      </c>
      <c r="N272" s="615">
        <v>1473</v>
      </c>
      <c r="O272" s="615">
        <v>168639</v>
      </c>
      <c r="P272" s="628">
        <v>0.73556685742201133</v>
      </c>
      <c r="Q272" s="616">
        <v>114.4867617107943</v>
      </c>
    </row>
    <row r="273" spans="1:17" ht="14.4" customHeight="1" x14ac:dyDescent="0.3">
      <c r="A273" s="611" t="s">
        <v>2515</v>
      </c>
      <c r="B273" s="612" t="s">
        <v>583</v>
      </c>
      <c r="C273" s="612" t="s">
        <v>1729</v>
      </c>
      <c r="D273" s="612" t="s">
        <v>2534</v>
      </c>
      <c r="E273" s="612" t="s">
        <v>2535</v>
      </c>
      <c r="F273" s="615">
        <v>97</v>
      </c>
      <c r="G273" s="615">
        <v>8051</v>
      </c>
      <c r="H273" s="615">
        <v>1</v>
      </c>
      <c r="I273" s="615">
        <v>83</v>
      </c>
      <c r="J273" s="615">
        <v>103</v>
      </c>
      <c r="K273" s="615">
        <v>8652</v>
      </c>
      <c r="L273" s="615">
        <v>1.0746491119115638</v>
      </c>
      <c r="M273" s="615">
        <v>84</v>
      </c>
      <c r="N273" s="615">
        <v>82</v>
      </c>
      <c r="O273" s="615">
        <v>6947</v>
      </c>
      <c r="P273" s="628">
        <v>0.86287417712085457</v>
      </c>
      <c r="Q273" s="616">
        <v>84.719512195121951</v>
      </c>
    </row>
    <row r="274" spans="1:17" ht="14.4" customHeight="1" x14ac:dyDescent="0.3">
      <c r="A274" s="611" t="s">
        <v>2515</v>
      </c>
      <c r="B274" s="612" t="s">
        <v>583</v>
      </c>
      <c r="C274" s="612" t="s">
        <v>1729</v>
      </c>
      <c r="D274" s="612" t="s">
        <v>2536</v>
      </c>
      <c r="E274" s="612" t="s">
        <v>2537</v>
      </c>
      <c r="F274" s="615">
        <v>21</v>
      </c>
      <c r="G274" s="615">
        <v>1995</v>
      </c>
      <c r="H274" s="615">
        <v>1</v>
      </c>
      <c r="I274" s="615">
        <v>95</v>
      </c>
      <c r="J274" s="615">
        <v>22</v>
      </c>
      <c r="K274" s="615">
        <v>2112</v>
      </c>
      <c r="L274" s="615">
        <v>1.0586466165413533</v>
      </c>
      <c r="M274" s="615">
        <v>96</v>
      </c>
      <c r="N274" s="615">
        <v>16</v>
      </c>
      <c r="O274" s="615">
        <v>1551</v>
      </c>
      <c r="P274" s="628">
        <v>0.77744360902255638</v>
      </c>
      <c r="Q274" s="616">
        <v>96.9375</v>
      </c>
    </row>
    <row r="275" spans="1:17" ht="14.4" customHeight="1" x14ac:dyDescent="0.3">
      <c r="A275" s="611" t="s">
        <v>2515</v>
      </c>
      <c r="B275" s="612" t="s">
        <v>583</v>
      </c>
      <c r="C275" s="612" t="s">
        <v>1729</v>
      </c>
      <c r="D275" s="612" t="s">
        <v>2538</v>
      </c>
      <c r="E275" s="612" t="s">
        <v>2539</v>
      </c>
      <c r="F275" s="615">
        <v>72</v>
      </c>
      <c r="G275" s="615">
        <v>1512</v>
      </c>
      <c r="H275" s="615">
        <v>1</v>
      </c>
      <c r="I275" s="615">
        <v>21</v>
      </c>
      <c r="J275" s="615">
        <v>147</v>
      </c>
      <c r="K275" s="615">
        <v>3087</v>
      </c>
      <c r="L275" s="615">
        <v>2.0416666666666665</v>
      </c>
      <c r="M275" s="615">
        <v>21</v>
      </c>
      <c r="N275" s="615">
        <v>185</v>
      </c>
      <c r="O275" s="615">
        <v>3885</v>
      </c>
      <c r="P275" s="628">
        <v>2.5694444444444446</v>
      </c>
      <c r="Q275" s="616">
        <v>21</v>
      </c>
    </row>
    <row r="276" spans="1:17" ht="14.4" customHeight="1" x14ac:dyDescent="0.3">
      <c r="A276" s="611" t="s">
        <v>2515</v>
      </c>
      <c r="B276" s="612" t="s">
        <v>583</v>
      </c>
      <c r="C276" s="612" t="s">
        <v>1729</v>
      </c>
      <c r="D276" s="612" t="s">
        <v>2452</v>
      </c>
      <c r="E276" s="612" t="s">
        <v>2453</v>
      </c>
      <c r="F276" s="615">
        <v>181</v>
      </c>
      <c r="G276" s="615">
        <v>87966</v>
      </c>
      <c r="H276" s="615">
        <v>1</v>
      </c>
      <c r="I276" s="615">
        <v>486</v>
      </c>
      <c r="J276" s="615">
        <v>84</v>
      </c>
      <c r="K276" s="615">
        <v>40824</v>
      </c>
      <c r="L276" s="615">
        <v>0.46408839779005523</v>
      </c>
      <c r="M276" s="615">
        <v>486</v>
      </c>
      <c r="N276" s="615">
        <v>188</v>
      </c>
      <c r="O276" s="615">
        <v>91504</v>
      </c>
      <c r="P276" s="628">
        <v>1.0402200850328536</v>
      </c>
      <c r="Q276" s="616">
        <v>486.72340425531917</v>
      </c>
    </row>
    <row r="277" spans="1:17" ht="14.4" customHeight="1" x14ac:dyDescent="0.3">
      <c r="A277" s="611" t="s">
        <v>2515</v>
      </c>
      <c r="B277" s="612" t="s">
        <v>583</v>
      </c>
      <c r="C277" s="612" t="s">
        <v>1729</v>
      </c>
      <c r="D277" s="612" t="s">
        <v>2540</v>
      </c>
      <c r="E277" s="612" t="s">
        <v>2541</v>
      </c>
      <c r="F277" s="615">
        <v>110</v>
      </c>
      <c r="G277" s="615">
        <v>4400</v>
      </c>
      <c r="H277" s="615">
        <v>1</v>
      </c>
      <c r="I277" s="615">
        <v>40</v>
      </c>
      <c r="J277" s="615">
        <v>63</v>
      </c>
      <c r="K277" s="615">
        <v>2520</v>
      </c>
      <c r="L277" s="615">
        <v>0.57272727272727275</v>
      </c>
      <c r="M277" s="615">
        <v>40</v>
      </c>
      <c r="N277" s="615">
        <v>52</v>
      </c>
      <c r="O277" s="615">
        <v>2120</v>
      </c>
      <c r="P277" s="628">
        <v>0.48181818181818181</v>
      </c>
      <c r="Q277" s="616">
        <v>40.769230769230766</v>
      </c>
    </row>
    <row r="278" spans="1:17" ht="14.4" customHeight="1" x14ac:dyDescent="0.3">
      <c r="A278" s="611" t="s">
        <v>2515</v>
      </c>
      <c r="B278" s="612" t="s">
        <v>583</v>
      </c>
      <c r="C278" s="612" t="s">
        <v>1729</v>
      </c>
      <c r="D278" s="612" t="s">
        <v>2542</v>
      </c>
      <c r="E278" s="612" t="s">
        <v>2543</v>
      </c>
      <c r="F278" s="615">
        <v>3</v>
      </c>
      <c r="G278" s="615">
        <v>1809</v>
      </c>
      <c r="H278" s="615">
        <v>1</v>
      </c>
      <c r="I278" s="615">
        <v>603</v>
      </c>
      <c r="J278" s="615">
        <v>4</v>
      </c>
      <c r="K278" s="615">
        <v>2416</v>
      </c>
      <c r="L278" s="615">
        <v>1.3355444997236041</v>
      </c>
      <c r="M278" s="615">
        <v>604</v>
      </c>
      <c r="N278" s="615">
        <v>3</v>
      </c>
      <c r="O278" s="615">
        <v>1818</v>
      </c>
      <c r="P278" s="628">
        <v>1.0049751243781095</v>
      </c>
      <c r="Q278" s="616">
        <v>606</v>
      </c>
    </row>
    <row r="279" spans="1:17" ht="14.4" customHeight="1" x14ac:dyDescent="0.3">
      <c r="A279" s="611" t="s">
        <v>2515</v>
      </c>
      <c r="B279" s="612" t="s">
        <v>583</v>
      </c>
      <c r="C279" s="612" t="s">
        <v>1729</v>
      </c>
      <c r="D279" s="612" t="s">
        <v>2544</v>
      </c>
      <c r="E279" s="612" t="s">
        <v>2545</v>
      </c>
      <c r="F279" s="615">
        <v>10</v>
      </c>
      <c r="G279" s="615">
        <v>2440</v>
      </c>
      <c r="H279" s="615">
        <v>1</v>
      </c>
      <c r="I279" s="615">
        <v>244</v>
      </c>
      <c r="J279" s="615">
        <v>19</v>
      </c>
      <c r="K279" s="615">
        <v>4655</v>
      </c>
      <c r="L279" s="615">
        <v>1.9077868852459017</v>
      </c>
      <c r="M279" s="615">
        <v>245</v>
      </c>
      <c r="N279" s="615">
        <v>4</v>
      </c>
      <c r="O279" s="615">
        <v>982</v>
      </c>
      <c r="P279" s="628">
        <v>0.40245901639344261</v>
      </c>
      <c r="Q279" s="616">
        <v>245.5</v>
      </c>
    </row>
    <row r="280" spans="1:17" ht="14.4" customHeight="1" x14ac:dyDescent="0.3">
      <c r="A280" s="611" t="s">
        <v>2515</v>
      </c>
      <c r="B280" s="612" t="s">
        <v>583</v>
      </c>
      <c r="C280" s="612" t="s">
        <v>1729</v>
      </c>
      <c r="D280" s="612" t="s">
        <v>2546</v>
      </c>
      <c r="E280" s="612" t="s">
        <v>2547</v>
      </c>
      <c r="F280" s="615">
        <v>2</v>
      </c>
      <c r="G280" s="615">
        <v>302</v>
      </c>
      <c r="H280" s="615">
        <v>1</v>
      </c>
      <c r="I280" s="615">
        <v>151</v>
      </c>
      <c r="J280" s="615"/>
      <c r="K280" s="615"/>
      <c r="L280" s="615"/>
      <c r="M280" s="615"/>
      <c r="N280" s="615"/>
      <c r="O280" s="615"/>
      <c r="P280" s="628"/>
      <c r="Q280" s="616"/>
    </row>
    <row r="281" spans="1:17" ht="14.4" customHeight="1" x14ac:dyDescent="0.3">
      <c r="A281" s="611" t="s">
        <v>2515</v>
      </c>
      <c r="B281" s="612" t="s">
        <v>583</v>
      </c>
      <c r="C281" s="612" t="s">
        <v>1729</v>
      </c>
      <c r="D281" s="612" t="s">
        <v>2548</v>
      </c>
      <c r="E281" s="612" t="s">
        <v>2549</v>
      </c>
      <c r="F281" s="615">
        <v>432</v>
      </c>
      <c r="G281" s="615">
        <v>11664</v>
      </c>
      <c r="H281" s="615">
        <v>1</v>
      </c>
      <c r="I281" s="615">
        <v>27</v>
      </c>
      <c r="J281" s="615">
        <v>350</v>
      </c>
      <c r="K281" s="615">
        <v>9450</v>
      </c>
      <c r="L281" s="615">
        <v>0.81018518518518523</v>
      </c>
      <c r="M281" s="615">
        <v>27</v>
      </c>
      <c r="N281" s="615">
        <v>227</v>
      </c>
      <c r="O281" s="615">
        <v>6129</v>
      </c>
      <c r="P281" s="628">
        <v>0.52546296296296291</v>
      </c>
      <c r="Q281" s="616">
        <v>27</v>
      </c>
    </row>
    <row r="282" spans="1:17" ht="14.4" customHeight="1" x14ac:dyDescent="0.3">
      <c r="A282" s="611" t="s">
        <v>2550</v>
      </c>
      <c r="B282" s="612" t="s">
        <v>2345</v>
      </c>
      <c r="C282" s="612" t="s">
        <v>1729</v>
      </c>
      <c r="D282" s="612" t="s">
        <v>2551</v>
      </c>
      <c r="E282" s="612" t="s">
        <v>2552</v>
      </c>
      <c r="F282" s="615"/>
      <c r="G282" s="615"/>
      <c r="H282" s="615"/>
      <c r="I282" s="615"/>
      <c r="J282" s="615">
        <v>1</v>
      </c>
      <c r="K282" s="615">
        <v>545</v>
      </c>
      <c r="L282" s="615"/>
      <c r="M282" s="615">
        <v>545</v>
      </c>
      <c r="N282" s="615">
        <v>3</v>
      </c>
      <c r="O282" s="615">
        <v>1637</v>
      </c>
      <c r="P282" s="628"/>
      <c r="Q282" s="616">
        <v>545.66666666666663</v>
      </c>
    </row>
    <row r="283" spans="1:17" ht="14.4" customHeight="1" x14ac:dyDescent="0.3">
      <c r="A283" s="611" t="s">
        <v>2550</v>
      </c>
      <c r="B283" s="612" t="s">
        <v>2345</v>
      </c>
      <c r="C283" s="612" t="s">
        <v>1729</v>
      </c>
      <c r="D283" s="612" t="s">
        <v>2553</v>
      </c>
      <c r="E283" s="612" t="s">
        <v>2554</v>
      </c>
      <c r="F283" s="615"/>
      <c r="G283" s="615"/>
      <c r="H283" s="615"/>
      <c r="I283" s="615"/>
      <c r="J283" s="615">
        <v>3</v>
      </c>
      <c r="K283" s="615">
        <v>1950</v>
      </c>
      <c r="L283" s="615"/>
      <c r="M283" s="615">
        <v>650</v>
      </c>
      <c r="N283" s="615">
        <v>6</v>
      </c>
      <c r="O283" s="615">
        <v>3904</v>
      </c>
      <c r="P283" s="628"/>
      <c r="Q283" s="616">
        <v>650.66666666666663</v>
      </c>
    </row>
    <row r="284" spans="1:17" ht="14.4" customHeight="1" x14ac:dyDescent="0.3">
      <c r="A284" s="611" t="s">
        <v>2550</v>
      </c>
      <c r="B284" s="612" t="s">
        <v>2345</v>
      </c>
      <c r="C284" s="612" t="s">
        <v>1729</v>
      </c>
      <c r="D284" s="612" t="s">
        <v>2555</v>
      </c>
      <c r="E284" s="612" t="s">
        <v>2556</v>
      </c>
      <c r="F284" s="615"/>
      <c r="G284" s="615"/>
      <c r="H284" s="615"/>
      <c r="I284" s="615"/>
      <c r="J284" s="615">
        <v>3</v>
      </c>
      <c r="K284" s="615">
        <v>1950</v>
      </c>
      <c r="L284" s="615"/>
      <c r="M284" s="615">
        <v>650</v>
      </c>
      <c r="N284" s="615">
        <v>6</v>
      </c>
      <c r="O284" s="615">
        <v>3904</v>
      </c>
      <c r="P284" s="628"/>
      <c r="Q284" s="616">
        <v>650.66666666666663</v>
      </c>
    </row>
    <row r="285" spans="1:17" ht="14.4" customHeight="1" x14ac:dyDescent="0.3">
      <c r="A285" s="611" t="s">
        <v>2550</v>
      </c>
      <c r="B285" s="612" t="s">
        <v>2345</v>
      </c>
      <c r="C285" s="612" t="s">
        <v>1729</v>
      </c>
      <c r="D285" s="612" t="s">
        <v>2557</v>
      </c>
      <c r="E285" s="612" t="s">
        <v>2558</v>
      </c>
      <c r="F285" s="615"/>
      <c r="G285" s="615"/>
      <c r="H285" s="615"/>
      <c r="I285" s="615"/>
      <c r="J285" s="615"/>
      <c r="K285" s="615"/>
      <c r="L285" s="615"/>
      <c r="M285" s="615"/>
      <c r="N285" s="615">
        <v>2</v>
      </c>
      <c r="O285" s="615">
        <v>1002</v>
      </c>
      <c r="P285" s="628"/>
      <c r="Q285" s="616">
        <v>501</v>
      </c>
    </row>
    <row r="286" spans="1:17" ht="14.4" customHeight="1" x14ac:dyDescent="0.3">
      <c r="A286" s="611" t="s">
        <v>2550</v>
      </c>
      <c r="B286" s="612" t="s">
        <v>2345</v>
      </c>
      <c r="C286" s="612" t="s">
        <v>1729</v>
      </c>
      <c r="D286" s="612" t="s">
        <v>2559</v>
      </c>
      <c r="E286" s="612" t="s">
        <v>2560</v>
      </c>
      <c r="F286" s="615"/>
      <c r="G286" s="615"/>
      <c r="H286" s="615"/>
      <c r="I286" s="615"/>
      <c r="J286" s="615">
        <v>3</v>
      </c>
      <c r="K286" s="615">
        <v>930</v>
      </c>
      <c r="L286" s="615"/>
      <c r="M286" s="615">
        <v>310</v>
      </c>
      <c r="N286" s="615">
        <v>6</v>
      </c>
      <c r="O286" s="615">
        <v>1864</v>
      </c>
      <c r="P286" s="628"/>
      <c r="Q286" s="616">
        <v>310.66666666666669</v>
      </c>
    </row>
    <row r="287" spans="1:17" ht="14.4" customHeight="1" x14ac:dyDescent="0.3">
      <c r="A287" s="611" t="s">
        <v>2550</v>
      </c>
      <c r="B287" s="612" t="s">
        <v>2345</v>
      </c>
      <c r="C287" s="612" t="s">
        <v>1729</v>
      </c>
      <c r="D287" s="612" t="s">
        <v>2031</v>
      </c>
      <c r="E287" s="612" t="s">
        <v>2032</v>
      </c>
      <c r="F287" s="615">
        <v>8</v>
      </c>
      <c r="G287" s="615">
        <v>184</v>
      </c>
      <c r="H287" s="615">
        <v>1</v>
      </c>
      <c r="I287" s="615">
        <v>23</v>
      </c>
      <c r="J287" s="615"/>
      <c r="K287" s="615"/>
      <c r="L287" s="615"/>
      <c r="M287" s="615"/>
      <c r="N287" s="615">
        <v>6</v>
      </c>
      <c r="O287" s="615">
        <v>138</v>
      </c>
      <c r="P287" s="628">
        <v>0.75</v>
      </c>
      <c r="Q287" s="616">
        <v>23</v>
      </c>
    </row>
    <row r="288" spans="1:17" ht="14.4" customHeight="1" x14ac:dyDescent="0.3">
      <c r="A288" s="611" t="s">
        <v>2550</v>
      </c>
      <c r="B288" s="612" t="s">
        <v>2345</v>
      </c>
      <c r="C288" s="612" t="s">
        <v>1729</v>
      </c>
      <c r="D288" s="612" t="s">
        <v>2561</v>
      </c>
      <c r="E288" s="612" t="s">
        <v>2562</v>
      </c>
      <c r="F288" s="615"/>
      <c r="G288" s="615"/>
      <c r="H288" s="615"/>
      <c r="I288" s="615"/>
      <c r="J288" s="615"/>
      <c r="K288" s="615"/>
      <c r="L288" s="615"/>
      <c r="M288" s="615"/>
      <c r="N288" s="615">
        <v>4</v>
      </c>
      <c r="O288" s="615">
        <v>1396</v>
      </c>
      <c r="P288" s="628"/>
      <c r="Q288" s="616">
        <v>349</v>
      </c>
    </row>
    <row r="289" spans="1:17" ht="14.4" customHeight="1" x14ac:dyDescent="0.3">
      <c r="A289" s="611" t="s">
        <v>2550</v>
      </c>
      <c r="B289" s="612" t="s">
        <v>2345</v>
      </c>
      <c r="C289" s="612" t="s">
        <v>1729</v>
      </c>
      <c r="D289" s="612" t="s">
        <v>2022</v>
      </c>
      <c r="E289" s="612" t="s">
        <v>2023</v>
      </c>
      <c r="F289" s="615">
        <v>8</v>
      </c>
      <c r="G289" s="615">
        <v>9888</v>
      </c>
      <c r="H289" s="615">
        <v>1</v>
      </c>
      <c r="I289" s="615">
        <v>1236</v>
      </c>
      <c r="J289" s="615"/>
      <c r="K289" s="615"/>
      <c r="L289" s="615"/>
      <c r="M289" s="615"/>
      <c r="N289" s="615">
        <v>6</v>
      </c>
      <c r="O289" s="615">
        <v>7566</v>
      </c>
      <c r="P289" s="628">
        <v>0.76516990291262132</v>
      </c>
      <c r="Q289" s="616">
        <v>1261</v>
      </c>
    </row>
    <row r="290" spans="1:17" ht="14.4" customHeight="1" x14ac:dyDescent="0.3">
      <c r="A290" s="611" t="s">
        <v>2550</v>
      </c>
      <c r="B290" s="612" t="s">
        <v>2345</v>
      </c>
      <c r="C290" s="612" t="s">
        <v>1729</v>
      </c>
      <c r="D290" s="612" t="s">
        <v>2563</v>
      </c>
      <c r="E290" s="612" t="s">
        <v>2564</v>
      </c>
      <c r="F290" s="615">
        <v>1</v>
      </c>
      <c r="G290" s="615">
        <v>4990</v>
      </c>
      <c r="H290" s="615">
        <v>1</v>
      </c>
      <c r="I290" s="615">
        <v>4990</v>
      </c>
      <c r="J290" s="615"/>
      <c r="K290" s="615"/>
      <c r="L290" s="615"/>
      <c r="M290" s="615"/>
      <c r="N290" s="615">
        <v>2</v>
      </c>
      <c r="O290" s="615">
        <v>10000</v>
      </c>
      <c r="P290" s="628">
        <v>2.0040080160320639</v>
      </c>
      <c r="Q290" s="616">
        <v>5000</v>
      </c>
    </row>
    <row r="291" spans="1:17" ht="14.4" customHeight="1" x14ac:dyDescent="0.3">
      <c r="A291" s="611" t="s">
        <v>2550</v>
      </c>
      <c r="B291" s="612" t="s">
        <v>2345</v>
      </c>
      <c r="C291" s="612" t="s">
        <v>1729</v>
      </c>
      <c r="D291" s="612" t="s">
        <v>2252</v>
      </c>
      <c r="E291" s="612" t="s">
        <v>2253</v>
      </c>
      <c r="F291" s="615"/>
      <c r="G291" s="615"/>
      <c r="H291" s="615"/>
      <c r="I291" s="615"/>
      <c r="J291" s="615">
        <v>1</v>
      </c>
      <c r="K291" s="615">
        <v>169</v>
      </c>
      <c r="L291" s="615"/>
      <c r="M291" s="615">
        <v>169</v>
      </c>
      <c r="N291" s="615">
        <v>3</v>
      </c>
      <c r="O291" s="615">
        <v>510</v>
      </c>
      <c r="P291" s="628"/>
      <c r="Q291" s="616">
        <v>170</v>
      </c>
    </row>
    <row r="292" spans="1:17" ht="14.4" customHeight="1" x14ac:dyDescent="0.3">
      <c r="A292" s="611" t="s">
        <v>2550</v>
      </c>
      <c r="B292" s="612" t="s">
        <v>2345</v>
      </c>
      <c r="C292" s="612" t="s">
        <v>1729</v>
      </c>
      <c r="D292" s="612" t="s">
        <v>2565</v>
      </c>
      <c r="E292" s="612" t="s">
        <v>2566</v>
      </c>
      <c r="F292" s="615"/>
      <c r="G292" s="615"/>
      <c r="H292" s="615"/>
      <c r="I292" s="615"/>
      <c r="J292" s="615">
        <v>3</v>
      </c>
      <c r="K292" s="615">
        <v>2058</v>
      </c>
      <c r="L292" s="615"/>
      <c r="M292" s="615">
        <v>686</v>
      </c>
      <c r="N292" s="615">
        <v>6</v>
      </c>
      <c r="O292" s="615">
        <v>4120</v>
      </c>
      <c r="P292" s="628"/>
      <c r="Q292" s="616">
        <v>686.66666666666663</v>
      </c>
    </row>
    <row r="293" spans="1:17" ht="14.4" customHeight="1" x14ac:dyDescent="0.3">
      <c r="A293" s="611" t="s">
        <v>2550</v>
      </c>
      <c r="B293" s="612" t="s">
        <v>2345</v>
      </c>
      <c r="C293" s="612" t="s">
        <v>1729</v>
      </c>
      <c r="D293" s="612" t="s">
        <v>2567</v>
      </c>
      <c r="E293" s="612" t="s">
        <v>2568</v>
      </c>
      <c r="F293" s="615">
        <v>1</v>
      </c>
      <c r="G293" s="615">
        <v>347</v>
      </c>
      <c r="H293" s="615">
        <v>1</v>
      </c>
      <c r="I293" s="615">
        <v>347</v>
      </c>
      <c r="J293" s="615">
        <v>1</v>
      </c>
      <c r="K293" s="615">
        <v>347</v>
      </c>
      <c r="L293" s="615">
        <v>1</v>
      </c>
      <c r="M293" s="615">
        <v>347</v>
      </c>
      <c r="N293" s="615"/>
      <c r="O293" s="615"/>
      <c r="P293" s="628"/>
      <c r="Q293" s="616"/>
    </row>
    <row r="294" spans="1:17" ht="14.4" customHeight="1" x14ac:dyDescent="0.3">
      <c r="A294" s="611" t="s">
        <v>2550</v>
      </c>
      <c r="B294" s="612" t="s">
        <v>2345</v>
      </c>
      <c r="C294" s="612" t="s">
        <v>1729</v>
      </c>
      <c r="D294" s="612" t="s">
        <v>2569</v>
      </c>
      <c r="E294" s="612" t="s">
        <v>2570</v>
      </c>
      <c r="F294" s="615"/>
      <c r="G294" s="615"/>
      <c r="H294" s="615"/>
      <c r="I294" s="615"/>
      <c r="J294" s="615"/>
      <c r="K294" s="615"/>
      <c r="L294" s="615"/>
      <c r="M294" s="615"/>
      <c r="N294" s="615">
        <v>1</v>
      </c>
      <c r="O294" s="615">
        <v>173</v>
      </c>
      <c r="P294" s="628"/>
      <c r="Q294" s="616">
        <v>173</v>
      </c>
    </row>
    <row r="295" spans="1:17" ht="14.4" customHeight="1" x14ac:dyDescent="0.3">
      <c r="A295" s="611" t="s">
        <v>2550</v>
      </c>
      <c r="B295" s="612" t="s">
        <v>2345</v>
      </c>
      <c r="C295" s="612" t="s">
        <v>1729</v>
      </c>
      <c r="D295" s="612" t="s">
        <v>2571</v>
      </c>
      <c r="E295" s="612" t="s">
        <v>2572</v>
      </c>
      <c r="F295" s="615"/>
      <c r="G295" s="615"/>
      <c r="H295" s="615"/>
      <c r="I295" s="615"/>
      <c r="J295" s="615">
        <v>3</v>
      </c>
      <c r="K295" s="615">
        <v>1950</v>
      </c>
      <c r="L295" s="615"/>
      <c r="M295" s="615">
        <v>650</v>
      </c>
      <c r="N295" s="615">
        <v>6</v>
      </c>
      <c r="O295" s="615">
        <v>3904</v>
      </c>
      <c r="P295" s="628"/>
      <c r="Q295" s="616">
        <v>650.66666666666663</v>
      </c>
    </row>
    <row r="296" spans="1:17" ht="14.4" customHeight="1" x14ac:dyDescent="0.3">
      <c r="A296" s="611" t="s">
        <v>2550</v>
      </c>
      <c r="B296" s="612" t="s">
        <v>2345</v>
      </c>
      <c r="C296" s="612" t="s">
        <v>1729</v>
      </c>
      <c r="D296" s="612" t="s">
        <v>2573</v>
      </c>
      <c r="E296" s="612" t="s">
        <v>2574</v>
      </c>
      <c r="F296" s="615"/>
      <c r="G296" s="615"/>
      <c r="H296" s="615"/>
      <c r="I296" s="615"/>
      <c r="J296" s="615">
        <v>3</v>
      </c>
      <c r="K296" s="615">
        <v>1950</v>
      </c>
      <c r="L296" s="615"/>
      <c r="M296" s="615">
        <v>650</v>
      </c>
      <c r="N296" s="615">
        <v>6</v>
      </c>
      <c r="O296" s="615">
        <v>3904</v>
      </c>
      <c r="P296" s="628"/>
      <c r="Q296" s="616">
        <v>650.66666666666663</v>
      </c>
    </row>
    <row r="297" spans="1:17" ht="14.4" customHeight="1" x14ac:dyDescent="0.3">
      <c r="A297" s="611" t="s">
        <v>2550</v>
      </c>
      <c r="B297" s="612" t="s">
        <v>2345</v>
      </c>
      <c r="C297" s="612" t="s">
        <v>1729</v>
      </c>
      <c r="D297" s="612" t="s">
        <v>2033</v>
      </c>
      <c r="E297" s="612" t="s">
        <v>2034</v>
      </c>
      <c r="F297" s="615">
        <v>24</v>
      </c>
      <c r="G297" s="615">
        <v>10128</v>
      </c>
      <c r="H297" s="615">
        <v>1</v>
      </c>
      <c r="I297" s="615">
        <v>422</v>
      </c>
      <c r="J297" s="615"/>
      <c r="K297" s="615"/>
      <c r="L297" s="615"/>
      <c r="M297" s="615"/>
      <c r="N297" s="615">
        <v>22</v>
      </c>
      <c r="O297" s="615">
        <v>9460</v>
      </c>
      <c r="P297" s="628">
        <v>0.93404423380726698</v>
      </c>
      <c r="Q297" s="616">
        <v>430</v>
      </c>
    </row>
    <row r="298" spans="1:17" ht="14.4" customHeight="1" x14ac:dyDescent="0.3">
      <c r="A298" s="611" t="s">
        <v>2550</v>
      </c>
      <c r="B298" s="612" t="s">
        <v>2345</v>
      </c>
      <c r="C298" s="612" t="s">
        <v>1729</v>
      </c>
      <c r="D298" s="612" t="s">
        <v>2035</v>
      </c>
      <c r="E298" s="612" t="s">
        <v>2036</v>
      </c>
      <c r="F298" s="615">
        <v>24</v>
      </c>
      <c r="G298" s="615">
        <v>24000</v>
      </c>
      <c r="H298" s="615">
        <v>1</v>
      </c>
      <c r="I298" s="615">
        <v>1000</v>
      </c>
      <c r="J298" s="615"/>
      <c r="K298" s="615"/>
      <c r="L298" s="615"/>
      <c r="M298" s="615"/>
      <c r="N298" s="615">
        <v>22</v>
      </c>
      <c r="O298" s="615">
        <v>22132</v>
      </c>
      <c r="P298" s="628">
        <v>0.92216666666666669</v>
      </c>
      <c r="Q298" s="616">
        <v>1006</v>
      </c>
    </row>
    <row r="299" spans="1:17" ht="14.4" customHeight="1" x14ac:dyDescent="0.3">
      <c r="A299" s="611" t="s">
        <v>2550</v>
      </c>
      <c r="B299" s="612" t="s">
        <v>2345</v>
      </c>
      <c r="C299" s="612" t="s">
        <v>1729</v>
      </c>
      <c r="D299" s="612" t="s">
        <v>2575</v>
      </c>
      <c r="E299" s="612" t="s">
        <v>2576</v>
      </c>
      <c r="F299" s="615">
        <v>3</v>
      </c>
      <c r="G299" s="615">
        <v>1722</v>
      </c>
      <c r="H299" s="615">
        <v>1</v>
      </c>
      <c r="I299" s="615">
        <v>574</v>
      </c>
      <c r="J299" s="615"/>
      <c r="K299" s="615"/>
      <c r="L299" s="615"/>
      <c r="M299" s="615"/>
      <c r="N299" s="615"/>
      <c r="O299" s="615"/>
      <c r="P299" s="628"/>
      <c r="Q299" s="616"/>
    </row>
    <row r="300" spans="1:17" ht="14.4" customHeight="1" x14ac:dyDescent="0.3">
      <c r="A300" s="611" t="s">
        <v>2550</v>
      </c>
      <c r="B300" s="612" t="s">
        <v>2345</v>
      </c>
      <c r="C300" s="612" t="s">
        <v>1729</v>
      </c>
      <c r="D300" s="612" t="s">
        <v>2577</v>
      </c>
      <c r="E300" s="612" t="s">
        <v>2578</v>
      </c>
      <c r="F300" s="615"/>
      <c r="G300" s="615"/>
      <c r="H300" s="615"/>
      <c r="I300" s="615"/>
      <c r="J300" s="615">
        <v>3</v>
      </c>
      <c r="K300" s="615">
        <v>4185</v>
      </c>
      <c r="L300" s="615"/>
      <c r="M300" s="615">
        <v>1395</v>
      </c>
      <c r="N300" s="615">
        <v>6</v>
      </c>
      <c r="O300" s="615">
        <v>8374</v>
      </c>
      <c r="P300" s="628"/>
      <c r="Q300" s="616">
        <v>1395.6666666666667</v>
      </c>
    </row>
    <row r="301" spans="1:17" ht="14.4" customHeight="1" x14ac:dyDescent="0.3">
      <c r="A301" s="611" t="s">
        <v>2550</v>
      </c>
      <c r="B301" s="612" t="s">
        <v>2345</v>
      </c>
      <c r="C301" s="612" t="s">
        <v>1729</v>
      </c>
      <c r="D301" s="612" t="s">
        <v>2579</v>
      </c>
      <c r="E301" s="612" t="s">
        <v>2580</v>
      </c>
      <c r="F301" s="615">
        <v>6</v>
      </c>
      <c r="G301" s="615">
        <v>6090</v>
      </c>
      <c r="H301" s="615">
        <v>1</v>
      </c>
      <c r="I301" s="615">
        <v>1015</v>
      </c>
      <c r="J301" s="615">
        <v>2</v>
      </c>
      <c r="K301" s="615">
        <v>2032</v>
      </c>
      <c r="L301" s="615">
        <v>0.33366174055829229</v>
      </c>
      <c r="M301" s="615">
        <v>1016</v>
      </c>
      <c r="N301" s="615">
        <v>6</v>
      </c>
      <c r="O301" s="615">
        <v>6102</v>
      </c>
      <c r="P301" s="628">
        <v>1.0019704433497536</v>
      </c>
      <c r="Q301" s="616">
        <v>1017</v>
      </c>
    </row>
    <row r="302" spans="1:17" ht="14.4" customHeight="1" thickBot="1" x14ac:dyDescent="0.35">
      <c r="A302" s="617" t="s">
        <v>2550</v>
      </c>
      <c r="B302" s="618" t="s">
        <v>2345</v>
      </c>
      <c r="C302" s="618" t="s">
        <v>1729</v>
      </c>
      <c r="D302" s="618" t="s">
        <v>2581</v>
      </c>
      <c r="E302" s="618" t="s">
        <v>2582</v>
      </c>
      <c r="F302" s="621">
        <v>1</v>
      </c>
      <c r="G302" s="621">
        <v>188</v>
      </c>
      <c r="H302" s="621">
        <v>1</v>
      </c>
      <c r="I302" s="621">
        <v>188</v>
      </c>
      <c r="J302" s="621"/>
      <c r="K302" s="621"/>
      <c r="L302" s="621"/>
      <c r="M302" s="621"/>
      <c r="N302" s="621">
        <v>4</v>
      </c>
      <c r="O302" s="621">
        <v>756</v>
      </c>
      <c r="P302" s="629">
        <v>4.0212765957446805</v>
      </c>
      <c r="Q302" s="622">
        <v>189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8" t="s">
        <v>162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</row>
    <row r="2" spans="1:14" ht="14.4" customHeight="1" thickBot="1" x14ac:dyDescent="0.35">
      <c r="A2" s="361" t="s">
        <v>305</v>
      </c>
      <c r="B2" s="178"/>
      <c r="C2" s="178"/>
      <c r="D2" s="178"/>
      <c r="E2" s="178"/>
      <c r="F2" s="178"/>
      <c r="G2" s="429"/>
      <c r="H2" s="429"/>
      <c r="I2" s="429"/>
      <c r="J2" s="178"/>
      <c r="K2" s="429"/>
      <c r="L2" s="429"/>
      <c r="M2" s="429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10939</v>
      </c>
      <c r="D3" s="182">
        <f>SUBTOTAL(9,D6:D1048576)</f>
        <v>11834</v>
      </c>
      <c r="E3" s="182">
        <f>SUBTOTAL(9,E6:E1048576)</f>
        <v>11643</v>
      </c>
      <c r="F3" s="183">
        <f>IF(OR(E3=0,C3=0),"",E3/C3)</f>
        <v>1.06435688819819</v>
      </c>
      <c r="G3" s="430">
        <f>SUBTOTAL(9,G6:G1048576)</f>
        <v>47453.780700000003</v>
      </c>
      <c r="H3" s="431">
        <f>SUBTOTAL(9,H6:H1048576)</f>
        <v>52903.639899999995</v>
      </c>
      <c r="I3" s="431">
        <f>SUBTOTAL(9,I6:I1048576)</f>
        <v>50003.339299999992</v>
      </c>
      <c r="J3" s="183">
        <f>IF(OR(I3=0,G3=0),"",I3/G3)</f>
        <v>1.0537271964929023</v>
      </c>
      <c r="K3" s="430">
        <f>SUBTOTAL(9,K6:K1048576)</f>
        <v>11194</v>
      </c>
      <c r="L3" s="431">
        <f>SUBTOTAL(9,L6:L1048576)</f>
        <v>12752.34</v>
      </c>
      <c r="M3" s="431">
        <f>SUBTOTAL(9,M6:M1048576)</f>
        <v>11773.06</v>
      </c>
      <c r="N3" s="184">
        <f>IF(OR(M3=0,E3=0),"",M3/E3)</f>
        <v>1.0111706604826933</v>
      </c>
    </row>
    <row r="4" spans="1:14" ht="14.4" customHeight="1" x14ac:dyDescent="0.3">
      <c r="A4" s="560" t="s">
        <v>77</v>
      </c>
      <c r="B4" s="561" t="s">
        <v>11</v>
      </c>
      <c r="C4" s="562" t="s">
        <v>78</v>
      </c>
      <c r="D4" s="562"/>
      <c r="E4" s="562"/>
      <c r="F4" s="563"/>
      <c r="G4" s="564" t="s">
        <v>14</v>
      </c>
      <c r="H4" s="562"/>
      <c r="I4" s="562"/>
      <c r="J4" s="563"/>
      <c r="K4" s="564" t="s">
        <v>79</v>
      </c>
      <c r="L4" s="562"/>
      <c r="M4" s="562"/>
      <c r="N4" s="565"/>
    </row>
    <row r="5" spans="1:14" ht="14.4" customHeight="1" thickBot="1" x14ac:dyDescent="0.35">
      <c r="A5" s="803"/>
      <c r="B5" s="804"/>
      <c r="C5" s="811">
        <v>2012</v>
      </c>
      <c r="D5" s="811">
        <v>2013</v>
      </c>
      <c r="E5" s="811">
        <v>2014</v>
      </c>
      <c r="F5" s="812" t="s">
        <v>2</v>
      </c>
      <c r="G5" s="822">
        <v>2012</v>
      </c>
      <c r="H5" s="811">
        <v>2013</v>
      </c>
      <c r="I5" s="811">
        <v>2014</v>
      </c>
      <c r="J5" s="812" t="s">
        <v>2</v>
      </c>
      <c r="K5" s="822">
        <v>2012</v>
      </c>
      <c r="L5" s="811">
        <v>2013</v>
      </c>
      <c r="M5" s="811">
        <v>2014</v>
      </c>
      <c r="N5" s="823" t="s">
        <v>80</v>
      </c>
    </row>
    <row r="6" spans="1:14" ht="14.4" customHeight="1" x14ac:dyDescent="0.3">
      <c r="A6" s="805" t="s">
        <v>1785</v>
      </c>
      <c r="B6" s="808" t="s">
        <v>2584</v>
      </c>
      <c r="C6" s="813">
        <v>7055</v>
      </c>
      <c r="D6" s="814">
        <v>7664</v>
      </c>
      <c r="E6" s="814">
        <v>7513</v>
      </c>
      <c r="F6" s="819">
        <v>1.0649184975194896</v>
      </c>
      <c r="G6" s="813">
        <v>6002.7308999999996</v>
      </c>
      <c r="H6" s="814">
        <v>6547.4829999999974</v>
      </c>
      <c r="I6" s="814">
        <v>6421.8830000000016</v>
      </c>
      <c r="J6" s="819">
        <v>1.0698269016190618</v>
      </c>
      <c r="K6" s="813">
        <v>423.3</v>
      </c>
      <c r="L6" s="814">
        <v>459.84</v>
      </c>
      <c r="M6" s="814">
        <v>450.78</v>
      </c>
      <c r="N6" s="824">
        <v>60</v>
      </c>
    </row>
    <row r="7" spans="1:14" ht="14.4" customHeight="1" x14ac:dyDescent="0.3">
      <c r="A7" s="806" t="s">
        <v>1764</v>
      </c>
      <c r="B7" s="809" t="s">
        <v>2584</v>
      </c>
      <c r="C7" s="815">
        <v>395</v>
      </c>
      <c r="D7" s="816">
        <v>525</v>
      </c>
      <c r="E7" s="816">
        <v>638</v>
      </c>
      <c r="F7" s="820">
        <v>1.6151898734177215</v>
      </c>
      <c r="G7" s="815">
        <v>60.79049999999998</v>
      </c>
      <c r="H7" s="816">
        <v>81.742500000000007</v>
      </c>
      <c r="I7" s="816">
        <v>100.56789999999999</v>
      </c>
      <c r="J7" s="820">
        <v>1.6543357925991731</v>
      </c>
      <c r="K7" s="815">
        <v>23.7</v>
      </c>
      <c r="L7" s="816">
        <v>31.5</v>
      </c>
      <c r="M7" s="816">
        <v>38.28</v>
      </c>
      <c r="N7" s="825">
        <v>60</v>
      </c>
    </row>
    <row r="8" spans="1:14" ht="14.4" customHeight="1" x14ac:dyDescent="0.3">
      <c r="A8" s="806" t="s">
        <v>1841</v>
      </c>
      <c r="B8" s="809" t="s">
        <v>2585</v>
      </c>
      <c r="C8" s="815">
        <v>293</v>
      </c>
      <c r="D8" s="816">
        <v>317</v>
      </c>
      <c r="E8" s="816">
        <v>209</v>
      </c>
      <c r="F8" s="820">
        <v>0.71331058020477811</v>
      </c>
      <c r="G8" s="815">
        <v>7636.8950999999997</v>
      </c>
      <c r="H8" s="816">
        <v>8263.6550999999999</v>
      </c>
      <c r="I8" s="816">
        <v>5465.6954999999998</v>
      </c>
      <c r="J8" s="820">
        <v>0.71569602939812538</v>
      </c>
      <c r="K8" s="815">
        <v>2344</v>
      </c>
      <c r="L8" s="816">
        <v>2536</v>
      </c>
      <c r="M8" s="816">
        <v>1672</v>
      </c>
      <c r="N8" s="825">
        <v>8000</v>
      </c>
    </row>
    <row r="9" spans="1:14" ht="14.4" customHeight="1" x14ac:dyDescent="0.3">
      <c r="A9" s="806" t="s">
        <v>1861</v>
      </c>
      <c r="B9" s="809" t="s">
        <v>2585</v>
      </c>
      <c r="C9" s="815">
        <v>742</v>
      </c>
      <c r="D9" s="816">
        <v>899</v>
      </c>
      <c r="E9" s="816">
        <v>961</v>
      </c>
      <c r="F9" s="820">
        <v>1.2951482479784366</v>
      </c>
      <c r="G9" s="815">
        <v>16515.221400000002</v>
      </c>
      <c r="H9" s="816">
        <v>20012.852699999999</v>
      </c>
      <c r="I9" s="816">
        <v>21427.930499999999</v>
      </c>
      <c r="J9" s="820">
        <v>1.2974655307981517</v>
      </c>
      <c r="K9" s="815">
        <v>4452</v>
      </c>
      <c r="L9" s="816">
        <v>5394</v>
      </c>
      <c r="M9" s="816">
        <v>5766</v>
      </c>
      <c r="N9" s="825">
        <v>6000</v>
      </c>
    </row>
    <row r="10" spans="1:14" ht="14.4" customHeight="1" x14ac:dyDescent="0.3">
      <c r="A10" s="806" t="s">
        <v>1843</v>
      </c>
      <c r="B10" s="809" t="s">
        <v>2585</v>
      </c>
      <c r="C10" s="815">
        <v>499</v>
      </c>
      <c r="D10" s="816">
        <v>634</v>
      </c>
      <c r="E10" s="816">
        <v>508</v>
      </c>
      <c r="F10" s="820">
        <v>1.0180360721442885</v>
      </c>
      <c r="G10" s="815">
        <v>6138.4481999999989</v>
      </c>
      <c r="H10" s="816">
        <v>7801.0901999999996</v>
      </c>
      <c r="I10" s="816">
        <v>6257.6743999999971</v>
      </c>
      <c r="J10" s="820">
        <v>1.0194228567408938</v>
      </c>
      <c r="K10" s="815">
        <v>1996</v>
      </c>
      <c r="L10" s="816">
        <v>2536</v>
      </c>
      <c r="M10" s="816">
        <v>2032</v>
      </c>
      <c r="N10" s="825">
        <v>4000</v>
      </c>
    </row>
    <row r="11" spans="1:14" ht="14.4" customHeight="1" thickBot="1" x14ac:dyDescent="0.35">
      <c r="A11" s="807" t="s">
        <v>1859</v>
      </c>
      <c r="B11" s="810" t="s">
        <v>2585</v>
      </c>
      <c r="C11" s="817">
        <v>1955</v>
      </c>
      <c r="D11" s="818">
        <v>1795</v>
      </c>
      <c r="E11" s="818">
        <v>1814</v>
      </c>
      <c r="F11" s="821">
        <v>0.92787723785166243</v>
      </c>
      <c r="G11" s="817">
        <v>11099.694599999999</v>
      </c>
      <c r="H11" s="818">
        <v>10196.8164</v>
      </c>
      <c r="I11" s="818">
        <v>10329.587999999994</v>
      </c>
      <c r="J11" s="821">
        <v>0.93061911811519527</v>
      </c>
      <c r="K11" s="817">
        <v>1955</v>
      </c>
      <c r="L11" s="818">
        <v>1795</v>
      </c>
      <c r="M11" s="818">
        <v>1814</v>
      </c>
      <c r="N11" s="826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2" t="s">
        <v>157</v>
      </c>
      <c r="B1" s="452"/>
      <c r="C1" s="452"/>
      <c r="D1" s="452"/>
      <c r="E1" s="452"/>
      <c r="F1" s="452"/>
      <c r="G1" s="453"/>
      <c r="H1" s="453"/>
    </row>
    <row r="2" spans="1:8" ht="14.4" customHeight="1" thickBot="1" x14ac:dyDescent="0.35">
      <c r="A2" s="361" t="s">
        <v>305</v>
      </c>
      <c r="B2" s="208"/>
      <c r="C2" s="208"/>
      <c r="D2" s="208"/>
      <c r="E2" s="208"/>
      <c r="F2" s="208"/>
    </row>
    <row r="3" spans="1:8" ht="14.4" customHeight="1" x14ac:dyDescent="0.3">
      <c r="A3" s="454"/>
      <c r="B3" s="204">
        <v>2012</v>
      </c>
      <c r="C3" s="44">
        <v>2013</v>
      </c>
      <c r="D3" s="11"/>
      <c r="E3" s="458">
        <v>2014</v>
      </c>
      <c r="F3" s="459"/>
      <c r="G3" s="459"/>
      <c r="H3" s="460"/>
    </row>
    <row r="4" spans="1:8" ht="14.4" customHeight="1" thickBot="1" x14ac:dyDescent="0.35">
      <c r="A4" s="455"/>
      <c r="B4" s="456" t="s">
        <v>81</v>
      </c>
      <c r="C4" s="457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2410.90166</v>
      </c>
      <c r="C5" s="33">
        <v>2035.5269699999999</v>
      </c>
      <c r="D5" s="12"/>
      <c r="E5" s="214">
        <v>1766.4666099999999</v>
      </c>
      <c r="F5" s="32">
        <v>1845.0548377979483</v>
      </c>
      <c r="G5" s="213">
        <f>E5-F5</f>
        <v>-78.588227797948321</v>
      </c>
      <c r="H5" s="219">
        <f>IF(F5&lt;0.00000001,"",E5/F5)</f>
        <v>0.95740602057565805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2014.0546199999999</v>
      </c>
      <c r="C6" s="35">
        <v>2676.6263299999991</v>
      </c>
      <c r="D6" s="12"/>
      <c r="E6" s="215">
        <v>2705.2074800000009</v>
      </c>
      <c r="F6" s="34">
        <v>3220.4395849267439</v>
      </c>
      <c r="G6" s="216">
        <f>E6-F6</f>
        <v>-515.23210492674298</v>
      </c>
      <c r="H6" s="220">
        <f>IF(F6&lt;0.00000001,"",E6/F6)</f>
        <v>0.84001187063459126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30766.54751</v>
      </c>
      <c r="C7" s="35">
        <v>29792.276160000001</v>
      </c>
      <c r="D7" s="12"/>
      <c r="E7" s="215">
        <v>30080.198630000014</v>
      </c>
      <c r="F7" s="34">
        <v>29761.646820378777</v>
      </c>
      <c r="G7" s="216">
        <f>E7-F7</f>
        <v>318.55180962123632</v>
      </c>
      <c r="H7" s="220">
        <f>IF(F7&lt;0.00000001,"",E7/F7)</f>
        <v>1.0107034335681691</v>
      </c>
    </row>
    <row r="8" spans="1:8" ht="14.4" customHeight="1" thickBot="1" x14ac:dyDescent="0.35">
      <c r="A8" s="1" t="s">
        <v>84</v>
      </c>
      <c r="B8" s="15">
        <v>6881.1009799999983</v>
      </c>
      <c r="C8" s="37">
        <v>6698.9439899999925</v>
      </c>
      <c r="D8" s="12"/>
      <c r="E8" s="217">
        <v>6516.8961500000005</v>
      </c>
      <c r="F8" s="36">
        <v>6957.1126187998234</v>
      </c>
      <c r="G8" s="218">
        <f>E8-F8</f>
        <v>-440.21646879982291</v>
      </c>
      <c r="H8" s="221">
        <f>IF(F8&lt;0.00000001,"",E8/F8)</f>
        <v>0.93672425718533714</v>
      </c>
    </row>
    <row r="9" spans="1:8" ht="14.4" customHeight="1" thickBot="1" x14ac:dyDescent="0.35">
      <c r="A9" s="2" t="s">
        <v>85</v>
      </c>
      <c r="B9" s="3">
        <v>42072.604769999998</v>
      </c>
      <c r="C9" s="39">
        <v>41203.373449999992</v>
      </c>
      <c r="D9" s="12"/>
      <c r="E9" s="3">
        <v>41068.768870000014</v>
      </c>
      <c r="F9" s="38">
        <v>41784.253861903293</v>
      </c>
      <c r="G9" s="38">
        <f>E9-F9</f>
        <v>-715.48499190327857</v>
      </c>
      <c r="H9" s="222">
        <f>IF(F9&lt;0.00000001,"",E9/F9)</f>
        <v>0.98287668377978099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65802.299999999988</v>
      </c>
      <c r="C12" s="37">
        <f>IF(ISERROR(VLOOKUP("Celkem",CaseMix!A:D,3,0)),0,VLOOKUP("Celkem",CaseMix!A:D,3,0)*30)</f>
        <v>76036.800000000003</v>
      </c>
      <c r="D12" s="12"/>
      <c r="E12" s="217">
        <f>IF(ISERROR(VLOOKUP("Celkem",CaseMix!A:D,4,0)),0,VLOOKUP("Celkem",CaseMix!A:D,4,0)*30)</f>
        <v>72278.939999999988</v>
      </c>
      <c r="F12" s="36">
        <f>B12</f>
        <v>65802.299999999988</v>
      </c>
      <c r="G12" s="218">
        <f>E12-F12</f>
        <v>6476.6399999999994</v>
      </c>
      <c r="H12" s="221">
        <f>IF(F12&lt;0.00000001,"",E12/F12)</f>
        <v>1.0984257389179406</v>
      </c>
    </row>
    <row r="13" spans="1:8" ht="14.4" customHeight="1" thickBot="1" x14ac:dyDescent="0.35">
      <c r="A13" s="4" t="s">
        <v>88</v>
      </c>
      <c r="B13" s="9">
        <f>SUM(B11:B12)</f>
        <v>65802.299999999988</v>
      </c>
      <c r="C13" s="41">
        <f>SUM(C11:C12)</f>
        <v>76036.800000000003</v>
      </c>
      <c r="D13" s="12"/>
      <c r="E13" s="9">
        <f>SUM(E11:E12)</f>
        <v>72278.939999999988</v>
      </c>
      <c r="F13" s="40">
        <f>SUM(F11:F12)</f>
        <v>65802.299999999988</v>
      </c>
      <c r="G13" s="40">
        <f>E13-F13</f>
        <v>6476.6399999999994</v>
      </c>
      <c r="H13" s="223">
        <f>IF(F13&lt;0.00000001,"",E13/F13)</f>
        <v>1.0984257389179406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1.5640177345739363</v>
      </c>
      <c r="C15" s="43">
        <f>IF(C9=0,"",C13/C9)</f>
        <v>1.8454022967869399</v>
      </c>
      <c r="D15" s="12"/>
      <c r="E15" s="10">
        <f>IF(E9=0,"",E13/E9)</f>
        <v>1.7599490315571265</v>
      </c>
      <c r="F15" s="42">
        <f>IF(F9=0,"",F13/F9)</f>
        <v>1.5748109375717512</v>
      </c>
      <c r="G15" s="42">
        <f>IF(ISERROR(F15-E15),"",E15-F15)</f>
        <v>0.18513809398537528</v>
      </c>
      <c r="H15" s="224">
        <f>IF(ISERROR(F15-E15),"",IF(F15&lt;0.00000001,"",E15/F15))</f>
        <v>1.1175621082939933</v>
      </c>
    </row>
    <row r="17" spans="1:8" ht="14.4" customHeight="1" x14ac:dyDescent="0.3">
      <c r="A17" s="210" t="s">
        <v>177</v>
      </c>
    </row>
    <row r="18" spans="1:8" ht="14.4" customHeight="1" x14ac:dyDescent="0.3">
      <c r="A18" s="414" t="s">
        <v>243</v>
      </c>
      <c r="B18" s="415"/>
      <c r="C18" s="415"/>
      <c r="D18" s="415"/>
      <c r="E18" s="415"/>
      <c r="F18" s="415"/>
      <c r="G18" s="415"/>
      <c r="H18" s="415"/>
    </row>
    <row r="19" spans="1:8" x14ac:dyDescent="0.3">
      <c r="A19" s="413" t="s">
        <v>242</v>
      </c>
      <c r="B19" s="415"/>
      <c r="C19" s="415"/>
      <c r="D19" s="415"/>
      <c r="E19" s="415"/>
      <c r="F19" s="415"/>
      <c r="G19" s="415"/>
      <c r="H19" s="415"/>
    </row>
    <row r="20" spans="1:8" ht="14.4" customHeight="1" x14ac:dyDescent="0.3">
      <c r="A20" s="211" t="s">
        <v>304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2" t="s">
        <v>115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x14ac:dyDescent="0.3">
      <c r="A2" s="361" t="s">
        <v>305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10"/>
      <c r="B3" s="311" t="s">
        <v>90</v>
      </c>
      <c r="C3" s="312" t="s">
        <v>91</v>
      </c>
      <c r="D3" s="312" t="s">
        <v>92</v>
      </c>
      <c r="E3" s="311" t="s">
        <v>93</v>
      </c>
      <c r="F3" s="312" t="s">
        <v>94</v>
      </c>
      <c r="G3" s="312" t="s">
        <v>95</v>
      </c>
      <c r="H3" s="312" t="s">
        <v>96</v>
      </c>
      <c r="I3" s="312" t="s">
        <v>97</v>
      </c>
      <c r="J3" s="312" t="s">
        <v>98</v>
      </c>
      <c r="K3" s="312" t="s">
        <v>99</v>
      </c>
      <c r="L3" s="312" t="s">
        <v>100</v>
      </c>
      <c r="M3" s="312" t="s">
        <v>101</v>
      </c>
    </row>
    <row r="4" spans="1:13" ht="14.4" customHeight="1" x14ac:dyDescent="0.3">
      <c r="A4" s="310" t="s">
        <v>89</v>
      </c>
      <c r="B4" s="313">
        <f>(B10+B8)/B6</f>
        <v>1.5185328788441745</v>
      </c>
      <c r="C4" s="313">
        <f t="shared" ref="C4:M4" si="0">(C10+C8)/C6</f>
        <v>1.6092193858023451</v>
      </c>
      <c r="D4" s="313">
        <f t="shared" si="0"/>
        <v>1.8180230400915911</v>
      </c>
      <c r="E4" s="313">
        <f t="shared" si="0"/>
        <v>2.0030041288773535</v>
      </c>
      <c r="F4" s="313">
        <f t="shared" si="0"/>
        <v>1.8423493969498772</v>
      </c>
      <c r="G4" s="313">
        <f t="shared" si="0"/>
        <v>1.6566758173586376</v>
      </c>
      <c r="H4" s="313">
        <f t="shared" si="0"/>
        <v>1.6727419460117756</v>
      </c>
      <c r="I4" s="313">
        <f t="shared" si="0"/>
        <v>1.7369466800405235</v>
      </c>
      <c r="J4" s="313">
        <f t="shared" si="0"/>
        <v>1.7599490315571265</v>
      </c>
      <c r="K4" s="313">
        <f t="shared" si="0"/>
        <v>0</v>
      </c>
      <c r="L4" s="313">
        <f t="shared" si="0"/>
        <v>0</v>
      </c>
      <c r="M4" s="313">
        <f t="shared" si="0"/>
        <v>0</v>
      </c>
    </row>
    <row r="5" spans="1:13" ht="14.4" customHeight="1" x14ac:dyDescent="0.3">
      <c r="A5" s="314" t="s">
        <v>40</v>
      </c>
      <c r="B5" s="313">
        <f>IF(ISERROR(VLOOKUP($A5,'Man Tab'!$A:$Q,COLUMN()+2,0)),0,VLOOKUP($A5,'Man Tab'!$A:$Q,COLUMN()+2,0))</f>
        <v>4215.5755000000199</v>
      </c>
      <c r="C5" s="313">
        <f>IF(ISERROR(VLOOKUP($A5,'Man Tab'!$A:$Q,COLUMN()+2,0)),0,VLOOKUP($A5,'Man Tab'!$A:$Q,COLUMN()+2,0))</f>
        <v>4236.0191800000002</v>
      </c>
      <c r="D5" s="313">
        <f>IF(ISERROR(VLOOKUP($A5,'Man Tab'!$A:$Q,COLUMN()+2,0)),0,VLOOKUP($A5,'Man Tab'!$A:$Q,COLUMN()+2,0))</f>
        <v>4230.0267800000001</v>
      </c>
      <c r="E5" s="313">
        <f>IF(ISERROR(VLOOKUP($A5,'Man Tab'!$A:$Q,COLUMN()+2,0)),0,VLOOKUP($A5,'Man Tab'!$A:$Q,COLUMN()+2,0))</f>
        <v>4094.7693199999999</v>
      </c>
      <c r="F5" s="313">
        <f>IF(ISERROR(VLOOKUP($A5,'Man Tab'!$A:$Q,COLUMN()+2,0)),0,VLOOKUP($A5,'Man Tab'!$A:$Q,COLUMN()+2,0))</f>
        <v>4608.0871399999996</v>
      </c>
      <c r="G5" s="313">
        <f>IF(ISERROR(VLOOKUP($A5,'Man Tab'!$A:$Q,COLUMN()+2,0)),0,VLOOKUP($A5,'Man Tab'!$A:$Q,COLUMN()+2,0))</f>
        <v>4886.3950800000002</v>
      </c>
      <c r="H5" s="313">
        <f>IF(ISERROR(VLOOKUP($A5,'Man Tab'!$A:$Q,COLUMN()+2,0)),0,VLOOKUP($A5,'Man Tab'!$A:$Q,COLUMN()+2,0))</f>
        <v>5790.4620599999998</v>
      </c>
      <c r="I5" s="313">
        <f>IF(ISERROR(VLOOKUP($A5,'Man Tab'!$A:$Q,COLUMN()+2,0)),0,VLOOKUP($A5,'Man Tab'!$A:$Q,COLUMN()+2,0))</f>
        <v>4690.6739299999999</v>
      </c>
      <c r="J5" s="313">
        <f>IF(ISERROR(VLOOKUP($A5,'Man Tab'!$A:$Q,COLUMN()+2,0)),0,VLOOKUP($A5,'Man Tab'!$A:$Q,COLUMN()+2,0))</f>
        <v>4316.7598799999996</v>
      </c>
      <c r="K5" s="313">
        <f>IF(ISERROR(VLOOKUP($A5,'Man Tab'!$A:$Q,COLUMN()+2,0)),0,VLOOKUP($A5,'Man Tab'!$A:$Q,COLUMN()+2,0))</f>
        <v>0</v>
      </c>
      <c r="L5" s="313">
        <f>IF(ISERROR(VLOOKUP($A5,'Man Tab'!$A:$Q,COLUMN()+2,0)),0,VLOOKUP($A5,'Man Tab'!$A:$Q,COLUMN()+2,0))</f>
        <v>0</v>
      </c>
      <c r="M5" s="313">
        <f>IF(ISERROR(VLOOKUP($A5,'Man Tab'!$A:$Q,COLUMN()+2,0)),0,VLOOKUP($A5,'Man Tab'!$A:$Q,COLUMN()+2,0))</f>
        <v>0</v>
      </c>
    </row>
    <row r="6" spans="1:13" ht="14.4" customHeight="1" x14ac:dyDescent="0.3">
      <c r="A6" s="314" t="s">
        <v>85</v>
      </c>
      <c r="B6" s="315">
        <f>B5</f>
        <v>4215.5755000000199</v>
      </c>
      <c r="C6" s="315">
        <f t="shared" ref="C6:M6" si="1">C5+B6</f>
        <v>8451.5946800000202</v>
      </c>
      <c r="D6" s="315">
        <f t="shared" si="1"/>
        <v>12681.62146000002</v>
      </c>
      <c r="E6" s="315">
        <f t="shared" si="1"/>
        <v>16776.39078000002</v>
      </c>
      <c r="F6" s="315">
        <f t="shared" si="1"/>
        <v>21384.477920000019</v>
      </c>
      <c r="G6" s="315">
        <f t="shared" si="1"/>
        <v>26270.873000000021</v>
      </c>
      <c r="H6" s="315">
        <f t="shared" si="1"/>
        <v>32061.335060000019</v>
      </c>
      <c r="I6" s="315">
        <f t="shared" si="1"/>
        <v>36752.008990000017</v>
      </c>
      <c r="J6" s="315">
        <f t="shared" si="1"/>
        <v>41068.768870000014</v>
      </c>
      <c r="K6" s="315">
        <f t="shared" si="1"/>
        <v>41068.768870000014</v>
      </c>
      <c r="L6" s="315">
        <f t="shared" si="1"/>
        <v>41068.768870000014</v>
      </c>
      <c r="M6" s="315">
        <f t="shared" si="1"/>
        <v>41068.768870000014</v>
      </c>
    </row>
    <row r="7" spans="1:13" ht="14.4" customHeight="1" x14ac:dyDescent="0.3">
      <c r="A7" s="314" t="s">
        <v>113</v>
      </c>
      <c r="B7" s="314">
        <v>213.38300000000001</v>
      </c>
      <c r="C7" s="314">
        <v>453.34899999999999</v>
      </c>
      <c r="D7" s="314">
        <v>768.51599999999996</v>
      </c>
      <c r="E7" s="314">
        <v>1120.106</v>
      </c>
      <c r="F7" s="314">
        <v>1313.2560000000001</v>
      </c>
      <c r="G7" s="314">
        <v>1450.7439999999999</v>
      </c>
      <c r="H7" s="314">
        <v>1787.6780000000001</v>
      </c>
      <c r="I7" s="314">
        <v>2127.8760000000002</v>
      </c>
      <c r="J7" s="314">
        <v>2409.2979999999998</v>
      </c>
      <c r="K7" s="314"/>
      <c r="L7" s="314"/>
      <c r="M7" s="314"/>
    </row>
    <row r="8" spans="1:13" ht="14.4" customHeight="1" x14ac:dyDescent="0.3">
      <c r="A8" s="314" t="s">
        <v>86</v>
      </c>
      <c r="B8" s="315">
        <f>B7*30</f>
        <v>6401.4900000000007</v>
      </c>
      <c r="C8" s="315">
        <f t="shared" ref="C8:M8" si="2">C7*30</f>
        <v>13600.47</v>
      </c>
      <c r="D8" s="315">
        <f t="shared" si="2"/>
        <v>23055.48</v>
      </c>
      <c r="E8" s="315">
        <f t="shared" si="2"/>
        <v>33603.18</v>
      </c>
      <c r="F8" s="315">
        <f t="shared" si="2"/>
        <v>39397.68</v>
      </c>
      <c r="G8" s="315">
        <f t="shared" si="2"/>
        <v>43522.32</v>
      </c>
      <c r="H8" s="315">
        <f t="shared" si="2"/>
        <v>53630.340000000004</v>
      </c>
      <c r="I8" s="315">
        <f t="shared" si="2"/>
        <v>63836.280000000006</v>
      </c>
      <c r="J8" s="315">
        <f t="shared" si="2"/>
        <v>72278.939999999988</v>
      </c>
      <c r="K8" s="315">
        <f t="shared" si="2"/>
        <v>0</v>
      </c>
      <c r="L8" s="315">
        <f t="shared" si="2"/>
        <v>0</v>
      </c>
      <c r="M8" s="315">
        <f t="shared" si="2"/>
        <v>0</v>
      </c>
    </row>
    <row r="9" spans="1:13" ht="14.4" customHeight="1" x14ac:dyDescent="0.3">
      <c r="A9" s="314" t="s">
        <v>114</v>
      </c>
      <c r="B9" s="314">
        <v>0</v>
      </c>
      <c r="C9" s="314">
        <v>0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87</v>
      </c>
      <c r="B10" s="315">
        <f>B9/1000</f>
        <v>0</v>
      </c>
      <c r="C10" s="315">
        <f t="shared" ref="C10:M10" si="3">C9/1000+B10</f>
        <v>0</v>
      </c>
      <c r="D10" s="315">
        <f t="shared" si="3"/>
        <v>0</v>
      </c>
      <c r="E10" s="315">
        <f t="shared" si="3"/>
        <v>0</v>
      </c>
      <c r="F10" s="315">
        <f t="shared" si="3"/>
        <v>0</v>
      </c>
      <c r="G10" s="315">
        <f t="shared" si="3"/>
        <v>0</v>
      </c>
      <c r="H10" s="315">
        <f t="shared" si="3"/>
        <v>0</v>
      </c>
      <c r="I10" s="315">
        <f t="shared" si="3"/>
        <v>0</v>
      </c>
      <c r="J10" s="315">
        <f t="shared" si="3"/>
        <v>0</v>
      </c>
      <c r="K10" s="315">
        <f t="shared" si="3"/>
        <v>0</v>
      </c>
      <c r="L10" s="315">
        <f t="shared" si="3"/>
        <v>0</v>
      </c>
      <c r="M10" s="315">
        <f t="shared" si="3"/>
        <v>0</v>
      </c>
    </row>
    <row r="11" spans="1:13" ht="14.4" customHeight="1" x14ac:dyDescent="0.3">
      <c r="A11" s="310"/>
      <c r="B11" s="310" t="s">
        <v>103</v>
      </c>
      <c r="C11" s="310">
        <f ca="1">IF(MONTH(TODAY())=1,12,MONTH(TODAY())-1)</f>
        <v>9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1.5748109375717512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1.5748109375717512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6" customFormat="1" ht="18.600000000000001" customHeight="1" thickBot="1" x14ac:dyDescent="0.4">
      <c r="A1" s="461" t="s">
        <v>307</v>
      </c>
      <c r="B1" s="461"/>
      <c r="C1" s="461"/>
      <c r="D1" s="461"/>
      <c r="E1" s="461"/>
      <c r="F1" s="461"/>
      <c r="G1" s="461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s="316" customFormat="1" ht="14.4" customHeight="1" thickBot="1" x14ac:dyDescent="0.3">
      <c r="A2" s="361" t="s">
        <v>305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2"/>
      <c r="B3" s="462" t="s">
        <v>16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47"/>
      <c r="Q3" s="249"/>
    </row>
    <row r="4" spans="1:17" ht="14.4" customHeight="1" x14ac:dyDescent="0.3">
      <c r="A4" s="93"/>
      <c r="B4" s="24">
        <v>2014</v>
      </c>
      <c r="C4" s="248" t="s">
        <v>17</v>
      </c>
      <c r="D4" s="226" t="s">
        <v>183</v>
      </c>
      <c r="E4" s="226" t="s">
        <v>184</v>
      </c>
      <c r="F4" s="226" t="s">
        <v>185</v>
      </c>
      <c r="G4" s="226" t="s">
        <v>186</v>
      </c>
      <c r="H4" s="226" t="s">
        <v>187</v>
      </c>
      <c r="I4" s="226" t="s">
        <v>188</v>
      </c>
      <c r="J4" s="226" t="s">
        <v>189</v>
      </c>
      <c r="K4" s="226" t="s">
        <v>190</v>
      </c>
      <c r="L4" s="226" t="s">
        <v>191</v>
      </c>
      <c r="M4" s="226" t="s">
        <v>192</v>
      </c>
      <c r="N4" s="226" t="s">
        <v>193</v>
      </c>
      <c r="O4" s="226" t="s">
        <v>194</v>
      </c>
      <c r="P4" s="464" t="s">
        <v>3</v>
      </c>
      <c r="Q4" s="465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306</v>
      </c>
    </row>
    <row r="7" spans="1:17" ht="14.4" customHeight="1" x14ac:dyDescent="0.3">
      <c r="A7" s="19" t="s">
        <v>22</v>
      </c>
      <c r="B7" s="55">
        <v>2460.0731170639301</v>
      </c>
      <c r="C7" s="56">
        <v>205.006093088661</v>
      </c>
      <c r="D7" s="56">
        <v>116.268430000001</v>
      </c>
      <c r="E7" s="56">
        <v>238.54389</v>
      </c>
      <c r="F7" s="56">
        <v>201.59556000000001</v>
      </c>
      <c r="G7" s="56">
        <v>168.75995</v>
      </c>
      <c r="H7" s="56">
        <v>223.44615999999999</v>
      </c>
      <c r="I7" s="56">
        <v>269.32958000000002</v>
      </c>
      <c r="J7" s="56">
        <v>232.18539000000001</v>
      </c>
      <c r="K7" s="56">
        <v>207.07174000000001</v>
      </c>
      <c r="L7" s="56">
        <v>109.26591000000001</v>
      </c>
      <c r="M7" s="56">
        <v>0</v>
      </c>
      <c r="N7" s="56">
        <v>0</v>
      </c>
      <c r="O7" s="56">
        <v>0</v>
      </c>
      <c r="P7" s="57">
        <v>1766.4666099999999</v>
      </c>
      <c r="Q7" s="174">
        <v>0.95740602057500002</v>
      </c>
    </row>
    <row r="8" spans="1:17" ht="14.4" customHeight="1" x14ac:dyDescent="0.3">
      <c r="A8" s="19" t="s">
        <v>23</v>
      </c>
      <c r="B8" s="55">
        <v>427.69522588613199</v>
      </c>
      <c r="C8" s="56">
        <v>35.641268823844001</v>
      </c>
      <c r="D8" s="56">
        <v>28.826000000000001</v>
      </c>
      <c r="E8" s="56">
        <v>43.289000000000001</v>
      </c>
      <c r="F8" s="56">
        <v>25.951000000000001</v>
      </c>
      <c r="G8" s="56">
        <v>46.164000000000001</v>
      </c>
      <c r="H8" s="56">
        <v>17.201000000000001</v>
      </c>
      <c r="I8" s="56">
        <v>13.92</v>
      </c>
      <c r="J8" s="56">
        <v>30.716000000000001</v>
      </c>
      <c r="K8" s="56">
        <v>53.348999999999997</v>
      </c>
      <c r="L8" s="56">
        <v>9.0530000000000008</v>
      </c>
      <c r="M8" s="56">
        <v>0</v>
      </c>
      <c r="N8" s="56">
        <v>0</v>
      </c>
      <c r="O8" s="56">
        <v>0</v>
      </c>
      <c r="P8" s="57">
        <v>268.46899999999999</v>
      </c>
      <c r="Q8" s="174">
        <v>0.83694800643300005</v>
      </c>
    </row>
    <row r="9" spans="1:17" ht="14.4" customHeight="1" x14ac:dyDescent="0.3">
      <c r="A9" s="19" t="s">
        <v>24</v>
      </c>
      <c r="B9" s="55">
        <v>4293.9194465689898</v>
      </c>
      <c r="C9" s="56">
        <v>357.82662054741598</v>
      </c>
      <c r="D9" s="56">
        <v>250.36808000000099</v>
      </c>
      <c r="E9" s="56">
        <v>252.22452000000001</v>
      </c>
      <c r="F9" s="56">
        <v>259.15060999999997</v>
      </c>
      <c r="G9" s="56">
        <v>254.96100999999999</v>
      </c>
      <c r="H9" s="56">
        <v>402.12259999999998</v>
      </c>
      <c r="I9" s="56">
        <v>278.94632999999999</v>
      </c>
      <c r="J9" s="56">
        <v>325.77442000000002</v>
      </c>
      <c r="K9" s="56">
        <v>421.12362000000002</v>
      </c>
      <c r="L9" s="56">
        <v>260.53629000000001</v>
      </c>
      <c r="M9" s="56">
        <v>0</v>
      </c>
      <c r="N9" s="56">
        <v>0</v>
      </c>
      <c r="O9" s="56">
        <v>0</v>
      </c>
      <c r="P9" s="57">
        <v>2705.20748</v>
      </c>
      <c r="Q9" s="174">
        <v>0.84001187063399996</v>
      </c>
    </row>
    <row r="10" spans="1:17" ht="14.4" customHeight="1" x14ac:dyDescent="0.3">
      <c r="A10" s="19" t="s">
        <v>25</v>
      </c>
      <c r="B10" s="55">
        <v>342.86339678123397</v>
      </c>
      <c r="C10" s="56">
        <v>28.571949731768999</v>
      </c>
      <c r="D10" s="56">
        <v>17.229939999999999</v>
      </c>
      <c r="E10" s="56">
        <v>30.883569999999999</v>
      </c>
      <c r="F10" s="56">
        <v>22.09346</v>
      </c>
      <c r="G10" s="56">
        <v>19.499749999999999</v>
      </c>
      <c r="H10" s="56">
        <v>24.256440000000001</v>
      </c>
      <c r="I10" s="56">
        <v>24.573270000000001</v>
      </c>
      <c r="J10" s="56">
        <v>25.49625</v>
      </c>
      <c r="K10" s="56">
        <v>22.020119999999999</v>
      </c>
      <c r="L10" s="56">
        <v>24.130579999999998</v>
      </c>
      <c r="M10" s="56">
        <v>0</v>
      </c>
      <c r="N10" s="56">
        <v>0</v>
      </c>
      <c r="O10" s="56">
        <v>0</v>
      </c>
      <c r="P10" s="57">
        <v>210.18338</v>
      </c>
      <c r="Q10" s="174">
        <v>0.81736490187499999</v>
      </c>
    </row>
    <row r="11" spans="1:17" ht="14.4" customHeight="1" x14ac:dyDescent="0.3">
      <c r="A11" s="19" t="s">
        <v>26</v>
      </c>
      <c r="B11" s="55">
        <v>732.36899488167398</v>
      </c>
      <c r="C11" s="56">
        <v>61.030749573472001</v>
      </c>
      <c r="D11" s="56">
        <v>53.260390000000001</v>
      </c>
      <c r="E11" s="56">
        <v>43.575330000000001</v>
      </c>
      <c r="F11" s="56">
        <v>63.793790000000001</v>
      </c>
      <c r="G11" s="56">
        <v>44.342460000000003</v>
      </c>
      <c r="H11" s="56">
        <v>55.524299999999997</v>
      </c>
      <c r="I11" s="56">
        <v>50.933720000000001</v>
      </c>
      <c r="J11" s="56">
        <v>64.606399999999994</v>
      </c>
      <c r="K11" s="56">
        <v>47.041930000000001</v>
      </c>
      <c r="L11" s="56">
        <v>63.173360000000002</v>
      </c>
      <c r="M11" s="56">
        <v>0</v>
      </c>
      <c r="N11" s="56">
        <v>0</v>
      </c>
      <c r="O11" s="56">
        <v>0</v>
      </c>
      <c r="P11" s="57">
        <v>486.25168000000002</v>
      </c>
      <c r="Q11" s="174">
        <v>0.88525808419499996</v>
      </c>
    </row>
    <row r="12" spans="1:17" ht="14.4" customHeight="1" x14ac:dyDescent="0.3">
      <c r="A12" s="19" t="s">
        <v>27</v>
      </c>
      <c r="B12" s="55">
        <v>187.711070006216</v>
      </c>
      <c r="C12" s="56">
        <v>15.642589167183999</v>
      </c>
      <c r="D12" s="56">
        <v>0.67696999999999996</v>
      </c>
      <c r="E12" s="56">
        <v>54.239170000000001</v>
      </c>
      <c r="F12" s="56">
        <v>2.8675000000000002</v>
      </c>
      <c r="G12" s="56">
        <v>14.881</v>
      </c>
      <c r="H12" s="56">
        <v>14.56602</v>
      </c>
      <c r="I12" s="56">
        <v>53.329079999999998</v>
      </c>
      <c r="J12" s="56">
        <v>22.1538</v>
      </c>
      <c r="K12" s="56">
        <v>7.10426</v>
      </c>
      <c r="L12" s="56">
        <v>11.21088</v>
      </c>
      <c r="M12" s="56">
        <v>0</v>
      </c>
      <c r="N12" s="56">
        <v>0</v>
      </c>
      <c r="O12" s="56">
        <v>0</v>
      </c>
      <c r="P12" s="57">
        <v>181.02868000000001</v>
      </c>
      <c r="Q12" s="174">
        <v>1.285867548063</v>
      </c>
    </row>
    <row r="13" spans="1:17" ht="14.4" customHeight="1" x14ac:dyDescent="0.3">
      <c r="A13" s="19" t="s">
        <v>28</v>
      </c>
      <c r="B13" s="55">
        <v>461.17556527500801</v>
      </c>
      <c r="C13" s="56">
        <v>38.43129710625</v>
      </c>
      <c r="D13" s="56">
        <v>48.615490000000001</v>
      </c>
      <c r="E13" s="56">
        <v>18.017060000000001</v>
      </c>
      <c r="F13" s="56">
        <v>24.188110000000002</v>
      </c>
      <c r="G13" s="56">
        <v>35.188310000000001</v>
      </c>
      <c r="H13" s="56">
        <v>41.70035</v>
      </c>
      <c r="I13" s="56">
        <v>31.691410000000001</v>
      </c>
      <c r="J13" s="56">
        <v>46.05104</v>
      </c>
      <c r="K13" s="56">
        <v>44.092230000000001</v>
      </c>
      <c r="L13" s="56">
        <v>65.825140000000005</v>
      </c>
      <c r="M13" s="56">
        <v>0</v>
      </c>
      <c r="N13" s="56">
        <v>0</v>
      </c>
      <c r="O13" s="56">
        <v>0</v>
      </c>
      <c r="P13" s="57">
        <v>355.36914000000002</v>
      </c>
      <c r="Q13" s="174">
        <v>1.0274298026119999</v>
      </c>
    </row>
    <row r="14" spans="1:17" ht="14.4" customHeight="1" x14ac:dyDescent="0.3">
      <c r="A14" s="19" t="s">
        <v>29</v>
      </c>
      <c r="B14" s="55">
        <v>985.28526246988395</v>
      </c>
      <c r="C14" s="56">
        <v>82.107105205823004</v>
      </c>
      <c r="D14" s="56">
        <v>109.203000000001</v>
      </c>
      <c r="E14" s="56">
        <v>93.686000000000007</v>
      </c>
      <c r="F14" s="56">
        <v>82.429000000000002</v>
      </c>
      <c r="G14" s="56">
        <v>67.644999999999996</v>
      </c>
      <c r="H14" s="56">
        <v>62.328000000000003</v>
      </c>
      <c r="I14" s="56">
        <v>48.914000000000001</v>
      </c>
      <c r="J14" s="56">
        <v>49.616999999999997</v>
      </c>
      <c r="K14" s="56">
        <v>45.622999999999998</v>
      </c>
      <c r="L14" s="56">
        <v>48.600999999999999</v>
      </c>
      <c r="M14" s="56">
        <v>0</v>
      </c>
      <c r="N14" s="56">
        <v>0</v>
      </c>
      <c r="O14" s="56">
        <v>0</v>
      </c>
      <c r="P14" s="57">
        <v>608.04600000000096</v>
      </c>
      <c r="Q14" s="174">
        <v>0.82283581301800002</v>
      </c>
    </row>
    <row r="15" spans="1:17" ht="14.4" customHeight="1" x14ac:dyDescent="0.3">
      <c r="A15" s="19" t="s">
        <v>30</v>
      </c>
      <c r="B15" s="55">
        <v>0.28993067455499999</v>
      </c>
      <c r="C15" s="56">
        <v>2.4160889546E-2</v>
      </c>
      <c r="D15" s="56">
        <v>22.720130000000001</v>
      </c>
      <c r="E15" s="56">
        <v>11.58343</v>
      </c>
      <c r="F15" s="56">
        <v>16.557780000000001</v>
      </c>
      <c r="G15" s="56">
        <v>6.31067</v>
      </c>
      <c r="H15" s="56">
        <v>28.701560000000001</v>
      </c>
      <c r="I15" s="56">
        <v>5.0619300000000003</v>
      </c>
      <c r="J15" s="56">
        <v>9.5255399999999995</v>
      </c>
      <c r="K15" s="56">
        <v>6.6486799999999997</v>
      </c>
      <c r="L15" s="56">
        <v>16.451080000000001</v>
      </c>
      <c r="M15" s="56">
        <v>0</v>
      </c>
      <c r="N15" s="56">
        <v>0</v>
      </c>
      <c r="O15" s="56">
        <v>0</v>
      </c>
      <c r="P15" s="57">
        <v>123.5608</v>
      </c>
      <c r="Q15" s="174">
        <v>568.23146976772705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306</v>
      </c>
    </row>
    <row r="17" spans="1:17" ht="14.4" customHeight="1" x14ac:dyDescent="0.3">
      <c r="A17" s="19" t="s">
        <v>32</v>
      </c>
      <c r="B17" s="55">
        <v>1207.37376973659</v>
      </c>
      <c r="C17" s="56">
        <v>100.61448081138199</v>
      </c>
      <c r="D17" s="56">
        <v>73.807910000000007</v>
      </c>
      <c r="E17" s="56">
        <v>26.416160000000001</v>
      </c>
      <c r="F17" s="56">
        <v>12.31387</v>
      </c>
      <c r="G17" s="56">
        <v>51.40146</v>
      </c>
      <c r="H17" s="56">
        <v>20.042490000000001</v>
      </c>
      <c r="I17" s="56">
        <v>74.739530000000002</v>
      </c>
      <c r="J17" s="56">
        <v>11.61017</v>
      </c>
      <c r="K17" s="56">
        <v>89.205449999999999</v>
      </c>
      <c r="L17" s="56">
        <v>23.75395</v>
      </c>
      <c r="M17" s="56">
        <v>0</v>
      </c>
      <c r="N17" s="56">
        <v>0</v>
      </c>
      <c r="O17" s="56">
        <v>0</v>
      </c>
      <c r="P17" s="57">
        <v>383.29099000000002</v>
      </c>
      <c r="Q17" s="174">
        <v>0.42327791620299998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4.8140000000000001</v>
      </c>
      <c r="E18" s="56">
        <v>2.5369999999999999</v>
      </c>
      <c r="F18" s="56">
        <v>3.8719999999999999</v>
      </c>
      <c r="G18" s="56">
        <v>3.8069999999999999</v>
      </c>
      <c r="H18" s="56">
        <v>7.2430000000000003</v>
      </c>
      <c r="I18" s="56">
        <v>22.138999999999999</v>
      </c>
      <c r="J18" s="56">
        <v>0</v>
      </c>
      <c r="K18" s="56">
        <v>0</v>
      </c>
      <c r="L18" s="56">
        <v>2.4039999999999999</v>
      </c>
      <c r="M18" s="56">
        <v>0</v>
      </c>
      <c r="N18" s="56">
        <v>0</v>
      </c>
      <c r="O18" s="56">
        <v>0</v>
      </c>
      <c r="P18" s="57">
        <v>46.816000000000003</v>
      </c>
      <c r="Q18" s="174" t="s">
        <v>306</v>
      </c>
    </row>
    <row r="19" spans="1:17" ht="14.4" customHeight="1" x14ac:dyDescent="0.3">
      <c r="A19" s="19" t="s">
        <v>34</v>
      </c>
      <c r="B19" s="55">
        <v>2091.3906806447299</v>
      </c>
      <c r="C19" s="56">
        <v>174.28255672039401</v>
      </c>
      <c r="D19" s="56">
        <v>118.454320000001</v>
      </c>
      <c r="E19" s="56">
        <v>109.30007000000001</v>
      </c>
      <c r="F19" s="56">
        <v>120.09728</v>
      </c>
      <c r="G19" s="56">
        <v>69.836370000000002</v>
      </c>
      <c r="H19" s="56">
        <v>182.86442</v>
      </c>
      <c r="I19" s="56">
        <v>367.65215000000001</v>
      </c>
      <c r="J19" s="56">
        <v>117.09218</v>
      </c>
      <c r="K19" s="56">
        <v>82.802499999999995</v>
      </c>
      <c r="L19" s="56">
        <v>171.26463000000001</v>
      </c>
      <c r="M19" s="56">
        <v>0</v>
      </c>
      <c r="N19" s="56">
        <v>0</v>
      </c>
      <c r="O19" s="56">
        <v>0</v>
      </c>
      <c r="P19" s="57">
        <v>1339.36392</v>
      </c>
      <c r="Q19" s="174">
        <v>0.85389046462100004</v>
      </c>
    </row>
    <row r="20" spans="1:17" ht="14.4" customHeight="1" x14ac:dyDescent="0.3">
      <c r="A20" s="19" t="s">
        <v>35</v>
      </c>
      <c r="B20" s="55">
        <v>39682.195760504997</v>
      </c>
      <c r="C20" s="56">
        <v>3306.8496467087498</v>
      </c>
      <c r="D20" s="56">
        <v>3135.54054000002</v>
      </c>
      <c r="E20" s="56">
        <v>3067.1609199999998</v>
      </c>
      <c r="F20" s="56">
        <v>3127.38474</v>
      </c>
      <c r="G20" s="56">
        <v>3015.2498900000001</v>
      </c>
      <c r="H20" s="56">
        <v>3218.86393</v>
      </c>
      <c r="I20" s="56">
        <v>3265.2202299999999</v>
      </c>
      <c r="J20" s="56">
        <v>4559.7138500000001</v>
      </c>
      <c r="K20" s="56">
        <v>3425.5178599999999</v>
      </c>
      <c r="L20" s="56">
        <v>3265.5466700000002</v>
      </c>
      <c r="M20" s="56">
        <v>0</v>
      </c>
      <c r="N20" s="56">
        <v>0</v>
      </c>
      <c r="O20" s="56">
        <v>0</v>
      </c>
      <c r="P20" s="57">
        <v>30080.198629999999</v>
      </c>
      <c r="Q20" s="174">
        <v>1.0107034335680001</v>
      </c>
    </row>
    <row r="21" spans="1:17" ht="14.4" customHeight="1" x14ac:dyDescent="0.3">
      <c r="A21" s="20" t="s">
        <v>36</v>
      </c>
      <c r="B21" s="55">
        <v>2721.9962620438</v>
      </c>
      <c r="C21" s="56">
        <v>226.83302183698299</v>
      </c>
      <c r="D21" s="56">
        <v>231.858000000001</v>
      </c>
      <c r="E21" s="56">
        <v>239.18100000000001</v>
      </c>
      <c r="F21" s="56">
        <v>229.65899999999999</v>
      </c>
      <c r="G21" s="56">
        <v>229.65799999999999</v>
      </c>
      <c r="H21" s="56">
        <v>229.65799999999999</v>
      </c>
      <c r="I21" s="56">
        <v>242.15799999999999</v>
      </c>
      <c r="J21" s="56">
        <v>230.06299999999999</v>
      </c>
      <c r="K21" s="56">
        <v>224.27099999999999</v>
      </c>
      <c r="L21" s="56">
        <v>224.27099999999999</v>
      </c>
      <c r="M21" s="56">
        <v>0</v>
      </c>
      <c r="N21" s="56">
        <v>0</v>
      </c>
      <c r="O21" s="56">
        <v>0</v>
      </c>
      <c r="P21" s="57">
        <v>2080.777</v>
      </c>
      <c r="Q21" s="174">
        <v>1.0192406844999999</v>
      </c>
    </row>
    <row r="22" spans="1:17" ht="14.4" customHeight="1" x14ac:dyDescent="0.3">
      <c r="A22" s="19" t="s">
        <v>37</v>
      </c>
      <c r="B22" s="55">
        <v>118</v>
      </c>
      <c r="C22" s="56">
        <v>9.833333333333</v>
      </c>
      <c r="D22" s="56">
        <v>0</v>
      </c>
      <c r="E22" s="56">
        <v>1.452</v>
      </c>
      <c r="F22" s="56">
        <v>30.771999999999998</v>
      </c>
      <c r="G22" s="56">
        <v>49.747459999999997</v>
      </c>
      <c r="H22" s="56">
        <v>69.657579999999996</v>
      </c>
      <c r="I22" s="56">
        <v>60</v>
      </c>
      <c r="J22" s="56">
        <v>65.855800000000002</v>
      </c>
      <c r="K22" s="56">
        <v>14.801</v>
      </c>
      <c r="L22" s="56">
        <v>20.846409999999999</v>
      </c>
      <c r="M22" s="56">
        <v>0</v>
      </c>
      <c r="N22" s="56">
        <v>0</v>
      </c>
      <c r="O22" s="56">
        <v>0</v>
      </c>
      <c r="P22" s="57">
        <v>313.13225</v>
      </c>
      <c r="Q22" s="174">
        <v>3.5382175141240002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306</v>
      </c>
    </row>
    <row r="24" spans="1:17" ht="14.4" customHeight="1" x14ac:dyDescent="0.3">
      <c r="A24" s="20" t="s">
        <v>39</v>
      </c>
      <c r="B24" s="55">
        <v>-7.2759576141834308E-12</v>
      </c>
      <c r="C24" s="56">
        <v>9.0949470177292804E-13</v>
      </c>
      <c r="D24" s="56">
        <v>3.9323000000000001</v>
      </c>
      <c r="E24" s="56">
        <v>3.9300599999979999</v>
      </c>
      <c r="F24" s="56">
        <v>7.3010799999989997</v>
      </c>
      <c r="G24" s="56">
        <v>17.316989999998999</v>
      </c>
      <c r="H24" s="56">
        <v>9.9112899999989992</v>
      </c>
      <c r="I24" s="56">
        <v>77.786849999999006</v>
      </c>
      <c r="J24" s="56">
        <v>1.219999998E-3</v>
      </c>
      <c r="K24" s="56">
        <v>1.5399999989999999E-3</v>
      </c>
      <c r="L24" s="56">
        <v>0.42597999999899999</v>
      </c>
      <c r="M24" s="56">
        <v>0</v>
      </c>
      <c r="N24" s="56">
        <v>0</v>
      </c>
      <c r="O24" s="56">
        <v>0</v>
      </c>
      <c r="P24" s="57">
        <v>120.607309999994</v>
      </c>
      <c r="Q24" s="174"/>
    </row>
    <row r="25" spans="1:17" ht="14.4" customHeight="1" x14ac:dyDescent="0.3">
      <c r="A25" s="21" t="s">
        <v>40</v>
      </c>
      <c r="B25" s="58">
        <v>55712.338482537802</v>
      </c>
      <c r="C25" s="59">
        <v>4642.6948735448104</v>
      </c>
      <c r="D25" s="59">
        <v>4215.5755000000199</v>
      </c>
      <c r="E25" s="59">
        <v>4236.0191800000002</v>
      </c>
      <c r="F25" s="59">
        <v>4230.0267800000001</v>
      </c>
      <c r="G25" s="59">
        <v>4094.7693199999999</v>
      </c>
      <c r="H25" s="59">
        <v>4608.0871399999996</v>
      </c>
      <c r="I25" s="59">
        <v>4886.3950800000002</v>
      </c>
      <c r="J25" s="59">
        <v>5790.4620599999998</v>
      </c>
      <c r="K25" s="59">
        <v>4690.6739299999999</v>
      </c>
      <c r="L25" s="59">
        <v>4316.7598799999996</v>
      </c>
      <c r="M25" s="59">
        <v>0</v>
      </c>
      <c r="N25" s="59">
        <v>0</v>
      </c>
      <c r="O25" s="59">
        <v>0</v>
      </c>
      <c r="P25" s="60">
        <v>41068.76887</v>
      </c>
      <c r="Q25" s="175">
        <v>0.98287668377899995</v>
      </c>
    </row>
    <row r="26" spans="1:17" ht="14.4" customHeight="1" x14ac:dyDescent="0.3">
      <c r="A26" s="19" t="s">
        <v>41</v>
      </c>
      <c r="B26" s="55">
        <v>6394.0059540686098</v>
      </c>
      <c r="C26" s="56">
        <v>532.83382950571797</v>
      </c>
      <c r="D26" s="56">
        <v>579.89972999999998</v>
      </c>
      <c r="E26" s="56">
        <v>548.07451000000003</v>
      </c>
      <c r="F26" s="56">
        <v>581.62392999999997</v>
      </c>
      <c r="G26" s="56">
        <v>529.69075999999995</v>
      </c>
      <c r="H26" s="56">
        <v>594.25468999999998</v>
      </c>
      <c r="I26" s="56">
        <v>537.35923000000003</v>
      </c>
      <c r="J26" s="56">
        <v>831.33919000000003</v>
      </c>
      <c r="K26" s="56">
        <v>552.39288999999997</v>
      </c>
      <c r="L26" s="56">
        <v>529.44892000000004</v>
      </c>
      <c r="M26" s="56">
        <v>0</v>
      </c>
      <c r="N26" s="56">
        <v>0</v>
      </c>
      <c r="O26" s="56">
        <v>0</v>
      </c>
      <c r="P26" s="57">
        <v>5284.08385</v>
      </c>
      <c r="Q26" s="174">
        <v>1.1018827920930001</v>
      </c>
    </row>
    <row r="27" spans="1:17" ht="14.4" customHeight="1" x14ac:dyDescent="0.3">
      <c r="A27" s="22" t="s">
        <v>42</v>
      </c>
      <c r="B27" s="58">
        <v>62106.3444366064</v>
      </c>
      <c r="C27" s="59">
        <v>5175.5287030505297</v>
      </c>
      <c r="D27" s="59">
        <v>4795.47523000002</v>
      </c>
      <c r="E27" s="59">
        <v>4784.0936899999997</v>
      </c>
      <c r="F27" s="59">
        <v>4811.6507099999999</v>
      </c>
      <c r="G27" s="59">
        <v>4624.4600799999998</v>
      </c>
      <c r="H27" s="59">
        <v>5202.3418300000003</v>
      </c>
      <c r="I27" s="59">
        <v>5423.7543100000003</v>
      </c>
      <c r="J27" s="59">
        <v>6621.8012500000004</v>
      </c>
      <c r="K27" s="59">
        <v>5243.06682</v>
      </c>
      <c r="L27" s="59">
        <v>4846.2088000000003</v>
      </c>
      <c r="M27" s="59">
        <v>0</v>
      </c>
      <c r="N27" s="59">
        <v>0</v>
      </c>
      <c r="O27" s="59">
        <v>0</v>
      </c>
      <c r="P27" s="60">
        <v>46352.852720000003</v>
      </c>
      <c r="Q27" s="175">
        <v>0.99512866498999997</v>
      </c>
    </row>
    <row r="28" spans="1:17" ht="14.4" customHeight="1" x14ac:dyDescent="0.3">
      <c r="A28" s="20" t="s">
        <v>43</v>
      </c>
      <c r="B28" s="55">
        <v>23.478623281265001</v>
      </c>
      <c r="C28" s="56">
        <v>1.956551940105</v>
      </c>
      <c r="D28" s="56">
        <v>0.14710000000000001</v>
      </c>
      <c r="E28" s="56">
        <v>0</v>
      </c>
      <c r="F28" s="56">
        <v>0</v>
      </c>
      <c r="G28" s="56">
        <v>0</v>
      </c>
      <c r="H28" s="56">
        <v>0</v>
      </c>
      <c r="I28" s="56">
        <v>-8.2769999999999992</v>
      </c>
      <c r="J28" s="56">
        <v>6.0505599999999999</v>
      </c>
      <c r="K28" s="56">
        <v>1.5311999999999999</v>
      </c>
      <c r="L28" s="56">
        <v>0</v>
      </c>
      <c r="M28" s="56">
        <v>0</v>
      </c>
      <c r="N28" s="56">
        <v>0</v>
      </c>
      <c r="O28" s="56">
        <v>0</v>
      </c>
      <c r="P28" s="57">
        <v>-0.54813999999899998</v>
      </c>
      <c r="Q28" s="174">
        <v>-3.1128457771000002E-2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306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9.1862600000000008</v>
      </c>
      <c r="E30" s="56">
        <v>5.2071500000000004</v>
      </c>
      <c r="F30" s="56">
        <v>19.570799999999998</v>
      </c>
      <c r="G30" s="56">
        <v>9.3969900000000006</v>
      </c>
      <c r="H30" s="56">
        <v>16.438749999999999</v>
      </c>
      <c r="I30" s="56">
        <v>11.986940000000001</v>
      </c>
      <c r="J30" s="56">
        <v>10.96551</v>
      </c>
      <c r="K30" s="56">
        <v>16.66188</v>
      </c>
      <c r="L30" s="56">
        <v>14.06368</v>
      </c>
      <c r="M30" s="56">
        <v>0</v>
      </c>
      <c r="N30" s="56">
        <v>0</v>
      </c>
      <c r="O30" s="56">
        <v>0</v>
      </c>
      <c r="P30" s="57">
        <v>113.47796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12.38</v>
      </c>
      <c r="G31" s="62">
        <v>28.111999999999998</v>
      </c>
      <c r="H31" s="62">
        <v>59.108800000000002</v>
      </c>
      <c r="I31" s="62">
        <v>61.384</v>
      </c>
      <c r="J31" s="62">
        <v>0</v>
      </c>
      <c r="K31" s="62">
        <v>9.58</v>
      </c>
      <c r="L31" s="62">
        <v>0</v>
      </c>
      <c r="M31" s="62">
        <v>0</v>
      </c>
      <c r="N31" s="62">
        <v>0</v>
      </c>
      <c r="O31" s="62">
        <v>0</v>
      </c>
      <c r="P31" s="63">
        <v>170.56479999999999</v>
      </c>
      <c r="Q31" s="176" t="s">
        <v>306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208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1" t="s">
        <v>48</v>
      </c>
      <c r="B1" s="461"/>
      <c r="C1" s="461"/>
      <c r="D1" s="461"/>
      <c r="E1" s="461"/>
      <c r="F1" s="461"/>
      <c r="G1" s="461"/>
      <c r="H1" s="466"/>
      <c r="I1" s="466"/>
      <c r="J1" s="466"/>
      <c r="K1" s="466"/>
    </row>
    <row r="2" spans="1:11" s="64" customFormat="1" ht="14.4" customHeight="1" thickBot="1" x14ac:dyDescent="0.35">
      <c r="A2" s="361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2" t="s">
        <v>49</v>
      </c>
      <c r="C3" s="463"/>
      <c r="D3" s="463"/>
      <c r="E3" s="463"/>
      <c r="F3" s="469" t="s">
        <v>50</v>
      </c>
      <c r="G3" s="463"/>
      <c r="H3" s="463"/>
      <c r="I3" s="463"/>
      <c r="J3" s="463"/>
      <c r="K3" s="470"/>
    </row>
    <row r="4" spans="1:11" ht="14.4" customHeight="1" x14ac:dyDescent="0.3">
      <c r="A4" s="93"/>
      <c r="B4" s="467"/>
      <c r="C4" s="468"/>
      <c r="D4" s="468"/>
      <c r="E4" s="468"/>
      <c r="F4" s="471" t="s">
        <v>199</v>
      </c>
      <c r="G4" s="473" t="s">
        <v>51</v>
      </c>
      <c r="H4" s="250" t="s">
        <v>164</v>
      </c>
      <c r="I4" s="471" t="s">
        <v>52</v>
      </c>
      <c r="J4" s="473" t="s">
        <v>201</v>
      </c>
      <c r="K4" s="474" t="s">
        <v>202</v>
      </c>
    </row>
    <row r="5" spans="1:11" ht="42" thickBot="1" x14ac:dyDescent="0.35">
      <c r="A5" s="94"/>
      <c r="B5" s="28" t="s">
        <v>195</v>
      </c>
      <c r="C5" s="29" t="s">
        <v>196</v>
      </c>
      <c r="D5" s="30" t="s">
        <v>197</v>
      </c>
      <c r="E5" s="30" t="s">
        <v>198</v>
      </c>
      <c r="F5" s="472"/>
      <c r="G5" s="472"/>
      <c r="H5" s="29" t="s">
        <v>200</v>
      </c>
      <c r="I5" s="472"/>
      <c r="J5" s="472"/>
      <c r="K5" s="475"/>
    </row>
    <row r="6" spans="1:11" ht="14.4" customHeight="1" thickBot="1" x14ac:dyDescent="0.35">
      <c r="A6" s="584" t="s">
        <v>308</v>
      </c>
      <c r="B6" s="566">
        <v>53105.9295782638</v>
      </c>
      <c r="C6" s="566">
        <v>56075.481899999999</v>
      </c>
      <c r="D6" s="567">
        <v>2969.5523217361902</v>
      </c>
      <c r="E6" s="568">
        <v>1.05591752833</v>
      </c>
      <c r="F6" s="566">
        <v>55712.338482537802</v>
      </c>
      <c r="G6" s="567">
        <v>41784.2538619033</v>
      </c>
      <c r="H6" s="569">
        <v>4316.7598799999996</v>
      </c>
      <c r="I6" s="566">
        <v>41068.76887</v>
      </c>
      <c r="J6" s="567">
        <v>-715.48499190331495</v>
      </c>
      <c r="K6" s="570">
        <v>0.73715751283399999</v>
      </c>
    </row>
    <row r="7" spans="1:11" ht="14.4" customHeight="1" thickBot="1" x14ac:dyDescent="0.35">
      <c r="A7" s="585" t="s">
        <v>309</v>
      </c>
      <c r="B7" s="566">
        <v>10111.7309011693</v>
      </c>
      <c r="C7" s="566">
        <v>9514.8864099999992</v>
      </c>
      <c r="D7" s="567">
        <v>-596.84449116929295</v>
      </c>
      <c r="E7" s="568">
        <v>0.940975042057</v>
      </c>
      <c r="F7" s="566">
        <v>9891.3820096076306</v>
      </c>
      <c r="G7" s="567">
        <v>7418.5365072057202</v>
      </c>
      <c r="H7" s="569">
        <v>608.24679000000003</v>
      </c>
      <c r="I7" s="566">
        <v>6775.6908000000003</v>
      </c>
      <c r="J7" s="567">
        <v>-642.84570720571605</v>
      </c>
      <c r="K7" s="570">
        <v>0.68500951569900004</v>
      </c>
    </row>
    <row r="8" spans="1:11" ht="14.4" customHeight="1" thickBot="1" x14ac:dyDescent="0.35">
      <c r="A8" s="586" t="s">
        <v>310</v>
      </c>
      <c r="B8" s="566">
        <v>9128.9975621083795</v>
      </c>
      <c r="C8" s="566">
        <v>8485.9621700000007</v>
      </c>
      <c r="D8" s="567">
        <v>-643.03539210837698</v>
      </c>
      <c r="E8" s="568">
        <v>0.92956122643899997</v>
      </c>
      <c r="F8" s="566">
        <v>8905.8068164631895</v>
      </c>
      <c r="G8" s="567">
        <v>6679.3551123473899</v>
      </c>
      <c r="H8" s="569">
        <v>543.19470999999999</v>
      </c>
      <c r="I8" s="566">
        <v>6044.0839999999998</v>
      </c>
      <c r="J8" s="567">
        <v>-635.27111234738697</v>
      </c>
      <c r="K8" s="570">
        <v>0.67866776413999996</v>
      </c>
    </row>
    <row r="9" spans="1:11" ht="14.4" customHeight="1" thickBot="1" x14ac:dyDescent="0.35">
      <c r="A9" s="587" t="s">
        <v>311</v>
      </c>
      <c r="B9" s="571">
        <v>0</v>
      </c>
      <c r="C9" s="571">
        <v>4.2999999989999996E-3</v>
      </c>
      <c r="D9" s="572">
        <v>4.2999999989999996E-3</v>
      </c>
      <c r="E9" s="573" t="s">
        <v>312</v>
      </c>
      <c r="F9" s="571">
        <v>0</v>
      </c>
      <c r="G9" s="572">
        <v>0</v>
      </c>
      <c r="H9" s="574">
        <v>-4.4999999999999999E-4</v>
      </c>
      <c r="I9" s="571">
        <v>4.0299999999999997E-3</v>
      </c>
      <c r="J9" s="572">
        <v>4.0299999999999997E-3</v>
      </c>
      <c r="K9" s="575" t="s">
        <v>306</v>
      </c>
    </row>
    <row r="10" spans="1:11" ht="14.4" customHeight="1" thickBot="1" x14ac:dyDescent="0.35">
      <c r="A10" s="588" t="s">
        <v>313</v>
      </c>
      <c r="B10" s="566">
        <v>0</v>
      </c>
      <c r="C10" s="566">
        <v>4.2999999989999996E-3</v>
      </c>
      <c r="D10" s="567">
        <v>4.2999999989999996E-3</v>
      </c>
      <c r="E10" s="576" t="s">
        <v>312</v>
      </c>
      <c r="F10" s="566">
        <v>0</v>
      </c>
      <c r="G10" s="567">
        <v>0</v>
      </c>
      <c r="H10" s="569">
        <v>-4.4999999999999999E-4</v>
      </c>
      <c r="I10" s="566">
        <v>4.0299999999999997E-3</v>
      </c>
      <c r="J10" s="567">
        <v>4.0299999999999997E-3</v>
      </c>
      <c r="K10" s="577" t="s">
        <v>306</v>
      </c>
    </row>
    <row r="11" spans="1:11" ht="14.4" customHeight="1" thickBot="1" x14ac:dyDescent="0.35">
      <c r="A11" s="587" t="s">
        <v>314</v>
      </c>
      <c r="B11" s="571">
        <v>3366.9724761451898</v>
      </c>
      <c r="C11" s="571">
        <v>2553.1788299999998</v>
      </c>
      <c r="D11" s="572">
        <v>-813.79364614518499</v>
      </c>
      <c r="E11" s="578">
        <v>0.75830106960699994</v>
      </c>
      <c r="F11" s="571">
        <v>2460.0731170639301</v>
      </c>
      <c r="G11" s="572">
        <v>1845.0548377979501</v>
      </c>
      <c r="H11" s="574">
        <v>109.26591000000001</v>
      </c>
      <c r="I11" s="571">
        <v>1766.4666099999999</v>
      </c>
      <c r="J11" s="572">
        <v>-78.588227797946999</v>
      </c>
      <c r="K11" s="579">
        <v>0.71805451543099996</v>
      </c>
    </row>
    <row r="12" spans="1:11" ht="14.4" customHeight="1" thickBot="1" x14ac:dyDescent="0.35">
      <c r="A12" s="588" t="s">
        <v>315</v>
      </c>
      <c r="B12" s="566">
        <v>2072.82504820435</v>
      </c>
      <c r="C12" s="566">
        <v>1767.8064300000001</v>
      </c>
      <c r="D12" s="567">
        <v>-305.01861820435101</v>
      </c>
      <c r="E12" s="568">
        <v>0.85284883619600005</v>
      </c>
      <c r="F12" s="566">
        <v>1743.00455479979</v>
      </c>
      <c r="G12" s="567">
        <v>1307.25341609984</v>
      </c>
      <c r="H12" s="569">
        <v>74.893370000000004</v>
      </c>
      <c r="I12" s="566">
        <v>1189.6060500000001</v>
      </c>
      <c r="J12" s="567">
        <v>-117.64736609984401</v>
      </c>
      <c r="K12" s="570">
        <v>0.68250312182100004</v>
      </c>
    </row>
    <row r="13" spans="1:11" ht="14.4" customHeight="1" thickBot="1" x14ac:dyDescent="0.35">
      <c r="A13" s="588" t="s">
        <v>316</v>
      </c>
      <c r="B13" s="566">
        <v>353.27864921243503</v>
      </c>
      <c r="C13" s="566">
        <v>190.74821</v>
      </c>
      <c r="D13" s="567">
        <v>-162.530439212435</v>
      </c>
      <c r="E13" s="568">
        <v>0.53993698862100004</v>
      </c>
      <c r="F13" s="566">
        <v>227.46322933858701</v>
      </c>
      <c r="G13" s="567">
        <v>170.59742200394001</v>
      </c>
      <c r="H13" s="569">
        <v>6.3346099999990004</v>
      </c>
      <c r="I13" s="566">
        <v>87.197710000000001</v>
      </c>
      <c r="J13" s="567">
        <v>-83.399712003939996</v>
      </c>
      <c r="K13" s="570">
        <v>0.38334859772000002</v>
      </c>
    </row>
    <row r="14" spans="1:11" ht="14.4" customHeight="1" thickBot="1" x14ac:dyDescent="0.35">
      <c r="A14" s="588" t="s">
        <v>317</v>
      </c>
      <c r="B14" s="566">
        <v>50.998433645429003</v>
      </c>
      <c r="C14" s="566">
        <v>28.543990000000001</v>
      </c>
      <c r="D14" s="567">
        <v>-22.454443645428999</v>
      </c>
      <c r="E14" s="568">
        <v>0.55970326850499996</v>
      </c>
      <c r="F14" s="566">
        <v>29.000254639383002</v>
      </c>
      <c r="G14" s="567">
        <v>21.750190979536999</v>
      </c>
      <c r="H14" s="569">
        <v>0</v>
      </c>
      <c r="I14" s="566">
        <v>20.892779999999998</v>
      </c>
      <c r="J14" s="567">
        <v>-0.85741097953699996</v>
      </c>
      <c r="K14" s="570">
        <v>0.72043436375900005</v>
      </c>
    </row>
    <row r="15" spans="1:11" ht="14.4" customHeight="1" thickBot="1" x14ac:dyDescent="0.35">
      <c r="A15" s="588" t="s">
        <v>318</v>
      </c>
      <c r="B15" s="566">
        <v>247.89090505725099</v>
      </c>
      <c r="C15" s="566">
        <v>153.97035</v>
      </c>
      <c r="D15" s="567">
        <v>-93.920555057249999</v>
      </c>
      <c r="E15" s="568">
        <v>0.62112141615000005</v>
      </c>
      <c r="F15" s="566">
        <v>171.44073677431899</v>
      </c>
      <c r="G15" s="567">
        <v>128.58055258074</v>
      </c>
      <c r="H15" s="569">
        <v>2.0102199999999999</v>
      </c>
      <c r="I15" s="566">
        <v>97.846279999999993</v>
      </c>
      <c r="J15" s="567">
        <v>-30.734272580738999</v>
      </c>
      <c r="K15" s="570">
        <v>0.570729465125</v>
      </c>
    </row>
    <row r="16" spans="1:11" ht="14.4" customHeight="1" thickBot="1" x14ac:dyDescent="0.35">
      <c r="A16" s="588" t="s">
        <v>319</v>
      </c>
      <c r="B16" s="566">
        <v>26.92859979544</v>
      </c>
      <c r="C16" s="566">
        <v>17.018969999999999</v>
      </c>
      <c r="D16" s="567">
        <v>-9.9096297954400008</v>
      </c>
      <c r="E16" s="568">
        <v>0.63200352522100001</v>
      </c>
      <c r="F16" s="566">
        <v>8.5005763261750005</v>
      </c>
      <c r="G16" s="567">
        <v>6.3754322446309999</v>
      </c>
      <c r="H16" s="569">
        <v>9.3179999999999999E-2</v>
      </c>
      <c r="I16" s="566">
        <v>5.8079999999999998</v>
      </c>
      <c r="J16" s="567">
        <v>-0.56743224463099995</v>
      </c>
      <c r="K16" s="570">
        <v>0.68324779134199998</v>
      </c>
    </row>
    <row r="17" spans="1:11" ht="14.4" customHeight="1" thickBot="1" x14ac:dyDescent="0.35">
      <c r="A17" s="588" t="s">
        <v>320</v>
      </c>
      <c r="B17" s="566">
        <v>47.999999999997002</v>
      </c>
      <c r="C17" s="566">
        <v>101.73084</v>
      </c>
      <c r="D17" s="567">
        <v>53.730840000001997</v>
      </c>
      <c r="E17" s="568">
        <v>2.1193925</v>
      </c>
      <c r="F17" s="566">
        <v>0</v>
      </c>
      <c r="G17" s="567">
        <v>0</v>
      </c>
      <c r="H17" s="569">
        <v>0</v>
      </c>
      <c r="I17" s="566">
        <v>0</v>
      </c>
      <c r="J17" s="567">
        <v>0</v>
      </c>
      <c r="K17" s="577" t="s">
        <v>306</v>
      </c>
    </row>
    <row r="18" spans="1:11" ht="14.4" customHeight="1" thickBot="1" x14ac:dyDescent="0.35">
      <c r="A18" s="588" t="s">
        <v>321</v>
      </c>
      <c r="B18" s="566">
        <v>567.05084023028098</v>
      </c>
      <c r="C18" s="566">
        <v>293.36004000000003</v>
      </c>
      <c r="D18" s="567">
        <v>-273.69080023028101</v>
      </c>
      <c r="E18" s="568">
        <v>0.51734345350900002</v>
      </c>
      <c r="F18" s="566">
        <v>280.66376518567301</v>
      </c>
      <c r="G18" s="567">
        <v>210.49782388925499</v>
      </c>
      <c r="H18" s="569">
        <v>25.934529999999999</v>
      </c>
      <c r="I18" s="566">
        <v>365.11579</v>
      </c>
      <c r="J18" s="567">
        <v>154.61796611074499</v>
      </c>
      <c r="K18" s="570">
        <v>1.3009010613050001</v>
      </c>
    </row>
    <row r="19" spans="1:11" ht="14.4" customHeight="1" thickBot="1" x14ac:dyDescent="0.35">
      <c r="A19" s="587" t="s">
        <v>322</v>
      </c>
      <c r="B19" s="571">
        <v>425.007633862018</v>
      </c>
      <c r="C19" s="571">
        <v>424.767</v>
      </c>
      <c r="D19" s="572">
        <v>-0.24063386201699999</v>
      </c>
      <c r="E19" s="578">
        <v>0.99943381284699995</v>
      </c>
      <c r="F19" s="571">
        <v>427.69522588613199</v>
      </c>
      <c r="G19" s="572">
        <v>320.77141941459899</v>
      </c>
      <c r="H19" s="574">
        <v>9.0530000000000008</v>
      </c>
      <c r="I19" s="571">
        <v>268.46899999999999</v>
      </c>
      <c r="J19" s="572">
        <v>-52.302419414599001</v>
      </c>
      <c r="K19" s="579">
        <v>0.62771100482499997</v>
      </c>
    </row>
    <row r="20" spans="1:11" ht="14.4" customHeight="1" thickBot="1" x14ac:dyDescent="0.35">
      <c r="A20" s="588" t="s">
        <v>323</v>
      </c>
      <c r="B20" s="566">
        <v>418.00750812782002</v>
      </c>
      <c r="C20" s="566">
        <v>412.12700000000001</v>
      </c>
      <c r="D20" s="567">
        <v>-5.8805081278189997</v>
      </c>
      <c r="E20" s="568">
        <v>0.98593205142600004</v>
      </c>
      <c r="F20" s="566">
        <v>414.99754107842602</v>
      </c>
      <c r="G20" s="567">
        <v>311.24815580881898</v>
      </c>
      <c r="H20" s="569">
        <v>9.0530000000000008</v>
      </c>
      <c r="I20" s="566">
        <v>252.036</v>
      </c>
      <c r="J20" s="567">
        <v>-59.212155808818999</v>
      </c>
      <c r="K20" s="570">
        <v>0.60731926108500001</v>
      </c>
    </row>
    <row r="21" spans="1:11" ht="14.4" customHeight="1" thickBot="1" x14ac:dyDescent="0.35">
      <c r="A21" s="588" t="s">
        <v>324</v>
      </c>
      <c r="B21" s="566">
        <v>7.0001257341969998</v>
      </c>
      <c r="C21" s="566">
        <v>12.64</v>
      </c>
      <c r="D21" s="567">
        <v>5.6398742658019998</v>
      </c>
      <c r="E21" s="568">
        <v>1.805681852005</v>
      </c>
      <c r="F21" s="566">
        <v>12.697684807706</v>
      </c>
      <c r="G21" s="567">
        <v>9.5232636057800004</v>
      </c>
      <c r="H21" s="569">
        <v>0</v>
      </c>
      <c r="I21" s="566">
        <v>16.433</v>
      </c>
      <c r="J21" s="567">
        <v>6.9097363942190002</v>
      </c>
      <c r="K21" s="570">
        <v>1.2941729337950001</v>
      </c>
    </row>
    <row r="22" spans="1:11" ht="14.4" customHeight="1" thickBot="1" x14ac:dyDescent="0.35">
      <c r="A22" s="587" t="s">
        <v>325</v>
      </c>
      <c r="B22" s="571">
        <v>3691.1343979625299</v>
      </c>
      <c r="C22" s="571">
        <v>3346.5255200000001</v>
      </c>
      <c r="D22" s="572">
        <v>-344.60887796253201</v>
      </c>
      <c r="E22" s="578">
        <v>0.90663876174400004</v>
      </c>
      <c r="F22" s="571">
        <v>4293.9194465689898</v>
      </c>
      <c r="G22" s="572">
        <v>3220.4395849267398</v>
      </c>
      <c r="H22" s="574">
        <v>260.53629000000001</v>
      </c>
      <c r="I22" s="571">
        <v>2705.20748</v>
      </c>
      <c r="J22" s="572">
        <v>-515.23210492674104</v>
      </c>
      <c r="K22" s="579">
        <v>0.63000890297500001</v>
      </c>
    </row>
    <row r="23" spans="1:11" ht="14.4" customHeight="1" thickBot="1" x14ac:dyDescent="0.35">
      <c r="A23" s="588" t="s">
        <v>326</v>
      </c>
      <c r="B23" s="566">
        <v>0</v>
      </c>
      <c r="C23" s="566">
        <v>0</v>
      </c>
      <c r="D23" s="567">
        <v>0</v>
      </c>
      <c r="E23" s="568">
        <v>1</v>
      </c>
      <c r="F23" s="566">
        <v>0</v>
      </c>
      <c r="G23" s="567">
        <v>0</v>
      </c>
      <c r="H23" s="569">
        <v>0</v>
      </c>
      <c r="I23" s="566">
        <v>0.495</v>
      </c>
      <c r="J23" s="567">
        <v>0.495</v>
      </c>
      <c r="K23" s="577" t="s">
        <v>312</v>
      </c>
    </row>
    <row r="24" spans="1:11" ht="14.4" customHeight="1" thickBot="1" x14ac:dyDescent="0.35">
      <c r="A24" s="588" t="s">
        <v>327</v>
      </c>
      <c r="B24" s="566">
        <v>381.54791872101401</v>
      </c>
      <c r="C24" s="566">
        <v>331.07951000000003</v>
      </c>
      <c r="D24" s="567">
        <v>-50.468408721012999</v>
      </c>
      <c r="E24" s="568">
        <v>0.86772720739700004</v>
      </c>
      <c r="F24" s="566">
        <v>538.07915933653203</v>
      </c>
      <c r="G24" s="567">
        <v>403.55936950239902</v>
      </c>
      <c r="H24" s="569">
        <v>16.333400000000001</v>
      </c>
      <c r="I24" s="566">
        <v>308.26803999999998</v>
      </c>
      <c r="J24" s="567">
        <v>-95.291329502398995</v>
      </c>
      <c r="K24" s="570">
        <v>0.57290462685800003</v>
      </c>
    </row>
    <row r="25" spans="1:11" ht="14.4" customHeight="1" thickBot="1" x14ac:dyDescent="0.35">
      <c r="A25" s="588" t="s">
        <v>328</v>
      </c>
      <c r="B25" s="566">
        <v>14.249097475491</v>
      </c>
      <c r="C25" s="566">
        <v>5.3289400000000002</v>
      </c>
      <c r="D25" s="567">
        <v>-8.9201574754900008</v>
      </c>
      <c r="E25" s="568">
        <v>0.37398438807500001</v>
      </c>
      <c r="F25" s="566">
        <v>5.329276886113</v>
      </c>
      <c r="G25" s="567">
        <v>3.9969576645839999</v>
      </c>
      <c r="H25" s="569">
        <v>0</v>
      </c>
      <c r="I25" s="566">
        <v>2.6819700000000002</v>
      </c>
      <c r="J25" s="567">
        <v>-1.314987664584</v>
      </c>
      <c r="K25" s="570">
        <v>0.50325214045199995</v>
      </c>
    </row>
    <row r="26" spans="1:11" ht="14.4" customHeight="1" thickBot="1" x14ac:dyDescent="0.35">
      <c r="A26" s="588" t="s">
        <v>329</v>
      </c>
      <c r="B26" s="566">
        <v>226.22511154199199</v>
      </c>
      <c r="C26" s="566">
        <v>154.47793999999999</v>
      </c>
      <c r="D26" s="567">
        <v>-71.747171541992003</v>
      </c>
      <c r="E26" s="568">
        <v>0.68285054186500005</v>
      </c>
      <c r="F26" s="566">
        <v>161.82924209274901</v>
      </c>
      <c r="G26" s="567">
        <v>121.371931569561</v>
      </c>
      <c r="H26" s="569">
        <v>13.157690000000001</v>
      </c>
      <c r="I26" s="566">
        <v>125.9118</v>
      </c>
      <c r="J26" s="567">
        <v>4.5398684304380001</v>
      </c>
      <c r="K26" s="570">
        <v>0.77805344925099995</v>
      </c>
    </row>
    <row r="27" spans="1:11" ht="14.4" customHeight="1" thickBot="1" x14ac:dyDescent="0.35">
      <c r="A27" s="588" t="s">
        <v>330</v>
      </c>
      <c r="B27" s="566">
        <v>2603.88097137877</v>
      </c>
      <c r="C27" s="566">
        <v>2511.4829</v>
      </c>
      <c r="D27" s="567">
        <v>-92.398071378772002</v>
      </c>
      <c r="E27" s="568">
        <v>0.96451524766499996</v>
      </c>
      <c r="F27" s="566">
        <v>3239.8206221093501</v>
      </c>
      <c r="G27" s="567">
        <v>2429.86546658201</v>
      </c>
      <c r="H27" s="569">
        <v>215.46181000000001</v>
      </c>
      <c r="I27" s="566">
        <v>2070.9558900000002</v>
      </c>
      <c r="J27" s="567">
        <v>-358.90957658201103</v>
      </c>
      <c r="K27" s="570">
        <v>0.63921930611400002</v>
      </c>
    </row>
    <row r="28" spans="1:11" ht="14.4" customHeight="1" thickBot="1" x14ac:dyDescent="0.35">
      <c r="A28" s="588" t="s">
        <v>331</v>
      </c>
      <c r="B28" s="566">
        <v>86.859171225549005</v>
      </c>
      <c r="C28" s="566">
        <v>72.804969999999997</v>
      </c>
      <c r="D28" s="567">
        <v>-14.054201225549001</v>
      </c>
      <c r="E28" s="568">
        <v>0.83819554081299996</v>
      </c>
      <c r="F28" s="566">
        <v>71.321523145403006</v>
      </c>
      <c r="G28" s="567">
        <v>53.491142359051999</v>
      </c>
      <c r="H28" s="569">
        <v>0.21</v>
      </c>
      <c r="I28" s="566">
        <v>24.211569999999998</v>
      </c>
      <c r="J28" s="567">
        <v>-29.279572359052001</v>
      </c>
      <c r="K28" s="570">
        <v>0.33947073663299998</v>
      </c>
    </row>
    <row r="29" spans="1:11" ht="14.4" customHeight="1" thickBot="1" x14ac:dyDescent="0.35">
      <c r="A29" s="588" t="s">
        <v>332</v>
      </c>
      <c r="B29" s="566">
        <v>9.5001873979690004</v>
      </c>
      <c r="C29" s="566">
        <v>8.0026700000000002</v>
      </c>
      <c r="D29" s="567">
        <v>-1.497517397969</v>
      </c>
      <c r="E29" s="568">
        <v>0.84236969911799997</v>
      </c>
      <c r="F29" s="566">
        <v>7.8459759217849996</v>
      </c>
      <c r="G29" s="567">
        <v>5.8844819413389997</v>
      </c>
      <c r="H29" s="569">
        <v>0.66688999999999998</v>
      </c>
      <c r="I29" s="566">
        <v>3.3344399999999998</v>
      </c>
      <c r="J29" s="567">
        <v>-2.5500419413389999</v>
      </c>
      <c r="K29" s="570">
        <v>0.42498728433999999</v>
      </c>
    </row>
    <row r="30" spans="1:11" ht="14.4" customHeight="1" thickBot="1" x14ac:dyDescent="0.35">
      <c r="A30" s="588" t="s">
        <v>333</v>
      </c>
      <c r="B30" s="566">
        <v>8.5511177046690001</v>
      </c>
      <c r="C30" s="566">
        <v>7.1442600000000001</v>
      </c>
      <c r="D30" s="567">
        <v>-1.4068577046690001</v>
      </c>
      <c r="E30" s="568">
        <v>0.83547674663600002</v>
      </c>
      <c r="F30" s="566">
        <v>7.3286945400760004</v>
      </c>
      <c r="G30" s="567">
        <v>5.4965209050570003</v>
      </c>
      <c r="H30" s="569">
        <v>0.52100000000000002</v>
      </c>
      <c r="I30" s="566">
        <v>7.2360199999999999</v>
      </c>
      <c r="J30" s="567">
        <v>1.7394990949419999</v>
      </c>
      <c r="K30" s="570">
        <v>0.98735456368499996</v>
      </c>
    </row>
    <row r="31" spans="1:11" ht="14.4" customHeight="1" thickBot="1" x14ac:dyDescent="0.35">
      <c r="A31" s="588" t="s">
        <v>334</v>
      </c>
      <c r="B31" s="566">
        <v>150.77807599120899</v>
      </c>
      <c r="C31" s="566">
        <v>152.40011999999999</v>
      </c>
      <c r="D31" s="567">
        <v>1.622044008791</v>
      </c>
      <c r="E31" s="568">
        <v>1.0107578240270001</v>
      </c>
      <c r="F31" s="566">
        <v>154.556655061908</v>
      </c>
      <c r="G31" s="567">
        <v>115.917491296431</v>
      </c>
      <c r="H31" s="569">
        <v>10.0715</v>
      </c>
      <c r="I31" s="566">
        <v>97.855689999999996</v>
      </c>
      <c r="J31" s="567">
        <v>-18.061801296430001</v>
      </c>
      <c r="K31" s="570">
        <v>0.63313799047200003</v>
      </c>
    </row>
    <row r="32" spans="1:11" ht="14.4" customHeight="1" thickBot="1" x14ac:dyDescent="0.35">
      <c r="A32" s="588" t="s">
        <v>335</v>
      </c>
      <c r="B32" s="566">
        <v>209.542746525865</v>
      </c>
      <c r="C32" s="566">
        <v>103.5881</v>
      </c>
      <c r="D32" s="567">
        <v>-105.954646525865</v>
      </c>
      <c r="E32" s="568">
        <v>0.494353069802</v>
      </c>
      <c r="F32" s="566">
        <v>107.587622938149</v>
      </c>
      <c r="G32" s="567">
        <v>80.690717203611996</v>
      </c>
      <c r="H32" s="569">
        <v>4.1139999999999999</v>
      </c>
      <c r="I32" s="566">
        <v>64.257059999999996</v>
      </c>
      <c r="J32" s="567">
        <v>-16.433657203612</v>
      </c>
      <c r="K32" s="570">
        <v>0.59725327361199998</v>
      </c>
    </row>
    <row r="33" spans="1:11" ht="14.4" customHeight="1" thickBot="1" x14ac:dyDescent="0.35">
      <c r="A33" s="588" t="s">
        <v>336</v>
      </c>
      <c r="B33" s="566">
        <v>0</v>
      </c>
      <c r="C33" s="566">
        <v>0.21611</v>
      </c>
      <c r="D33" s="567">
        <v>0.21611</v>
      </c>
      <c r="E33" s="576" t="s">
        <v>312</v>
      </c>
      <c r="F33" s="566">
        <v>0.22067453692399999</v>
      </c>
      <c r="G33" s="567">
        <v>0.165505902693</v>
      </c>
      <c r="H33" s="569">
        <v>0</v>
      </c>
      <c r="I33" s="566">
        <v>0</v>
      </c>
      <c r="J33" s="567">
        <v>-0.165505902693</v>
      </c>
      <c r="K33" s="570">
        <v>0</v>
      </c>
    </row>
    <row r="34" spans="1:11" ht="14.4" customHeight="1" thickBot="1" x14ac:dyDescent="0.35">
      <c r="A34" s="587" t="s">
        <v>337</v>
      </c>
      <c r="B34" s="571">
        <v>288.373608804215</v>
      </c>
      <c r="C34" s="571">
        <v>316.86631999999997</v>
      </c>
      <c r="D34" s="572">
        <v>28.492711195784999</v>
      </c>
      <c r="E34" s="578">
        <v>1.098804850117</v>
      </c>
      <c r="F34" s="571">
        <v>342.86339678123397</v>
      </c>
      <c r="G34" s="572">
        <v>257.14754758592602</v>
      </c>
      <c r="H34" s="574">
        <v>24.130579999999998</v>
      </c>
      <c r="I34" s="571">
        <v>210.18338</v>
      </c>
      <c r="J34" s="572">
        <v>-46.964167585924997</v>
      </c>
      <c r="K34" s="579">
        <v>0.61302367640599997</v>
      </c>
    </row>
    <row r="35" spans="1:11" ht="14.4" customHeight="1" thickBot="1" x14ac:dyDescent="0.35">
      <c r="A35" s="588" t="s">
        <v>338</v>
      </c>
      <c r="B35" s="566">
        <v>49.699651985334</v>
      </c>
      <c r="C35" s="566">
        <v>63.1875</v>
      </c>
      <c r="D35" s="567">
        <v>13.487848014664999</v>
      </c>
      <c r="E35" s="568">
        <v>1.271387172261</v>
      </c>
      <c r="F35" s="566">
        <v>89.999682588785006</v>
      </c>
      <c r="G35" s="567">
        <v>67.499761941589</v>
      </c>
      <c r="H35" s="569">
        <v>5.8096699999999997</v>
      </c>
      <c r="I35" s="566">
        <v>53.4786</v>
      </c>
      <c r="J35" s="567">
        <v>-14.021161941589</v>
      </c>
      <c r="K35" s="570">
        <v>0.59420876231599995</v>
      </c>
    </row>
    <row r="36" spans="1:11" ht="14.4" customHeight="1" thickBot="1" x14ac:dyDescent="0.35">
      <c r="A36" s="588" t="s">
        <v>339</v>
      </c>
      <c r="B36" s="566">
        <v>17.999377194344</v>
      </c>
      <c r="C36" s="566">
        <v>20.973050000000001</v>
      </c>
      <c r="D36" s="567">
        <v>2.9736728056550001</v>
      </c>
      <c r="E36" s="568">
        <v>1.1652097610679999</v>
      </c>
      <c r="F36" s="566">
        <v>24.999911830218</v>
      </c>
      <c r="G36" s="567">
        <v>18.749933872663</v>
      </c>
      <c r="H36" s="569">
        <v>1.05985</v>
      </c>
      <c r="I36" s="566">
        <v>13.6281</v>
      </c>
      <c r="J36" s="567">
        <v>-5.1218338726630002</v>
      </c>
      <c r="K36" s="570">
        <v>0.54512592254500003</v>
      </c>
    </row>
    <row r="37" spans="1:11" ht="14.4" customHeight="1" thickBot="1" x14ac:dyDescent="0.35">
      <c r="A37" s="588" t="s">
        <v>340</v>
      </c>
      <c r="B37" s="566">
        <v>220.67457962453599</v>
      </c>
      <c r="C37" s="566">
        <v>229.40013999999999</v>
      </c>
      <c r="D37" s="567">
        <v>8.7255603754639992</v>
      </c>
      <c r="E37" s="568">
        <v>1.0395403964979999</v>
      </c>
      <c r="F37" s="566">
        <v>227.86380236222999</v>
      </c>
      <c r="G37" s="567">
        <v>170.897851771673</v>
      </c>
      <c r="H37" s="569">
        <v>17.261060000000001</v>
      </c>
      <c r="I37" s="566">
        <v>142.35572999999999</v>
      </c>
      <c r="J37" s="567">
        <v>-28.542121771672001</v>
      </c>
      <c r="K37" s="570">
        <v>0.62474043057299999</v>
      </c>
    </row>
    <row r="38" spans="1:11" ht="14.4" customHeight="1" thickBot="1" x14ac:dyDescent="0.35">
      <c r="A38" s="588" t="s">
        <v>341</v>
      </c>
      <c r="B38" s="566">
        <v>0</v>
      </c>
      <c r="C38" s="566">
        <v>3.3056299999999998</v>
      </c>
      <c r="D38" s="567">
        <v>3.3056299999999998</v>
      </c>
      <c r="E38" s="576" t="s">
        <v>306</v>
      </c>
      <c r="F38" s="566">
        <v>0</v>
      </c>
      <c r="G38" s="567">
        <v>0</v>
      </c>
      <c r="H38" s="569">
        <v>0</v>
      </c>
      <c r="I38" s="566">
        <v>0.72094999999999998</v>
      </c>
      <c r="J38" s="567">
        <v>0.72094999999999998</v>
      </c>
      <c r="K38" s="577" t="s">
        <v>306</v>
      </c>
    </row>
    <row r="39" spans="1:11" ht="14.4" customHeight="1" thickBot="1" x14ac:dyDescent="0.35">
      <c r="A39" s="587" t="s">
        <v>342</v>
      </c>
      <c r="B39" s="571">
        <v>565.81749307375003</v>
      </c>
      <c r="C39" s="571">
        <v>711.33171000000004</v>
      </c>
      <c r="D39" s="572">
        <v>145.51421692624999</v>
      </c>
      <c r="E39" s="578">
        <v>1.257175182293</v>
      </c>
      <c r="F39" s="571">
        <v>732.36899488167398</v>
      </c>
      <c r="G39" s="572">
        <v>549.27674616125501</v>
      </c>
      <c r="H39" s="574">
        <v>63.173360000000002</v>
      </c>
      <c r="I39" s="571">
        <v>486.25168000000002</v>
      </c>
      <c r="J39" s="572">
        <v>-63.025066161254998</v>
      </c>
      <c r="K39" s="579">
        <v>0.663943563146</v>
      </c>
    </row>
    <row r="40" spans="1:11" ht="14.4" customHeight="1" thickBot="1" x14ac:dyDescent="0.35">
      <c r="A40" s="588" t="s">
        <v>343</v>
      </c>
      <c r="B40" s="566">
        <v>114.79557481861499</v>
      </c>
      <c r="C40" s="566">
        <v>77.208729999998994</v>
      </c>
      <c r="D40" s="567">
        <v>-37.586844818614999</v>
      </c>
      <c r="E40" s="568">
        <v>0.67257583858900005</v>
      </c>
      <c r="F40" s="566">
        <v>89.106995610298</v>
      </c>
      <c r="G40" s="567">
        <v>66.830246707723006</v>
      </c>
      <c r="H40" s="569">
        <v>0</v>
      </c>
      <c r="I40" s="566">
        <v>9.34694</v>
      </c>
      <c r="J40" s="567">
        <v>-57.483306707723003</v>
      </c>
      <c r="K40" s="570">
        <v>0.104895692375</v>
      </c>
    </row>
    <row r="41" spans="1:11" ht="14.4" customHeight="1" thickBot="1" x14ac:dyDescent="0.35">
      <c r="A41" s="588" t="s">
        <v>344</v>
      </c>
      <c r="B41" s="566">
        <v>24.793124885484001</v>
      </c>
      <c r="C41" s="566">
        <v>18.921600000000002</v>
      </c>
      <c r="D41" s="567">
        <v>-5.8715248854839999</v>
      </c>
      <c r="E41" s="568">
        <v>0.76317931230500002</v>
      </c>
      <c r="F41" s="566">
        <v>17.419294411065</v>
      </c>
      <c r="G41" s="567">
        <v>13.064470808298999</v>
      </c>
      <c r="H41" s="569">
        <v>1.9823500000000001</v>
      </c>
      <c r="I41" s="566">
        <v>12.87354</v>
      </c>
      <c r="J41" s="567">
        <v>-0.190930808299</v>
      </c>
      <c r="K41" s="570">
        <v>0.73903911927800003</v>
      </c>
    </row>
    <row r="42" spans="1:11" ht="14.4" customHeight="1" thickBot="1" x14ac:dyDescent="0.35">
      <c r="A42" s="588" t="s">
        <v>345</v>
      </c>
      <c r="B42" s="566">
        <v>290.34173156948799</v>
      </c>
      <c r="C42" s="566">
        <v>372.73777999999999</v>
      </c>
      <c r="D42" s="567">
        <v>82.396048430511996</v>
      </c>
      <c r="E42" s="568">
        <v>1.2837898912600001</v>
      </c>
      <c r="F42" s="566">
        <v>383.41602812156401</v>
      </c>
      <c r="G42" s="567">
        <v>287.56202109117299</v>
      </c>
      <c r="H42" s="569">
        <v>43.079479999999997</v>
      </c>
      <c r="I42" s="566">
        <v>299.57405</v>
      </c>
      <c r="J42" s="567">
        <v>12.012028908827</v>
      </c>
      <c r="K42" s="570">
        <v>0.78132896912899996</v>
      </c>
    </row>
    <row r="43" spans="1:11" ht="14.4" customHeight="1" thickBot="1" x14ac:dyDescent="0.35">
      <c r="A43" s="588" t="s">
        <v>346</v>
      </c>
      <c r="B43" s="566">
        <v>83.315174514421003</v>
      </c>
      <c r="C43" s="566">
        <v>50.618650000000002</v>
      </c>
      <c r="D43" s="567">
        <v>-32.696524514421</v>
      </c>
      <c r="E43" s="568">
        <v>0.60755619003399997</v>
      </c>
      <c r="F43" s="566">
        <v>52.102454856861002</v>
      </c>
      <c r="G43" s="567">
        <v>39.076841142646003</v>
      </c>
      <c r="H43" s="569">
        <v>3.8727900000000002</v>
      </c>
      <c r="I43" s="566">
        <v>36.01923</v>
      </c>
      <c r="J43" s="567">
        <v>-3.057611142646</v>
      </c>
      <c r="K43" s="570">
        <v>0.69131541112499995</v>
      </c>
    </row>
    <row r="44" spans="1:11" ht="14.4" customHeight="1" thickBot="1" x14ac:dyDescent="0.35">
      <c r="A44" s="588" t="s">
        <v>347</v>
      </c>
      <c r="B44" s="566">
        <v>8.1660706939949996</v>
      </c>
      <c r="C44" s="566">
        <v>10.265499999999999</v>
      </c>
      <c r="D44" s="567">
        <v>2.0994293060040001</v>
      </c>
      <c r="E44" s="568">
        <v>1.2570917378349999</v>
      </c>
      <c r="F44" s="566">
        <v>13.998865634469</v>
      </c>
      <c r="G44" s="567">
        <v>10.499149225851999</v>
      </c>
      <c r="H44" s="569">
        <v>0.27849000000000002</v>
      </c>
      <c r="I44" s="566">
        <v>7.3495600000000003</v>
      </c>
      <c r="J44" s="567">
        <v>-3.149589225852</v>
      </c>
      <c r="K44" s="570">
        <v>0.52501111103599996</v>
      </c>
    </row>
    <row r="45" spans="1:11" ht="14.4" customHeight="1" thickBot="1" x14ac:dyDescent="0.35">
      <c r="A45" s="588" t="s">
        <v>348</v>
      </c>
      <c r="B45" s="566">
        <v>4.2079020961770004</v>
      </c>
      <c r="C45" s="566">
        <v>18.77816</v>
      </c>
      <c r="D45" s="567">
        <v>14.570257903822</v>
      </c>
      <c r="E45" s="568">
        <v>4.4625943215400001</v>
      </c>
      <c r="F45" s="566">
        <v>32.608968212968001</v>
      </c>
      <c r="G45" s="567">
        <v>24.456726159725999</v>
      </c>
      <c r="H45" s="569">
        <v>0.20599999999999999</v>
      </c>
      <c r="I45" s="566">
        <v>3.96956</v>
      </c>
      <c r="J45" s="567">
        <v>-20.487166159726002</v>
      </c>
      <c r="K45" s="570">
        <v>0.121732155831</v>
      </c>
    </row>
    <row r="46" spans="1:11" ht="14.4" customHeight="1" thickBot="1" x14ac:dyDescent="0.35">
      <c r="A46" s="588" t="s">
        <v>349</v>
      </c>
      <c r="B46" s="566">
        <v>1.9991892566580001</v>
      </c>
      <c r="C46" s="566">
        <v>0.55900000000000005</v>
      </c>
      <c r="D46" s="567">
        <v>-1.4401892566579999</v>
      </c>
      <c r="E46" s="568">
        <v>0.27961334732900001</v>
      </c>
      <c r="F46" s="566">
        <v>0.31204543962100001</v>
      </c>
      <c r="G46" s="567">
        <v>0.23403407971599999</v>
      </c>
      <c r="H46" s="569">
        <v>0</v>
      </c>
      <c r="I46" s="566">
        <v>0</v>
      </c>
      <c r="J46" s="567">
        <v>-0.23403407971599999</v>
      </c>
      <c r="K46" s="570">
        <v>0</v>
      </c>
    </row>
    <row r="47" spans="1:11" ht="14.4" customHeight="1" thickBot="1" x14ac:dyDescent="0.35">
      <c r="A47" s="588" t="s">
        <v>350</v>
      </c>
      <c r="B47" s="566">
        <v>9.8511748773630003</v>
      </c>
      <c r="C47" s="566">
        <v>11.31471</v>
      </c>
      <c r="D47" s="567">
        <v>1.4635351226360001</v>
      </c>
      <c r="E47" s="568">
        <v>1.1485645256379999</v>
      </c>
      <c r="F47" s="566">
        <v>11.591398343683</v>
      </c>
      <c r="G47" s="567">
        <v>8.6935487577620005</v>
      </c>
      <c r="H47" s="569">
        <v>0</v>
      </c>
      <c r="I47" s="566">
        <v>4.5483900000000004</v>
      </c>
      <c r="J47" s="567">
        <v>-4.1451587577620002</v>
      </c>
      <c r="K47" s="570">
        <v>0.39239355469800002</v>
      </c>
    </row>
    <row r="48" spans="1:11" ht="14.4" customHeight="1" thickBot="1" x14ac:dyDescent="0.35">
      <c r="A48" s="588" t="s">
        <v>351</v>
      </c>
      <c r="B48" s="566">
        <v>28.30515819215</v>
      </c>
      <c r="C48" s="566">
        <v>53.12088</v>
      </c>
      <c r="D48" s="567">
        <v>24.815721807848998</v>
      </c>
      <c r="E48" s="568">
        <v>1.8767208308600001</v>
      </c>
      <c r="F48" s="566">
        <v>59.393970822455998</v>
      </c>
      <c r="G48" s="567">
        <v>44.545478116841998</v>
      </c>
      <c r="H48" s="569">
        <v>6.0839100000000004</v>
      </c>
      <c r="I48" s="566">
        <v>20.902889999999999</v>
      </c>
      <c r="J48" s="567">
        <v>-23.642588116841999</v>
      </c>
      <c r="K48" s="570">
        <v>0.35193622703600003</v>
      </c>
    </row>
    <row r="49" spans="1:11" ht="14.4" customHeight="1" thickBot="1" x14ac:dyDescent="0.35">
      <c r="A49" s="588" t="s">
        <v>352</v>
      </c>
      <c r="B49" s="566">
        <v>0</v>
      </c>
      <c r="C49" s="566">
        <v>6.484</v>
      </c>
      <c r="D49" s="567">
        <v>6.484</v>
      </c>
      <c r="E49" s="576" t="s">
        <v>312</v>
      </c>
      <c r="F49" s="566">
        <v>0</v>
      </c>
      <c r="G49" s="567">
        <v>0</v>
      </c>
      <c r="H49" s="569">
        <v>0</v>
      </c>
      <c r="I49" s="566">
        <v>0</v>
      </c>
      <c r="J49" s="567">
        <v>0</v>
      </c>
      <c r="K49" s="577" t="s">
        <v>306</v>
      </c>
    </row>
    <row r="50" spans="1:11" ht="14.4" customHeight="1" thickBot="1" x14ac:dyDescent="0.35">
      <c r="A50" s="588" t="s">
        <v>353</v>
      </c>
      <c r="B50" s="566">
        <v>0</v>
      </c>
      <c r="C50" s="566">
        <v>0.69</v>
      </c>
      <c r="D50" s="567">
        <v>0.69</v>
      </c>
      <c r="E50" s="576" t="s">
        <v>312</v>
      </c>
      <c r="F50" s="566">
        <v>0</v>
      </c>
      <c r="G50" s="567">
        <v>0</v>
      </c>
      <c r="H50" s="569">
        <v>0</v>
      </c>
      <c r="I50" s="566">
        <v>0</v>
      </c>
      <c r="J50" s="567">
        <v>0</v>
      </c>
      <c r="K50" s="577" t="s">
        <v>306</v>
      </c>
    </row>
    <row r="51" spans="1:11" ht="14.4" customHeight="1" thickBot="1" x14ac:dyDescent="0.35">
      <c r="A51" s="588" t="s">
        <v>354</v>
      </c>
      <c r="B51" s="566">
        <v>0</v>
      </c>
      <c r="C51" s="566">
        <v>1.24217</v>
      </c>
      <c r="D51" s="567">
        <v>1.24217</v>
      </c>
      <c r="E51" s="576" t="s">
        <v>312</v>
      </c>
      <c r="F51" s="566">
        <v>0</v>
      </c>
      <c r="G51" s="567">
        <v>0</v>
      </c>
      <c r="H51" s="569">
        <v>0</v>
      </c>
      <c r="I51" s="566">
        <v>0</v>
      </c>
      <c r="J51" s="567">
        <v>0</v>
      </c>
      <c r="K51" s="577" t="s">
        <v>306</v>
      </c>
    </row>
    <row r="52" spans="1:11" ht="14.4" customHeight="1" thickBot="1" x14ac:dyDescent="0.35">
      <c r="A52" s="588" t="s">
        <v>355</v>
      </c>
      <c r="B52" s="566">
        <v>0</v>
      </c>
      <c r="C52" s="566">
        <v>0.60370000000000001</v>
      </c>
      <c r="D52" s="567">
        <v>0.60370000000000001</v>
      </c>
      <c r="E52" s="576" t="s">
        <v>312</v>
      </c>
      <c r="F52" s="566">
        <v>0</v>
      </c>
      <c r="G52" s="567">
        <v>0</v>
      </c>
      <c r="H52" s="569">
        <v>0</v>
      </c>
      <c r="I52" s="566">
        <v>0</v>
      </c>
      <c r="J52" s="567">
        <v>0</v>
      </c>
      <c r="K52" s="577" t="s">
        <v>306</v>
      </c>
    </row>
    <row r="53" spans="1:11" ht="14.4" customHeight="1" thickBot="1" x14ac:dyDescent="0.35">
      <c r="A53" s="588" t="s">
        <v>356</v>
      </c>
      <c r="B53" s="566">
        <v>0</v>
      </c>
      <c r="C53" s="566">
        <v>85.832570000000004</v>
      </c>
      <c r="D53" s="567">
        <v>85.832570000000004</v>
      </c>
      <c r="E53" s="576" t="s">
        <v>312</v>
      </c>
      <c r="F53" s="566">
        <v>72.418973428685007</v>
      </c>
      <c r="G53" s="567">
        <v>54.314230071513002</v>
      </c>
      <c r="H53" s="569">
        <v>7.6703400000000004</v>
      </c>
      <c r="I53" s="566">
        <v>90.704440000000005</v>
      </c>
      <c r="J53" s="567">
        <v>36.390209928486001</v>
      </c>
      <c r="K53" s="570">
        <v>1.252495523004</v>
      </c>
    </row>
    <row r="54" spans="1:11" ht="14.4" customHeight="1" thickBot="1" x14ac:dyDescent="0.35">
      <c r="A54" s="588" t="s">
        <v>357</v>
      </c>
      <c r="B54" s="566">
        <v>0</v>
      </c>
      <c r="C54" s="566">
        <v>2.9542600000000001</v>
      </c>
      <c r="D54" s="567">
        <v>2.9542600000000001</v>
      </c>
      <c r="E54" s="576" t="s">
        <v>312</v>
      </c>
      <c r="F54" s="566">
        <v>0</v>
      </c>
      <c r="G54" s="567">
        <v>0</v>
      </c>
      <c r="H54" s="569">
        <v>0</v>
      </c>
      <c r="I54" s="566">
        <v>0.96308000000000005</v>
      </c>
      <c r="J54" s="567">
        <v>0.96308000000000005</v>
      </c>
      <c r="K54" s="577" t="s">
        <v>306</v>
      </c>
    </row>
    <row r="55" spans="1:11" ht="14.4" customHeight="1" thickBot="1" x14ac:dyDescent="0.35">
      <c r="A55" s="587" t="s">
        <v>358</v>
      </c>
      <c r="B55" s="571">
        <v>354.10928373885901</v>
      </c>
      <c r="C55" s="571">
        <v>274.2312</v>
      </c>
      <c r="D55" s="572">
        <v>-79.878083738857995</v>
      </c>
      <c r="E55" s="578">
        <v>0.77442533306200001</v>
      </c>
      <c r="F55" s="571">
        <v>187.711070006216</v>
      </c>
      <c r="G55" s="572">
        <v>140.783302504662</v>
      </c>
      <c r="H55" s="574">
        <v>11.21088</v>
      </c>
      <c r="I55" s="571">
        <v>181.02868000000001</v>
      </c>
      <c r="J55" s="572">
        <v>40.245377495337998</v>
      </c>
      <c r="K55" s="579">
        <v>0.96440066104699995</v>
      </c>
    </row>
    <row r="56" spans="1:11" ht="14.4" customHeight="1" thickBot="1" x14ac:dyDescent="0.35">
      <c r="A56" s="588" t="s">
        <v>359</v>
      </c>
      <c r="B56" s="566">
        <v>3.8455745073699998</v>
      </c>
      <c r="C56" s="566">
        <v>5.4050000000000002</v>
      </c>
      <c r="D56" s="567">
        <v>1.5594254926290001</v>
      </c>
      <c r="E56" s="568">
        <v>1.405511709535</v>
      </c>
      <c r="F56" s="566">
        <v>4.3783310603940002</v>
      </c>
      <c r="G56" s="567">
        <v>3.2837482952960002</v>
      </c>
      <c r="H56" s="569">
        <v>0</v>
      </c>
      <c r="I56" s="566">
        <v>0.224</v>
      </c>
      <c r="J56" s="567">
        <v>-3.059748295296</v>
      </c>
      <c r="K56" s="570">
        <v>5.1161046734000001E-2</v>
      </c>
    </row>
    <row r="57" spans="1:11" ht="14.4" customHeight="1" thickBot="1" x14ac:dyDescent="0.35">
      <c r="A57" s="588" t="s">
        <v>360</v>
      </c>
      <c r="B57" s="566">
        <v>343.56009922587401</v>
      </c>
      <c r="C57" s="566">
        <v>263.02631000000002</v>
      </c>
      <c r="D57" s="567">
        <v>-80.533789225874003</v>
      </c>
      <c r="E57" s="568">
        <v>0.76559038896700005</v>
      </c>
      <c r="F57" s="566">
        <v>175.331246961701</v>
      </c>
      <c r="G57" s="567">
        <v>131.498435221276</v>
      </c>
      <c r="H57" s="569">
        <v>10.230779999999999</v>
      </c>
      <c r="I57" s="566">
        <v>177.07079999999999</v>
      </c>
      <c r="J57" s="567">
        <v>45.572364778724001</v>
      </c>
      <c r="K57" s="570">
        <v>1.009921523222</v>
      </c>
    </row>
    <row r="58" spans="1:11" ht="14.4" customHeight="1" thickBot="1" x14ac:dyDescent="0.35">
      <c r="A58" s="588" t="s">
        <v>361</v>
      </c>
      <c r="B58" s="566">
        <v>0</v>
      </c>
      <c r="C58" s="566">
        <v>0</v>
      </c>
      <c r="D58" s="567">
        <v>0</v>
      </c>
      <c r="E58" s="568">
        <v>1</v>
      </c>
      <c r="F58" s="566">
        <v>0</v>
      </c>
      <c r="G58" s="567">
        <v>0</v>
      </c>
      <c r="H58" s="569">
        <v>0.84699999999999998</v>
      </c>
      <c r="I58" s="566">
        <v>0.84699999999999998</v>
      </c>
      <c r="J58" s="567">
        <v>0.84699999999999998</v>
      </c>
      <c r="K58" s="577" t="s">
        <v>312</v>
      </c>
    </row>
    <row r="59" spans="1:11" ht="14.4" customHeight="1" thickBot="1" x14ac:dyDescent="0.35">
      <c r="A59" s="588" t="s">
        <v>362</v>
      </c>
      <c r="B59" s="566">
        <v>3.7044286306949998</v>
      </c>
      <c r="C59" s="566">
        <v>5.7998900000000004</v>
      </c>
      <c r="D59" s="567">
        <v>2.0954613693040001</v>
      </c>
      <c r="E59" s="568">
        <v>1.565663852163</v>
      </c>
      <c r="F59" s="566">
        <v>8.0014919841189993</v>
      </c>
      <c r="G59" s="567">
        <v>6.0011189880889999</v>
      </c>
      <c r="H59" s="569">
        <v>0.1331</v>
      </c>
      <c r="I59" s="566">
        <v>2.8868800000000001</v>
      </c>
      <c r="J59" s="567">
        <v>-3.1142389880889998</v>
      </c>
      <c r="K59" s="570">
        <v>0.36079271287499998</v>
      </c>
    </row>
    <row r="60" spans="1:11" ht="14.4" customHeight="1" thickBot="1" x14ac:dyDescent="0.35">
      <c r="A60" s="587" t="s">
        <v>363</v>
      </c>
      <c r="B60" s="571">
        <v>437.58266852181902</v>
      </c>
      <c r="C60" s="571">
        <v>422.36729000000003</v>
      </c>
      <c r="D60" s="572">
        <v>-15.215378521818</v>
      </c>
      <c r="E60" s="578">
        <v>0.96522856224300002</v>
      </c>
      <c r="F60" s="571">
        <v>461.17556527500801</v>
      </c>
      <c r="G60" s="572">
        <v>345.88167395625601</v>
      </c>
      <c r="H60" s="574">
        <v>65.825140000000005</v>
      </c>
      <c r="I60" s="571">
        <v>355.36914000000002</v>
      </c>
      <c r="J60" s="572">
        <v>9.4874660437439999</v>
      </c>
      <c r="K60" s="579">
        <v>0.77057235195899998</v>
      </c>
    </row>
    <row r="61" spans="1:11" ht="14.4" customHeight="1" thickBot="1" x14ac:dyDescent="0.35">
      <c r="A61" s="588" t="s">
        <v>364</v>
      </c>
      <c r="B61" s="566">
        <v>0</v>
      </c>
      <c r="C61" s="566">
        <v>0.14000000000000001</v>
      </c>
      <c r="D61" s="567">
        <v>0.14000000000000001</v>
      </c>
      <c r="E61" s="576" t="s">
        <v>306</v>
      </c>
      <c r="F61" s="566">
        <v>0.124527266397</v>
      </c>
      <c r="G61" s="567">
        <v>9.3395449796999999E-2</v>
      </c>
      <c r="H61" s="569">
        <v>0</v>
      </c>
      <c r="I61" s="566">
        <v>0.4</v>
      </c>
      <c r="J61" s="567">
        <v>0.306604550202</v>
      </c>
      <c r="K61" s="570">
        <v>3.212147922077</v>
      </c>
    </row>
    <row r="62" spans="1:11" ht="14.4" customHeight="1" thickBot="1" x14ac:dyDescent="0.35">
      <c r="A62" s="588" t="s">
        <v>365</v>
      </c>
      <c r="B62" s="566">
        <v>26.115108959419</v>
      </c>
      <c r="C62" s="566">
        <v>23.556319999999999</v>
      </c>
      <c r="D62" s="567">
        <v>-2.5587889594190001</v>
      </c>
      <c r="E62" s="568">
        <v>0.902018828893</v>
      </c>
      <c r="F62" s="566">
        <v>21.071844208586</v>
      </c>
      <c r="G62" s="567">
        <v>15.803883156438999</v>
      </c>
      <c r="H62" s="569">
        <v>0.31217</v>
      </c>
      <c r="I62" s="566">
        <v>8.1729500000000002</v>
      </c>
      <c r="J62" s="567">
        <v>-7.6309331564390002</v>
      </c>
      <c r="K62" s="570">
        <v>0.38786116293799999</v>
      </c>
    </row>
    <row r="63" spans="1:11" ht="14.4" customHeight="1" thickBot="1" x14ac:dyDescent="0.35">
      <c r="A63" s="588" t="s">
        <v>366</v>
      </c>
      <c r="B63" s="566">
        <v>0</v>
      </c>
      <c r="C63" s="566">
        <v>0</v>
      </c>
      <c r="D63" s="567">
        <v>0</v>
      </c>
      <c r="E63" s="568">
        <v>1</v>
      </c>
      <c r="F63" s="566">
        <v>0</v>
      </c>
      <c r="G63" s="567">
        <v>0</v>
      </c>
      <c r="H63" s="569">
        <v>31.484999999999999</v>
      </c>
      <c r="I63" s="566">
        <v>31.484999999999999</v>
      </c>
      <c r="J63" s="567">
        <v>31.484999999999999</v>
      </c>
      <c r="K63" s="577" t="s">
        <v>312</v>
      </c>
    </row>
    <row r="64" spans="1:11" ht="14.4" customHeight="1" thickBot="1" x14ac:dyDescent="0.35">
      <c r="A64" s="588" t="s">
        <v>367</v>
      </c>
      <c r="B64" s="566">
        <v>12.271877803732</v>
      </c>
      <c r="C64" s="566">
        <v>0.91452</v>
      </c>
      <c r="D64" s="567">
        <v>-11.357357803732</v>
      </c>
      <c r="E64" s="568">
        <v>7.4521602531E-2</v>
      </c>
      <c r="F64" s="566">
        <v>0</v>
      </c>
      <c r="G64" s="567">
        <v>0</v>
      </c>
      <c r="H64" s="569">
        <v>0.87473999999999996</v>
      </c>
      <c r="I64" s="566">
        <v>3.8170899999999999</v>
      </c>
      <c r="J64" s="567">
        <v>3.8170899999999999</v>
      </c>
      <c r="K64" s="577" t="s">
        <v>306</v>
      </c>
    </row>
    <row r="65" spans="1:11" ht="14.4" customHeight="1" thickBot="1" x14ac:dyDescent="0.35">
      <c r="A65" s="588" t="s">
        <v>368</v>
      </c>
      <c r="B65" s="566">
        <v>399.19568175866698</v>
      </c>
      <c r="C65" s="566">
        <v>397.75644999999997</v>
      </c>
      <c r="D65" s="567">
        <v>-1.4392317586659999</v>
      </c>
      <c r="E65" s="568">
        <v>0.99639467102299994</v>
      </c>
      <c r="F65" s="566">
        <v>0</v>
      </c>
      <c r="G65" s="567">
        <v>0</v>
      </c>
      <c r="H65" s="569">
        <v>0</v>
      </c>
      <c r="I65" s="566">
        <v>0</v>
      </c>
      <c r="J65" s="567">
        <v>0</v>
      </c>
      <c r="K65" s="577" t="s">
        <v>306</v>
      </c>
    </row>
    <row r="66" spans="1:11" ht="14.4" customHeight="1" thickBot="1" x14ac:dyDescent="0.35">
      <c r="A66" s="588" t="s">
        <v>369</v>
      </c>
      <c r="B66" s="566">
        <v>0</v>
      </c>
      <c r="C66" s="566">
        <v>0</v>
      </c>
      <c r="D66" s="567">
        <v>0</v>
      </c>
      <c r="E66" s="568">
        <v>1</v>
      </c>
      <c r="F66" s="566">
        <v>35.003366792005998</v>
      </c>
      <c r="G66" s="567">
        <v>26.252525094004</v>
      </c>
      <c r="H66" s="569">
        <v>5.0400400000000003</v>
      </c>
      <c r="I66" s="566">
        <v>29.51314</v>
      </c>
      <c r="J66" s="567">
        <v>3.2606149059949998</v>
      </c>
      <c r="K66" s="570">
        <v>0.843151465268</v>
      </c>
    </row>
    <row r="67" spans="1:11" ht="14.4" customHeight="1" thickBot="1" x14ac:dyDescent="0.35">
      <c r="A67" s="588" t="s">
        <v>370</v>
      </c>
      <c r="B67" s="566">
        <v>0</v>
      </c>
      <c r="C67" s="566">
        <v>0</v>
      </c>
      <c r="D67" s="567">
        <v>0</v>
      </c>
      <c r="E67" s="568">
        <v>1</v>
      </c>
      <c r="F67" s="566">
        <v>257.99580582791702</v>
      </c>
      <c r="G67" s="567">
        <v>193.496854370938</v>
      </c>
      <c r="H67" s="569">
        <v>19.63119</v>
      </c>
      <c r="I67" s="566">
        <v>177.86091999999999</v>
      </c>
      <c r="J67" s="567">
        <v>-15.635934370936999</v>
      </c>
      <c r="K67" s="570">
        <v>0.68939461798299995</v>
      </c>
    </row>
    <row r="68" spans="1:11" ht="14.4" customHeight="1" thickBot="1" x14ac:dyDescent="0.35">
      <c r="A68" s="588" t="s">
        <v>371</v>
      </c>
      <c r="B68" s="566">
        <v>0</v>
      </c>
      <c r="C68" s="566">
        <v>0</v>
      </c>
      <c r="D68" s="567">
        <v>0</v>
      </c>
      <c r="E68" s="568">
        <v>1</v>
      </c>
      <c r="F68" s="566">
        <v>146.98002118010101</v>
      </c>
      <c r="G68" s="567">
        <v>110.235015885076</v>
      </c>
      <c r="H68" s="569">
        <v>8.4819999999999993</v>
      </c>
      <c r="I68" s="566">
        <v>104.12004</v>
      </c>
      <c r="J68" s="567">
        <v>-6.1149758850750002</v>
      </c>
      <c r="K68" s="570">
        <v>0.70839587015899996</v>
      </c>
    </row>
    <row r="69" spans="1:11" ht="14.4" customHeight="1" thickBot="1" x14ac:dyDescent="0.35">
      <c r="A69" s="587" t="s">
        <v>372</v>
      </c>
      <c r="B69" s="571">
        <v>0</v>
      </c>
      <c r="C69" s="571">
        <v>436.69</v>
      </c>
      <c r="D69" s="572">
        <v>436.69</v>
      </c>
      <c r="E69" s="573" t="s">
        <v>306</v>
      </c>
      <c r="F69" s="571">
        <v>0</v>
      </c>
      <c r="G69" s="572">
        <v>0</v>
      </c>
      <c r="H69" s="574">
        <v>0</v>
      </c>
      <c r="I69" s="571">
        <v>71.103999999999999</v>
      </c>
      <c r="J69" s="572">
        <v>71.103999999999999</v>
      </c>
      <c r="K69" s="575" t="s">
        <v>306</v>
      </c>
    </row>
    <row r="70" spans="1:11" ht="14.4" customHeight="1" thickBot="1" x14ac:dyDescent="0.35">
      <c r="A70" s="588" t="s">
        <v>373</v>
      </c>
      <c r="B70" s="566">
        <v>0</v>
      </c>
      <c r="C70" s="566">
        <v>0</v>
      </c>
      <c r="D70" s="567">
        <v>0</v>
      </c>
      <c r="E70" s="568">
        <v>1</v>
      </c>
      <c r="F70" s="566">
        <v>0</v>
      </c>
      <c r="G70" s="567">
        <v>0</v>
      </c>
      <c r="H70" s="569">
        <v>0</v>
      </c>
      <c r="I70" s="566">
        <v>9.8369999999999997</v>
      </c>
      <c r="J70" s="567">
        <v>9.8369999999999997</v>
      </c>
      <c r="K70" s="577" t="s">
        <v>312</v>
      </c>
    </row>
    <row r="71" spans="1:11" ht="14.4" customHeight="1" thickBot="1" x14ac:dyDescent="0.35">
      <c r="A71" s="588" t="s">
        <v>374</v>
      </c>
      <c r="B71" s="566">
        <v>0</v>
      </c>
      <c r="C71" s="566">
        <v>436.69</v>
      </c>
      <c r="D71" s="567">
        <v>436.69</v>
      </c>
      <c r="E71" s="576" t="s">
        <v>306</v>
      </c>
      <c r="F71" s="566">
        <v>0</v>
      </c>
      <c r="G71" s="567">
        <v>0</v>
      </c>
      <c r="H71" s="569">
        <v>0</v>
      </c>
      <c r="I71" s="566">
        <v>61.267000000000003</v>
      </c>
      <c r="J71" s="567">
        <v>61.267000000000003</v>
      </c>
      <c r="K71" s="577" t="s">
        <v>306</v>
      </c>
    </row>
    <row r="72" spans="1:11" ht="14.4" customHeight="1" thickBot="1" x14ac:dyDescent="0.35">
      <c r="A72" s="586" t="s">
        <v>29</v>
      </c>
      <c r="B72" s="566">
        <v>982.73333906091796</v>
      </c>
      <c r="C72" s="566">
        <v>978.17899999999997</v>
      </c>
      <c r="D72" s="567">
        <v>-4.554339060917</v>
      </c>
      <c r="E72" s="568">
        <v>0.99536564103400005</v>
      </c>
      <c r="F72" s="566">
        <v>985.28526246988395</v>
      </c>
      <c r="G72" s="567">
        <v>738.96394685241296</v>
      </c>
      <c r="H72" s="569">
        <v>48.600999999999999</v>
      </c>
      <c r="I72" s="566">
        <v>608.04600000000096</v>
      </c>
      <c r="J72" s="567">
        <v>-130.917946852412</v>
      </c>
      <c r="K72" s="570">
        <v>0.61712685976399995</v>
      </c>
    </row>
    <row r="73" spans="1:11" ht="14.4" customHeight="1" thickBot="1" x14ac:dyDescent="0.35">
      <c r="A73" s="587" t="s">
        <v>375</v>
      </c>
      <c r="B73" s="571">
        <v>982.73333906091796</v>
      </c>
      <c r="C73" s="571">
        <v>978.17899999999997</v>
      </c>
      <c r="D73" s="572">
        <v>-4.554339060917</v>
      </c>
      <c r="E73" s="578">
        <v>0.99536564103400005</v>
      </c>
      <c r="F73" s="571">
        <v>985.28526246988395</v>
      </c>
      <c r="G73" s="572">
        <v>738.96394685241296</v>
      </c>
      <c r="H73" s="574">
        <v>48.600999999999999</v>
      </c>
      <c r="I73" s="571">
        <v>608.04600000000096</v>
      </c>
      <c r="J73" s="572">
        <v>-130.917946852412</v>
      </c>
      <c r="K73" s="579">
        <v>0.61712685976399995</v>
      </c>
    </row>
    <row r="74" spans="1:11" ht="14.4" customHeight="1" thickBot="1" x14ac:dyDescent="0.35">
      <c r="A74" s="588" t="s">
        <v>376</v>
      </c>
      <c r="B74" s="566">
        <v>306.68419739123999</v>
      </c>
      <c r="C74" s="566">
        <v>332.971</v>
      </c>
      <c r="D74" s="567">
        <v>26.286802608759</v>
      </c>
      <c r="E74" s="568">
        <v>1.085712934779</v>
      </c>
      <c r="F74" s="566">
        <v>330.48244515580802</v>
      </c>
      <c r="G74" s="567">
        <v>247.86183386685599</v>
      </c>
      <c r="H74" s="569">
        <v>20.936</v>
      </c>
      <c r="I74" s="566">
        <v>200.02799999999999</v>
      </c>
      <c r="J74" s="567">
        <v>-47.833833866855997</v>
      </c>
      <c r="K74" s="570">
        <v>0.60526059078700001</v>
      </c>
    </row>
    <row r="75" spans="1:11" ht="14.4" customHeight="1" thickBot="1" x14ac:dyDescent="0.35">
      <c r="A75" s="588" t="s">
        <v>377</v>
      </c>
      <c r="B75" s="566">
        <v>77.003309455763002</v>
      </c>
      <c r="C75" s="566">
        <v>75.385999999999996</v>
      </c>
      <c r="D75" s="567">
        <v>-1.6173094557629999</v>
      </c>
      <c r="E75" s="568">
        <v>0.97899688380600003</v>
      </c>
      <c r="F75" s="566">
        <v>77.013848627643</v>
      </c>
      <c r="G75" s="567">
        <v>57.760386470732001</v>
      </c>
      <c r="H75" s="569">
        <v>6.0490000000000004</v>
      </c>
      <c r="I75" s="566">
        <v>53.988999999999997</v>
      </c>
      <c r="J75" s="567">
        <v>-3.7713864707320002</v>
      </c>
      <c r="K75" s="570">
        <v>0.70102976233500003</v>
      </c>
    </row>
    <row r="76" spans="1:11" ht="14.4" customHeight="1" thickBot="1" x14ac:dyDescent="0.35">
      <c r="A76" s="588" t="s">
        <v>378</v>
      </c>
      <c r="B76" s="566">
        <v>599.04583221391295</v>
      </c>
      <c r="C76" s="566">
        <v>569.822</v>
      </c>
      <c r="D76" s="567">
        <v>-29.223832213912999</v>
      </c>
      <c r="E76" s="568">
        <v>0.95121603282599998</v>
      </c>
      <c r="F76" s="566">
        <v>577.78896868643199</v>
      </c>
      <c r="G76" s="567">
        <v>433.34172651482402</v>
      </c>
      <c r="H76" s="569">
        <v>21.616</v>
      </c>
      <c r="I76" s="566">
        <v>354.029</v>
      </c>
      <c r="J76" s="567">
        <v>-79.312726514822998</v>
      </c>
      <c r="K76" s="570">
        <v>0.61273063209300005</v>
      </c>
    </row>
    <row r="77" spans="1:11" ht="14.4" customHeight="1" thickBot="1" x14ac:dyDescent="0.35">
      <c r="A77" s="586" t="s">
        <v>30</v>
      </c>
      <c r="B77" s="566">
        <v>0</v>
      </c>
      <c r="C77" s="566">
        <v>50.745240000000003</v>
      </c>
      <c r="D77" s="567">
        <v>50.745240000000003</v>
      </c>
      <c r="E77" s="576" t="s">
        <v>312</v>
      </c>
      <c r="F77" s="566">
        <v>0.28993067455499999</v>
      </c>
      <c r="G77" s="567">
        <v>0.217448005916</v>
      </c>
      <c r="H77" s="569">
        <v>16.451080000000001</v>
      </c>
      <c r="I77" s="566">
        <v>123.5608</v>
      </c>
      <c r="J77" s="567">
        <v>123.343351994084</v>
      </c>
      <c r="K77" s="570">
        <v>0</v>
      </c>
    </row>
    <row r="78" spans="1:11" ht="14.4" customHeight="1" thickBot="1" x14ac:dyDescent="0.35">
      <c r="A78" s="587" t="s">
        <v>379</v>
      </c>
      <c r="B78" s="571">
        <v>0</v>
      </c>
      <c r="C78" s="571">
        <v>50.745240000000003</v>
      </c>
      <c r="D78" s="572">
        <v>50.745240000000003</v>
      </c>
      <c r="E78" s="573" t="s">
        <v>312</v>
      </c>
      <c r="F78" s="571">
        <v>0.28993067455499999</v>
      </c>
      <c r="G78" s="572">
        <v>0.217448005916</v>
      </c>
      <c r="H78" s="574">
        <v>16.451080000000001</v>
      </c>
      <c r="I78" s="571">
        <v>123.5608</v>
      </c>
      <c r="J78" s="572">
        <v>123.343351994084</v>
      </c>
      <c r="K78" s="579">
        <v>0</v>
      </c>
    </row>
    <row r="79" spans="1:11" ht="14.4" customHeight="1" thickBot="1" x14ac:dyDescent="0.35">
      <c r="A79" s="588" t="s">
        <v>380</v>
      </c>
      <c r="B79" s="566">
        <v>0</v>
      </c>
      <c r="C79" s="566">
        <v>50.745240000000003</v>
      </c>
      <c r="D79" s="567">
        <v>50.745240000000003</v>
      </c>
      <c r="E79" s="576" t="s">
        <v>312</v>
      </c>
      <c r="F79" s="566">
        <v>0.28993067455499999</v>
      </c>
      <c r="G79" s="567">
        <v>0.217448005916</v>
      </c>
      <c r="H79" s="569">
        <v>16.451080000000001</v>
      </c>
      <c r="I79" s="566">
        <v>123.5608</v>
      </c>
      <c r="J79" s="567">
        <v>123.343351994084</v>
      </c>
      <c r="K79" s="570">
        <v>0</v>
      </c>
    </row>
    <row r="80" spans="1:11" ht="14.4" customHeight="1" thickBot="1" x14ac:dyDescent="0.35">
      <c r="A80" s="589" t="s">
        <v>381</v>
      </c>
      <c r="B80" s="571">
        <v>2877.2089094284102</v>
      </c>
      <c r="C80" s="571">
        <v>3346.3034299999999</v>
      </c>
      <c r="D80" s="572">
        <v>469.09452057159501</v>
      </c>
      <c r="E80" s="578">
        <v>1.1630380467100001</v>
      </c>
      <c r="F80" s="571">
        <v>3298.7644503813199</v>
      </c>
      <c r="G80" s="572">
        <v>2474.0733377859901</v>
      </c>
      <c r="H80" s="574">
        <v>197.42258000000001</v>
      </c>
      <c r="I80" s="571">
        <v>1769.47091</v>
      </c>
      <c r="J80" s="572">
        <v>-704.60242778598604</v>
      </c>
      <c r="K80" s="579">
        <v>0.53640414058499997</v>
      </c>
    </row>
    <row r="81" spans="1:11" ht="14.4" customHeight="1" thickBot="1" x14ac:dyDescent="0.35">
      <c r="A81" s="586" t="s">
        <v>32</v>
      </c>
      <c r="B81" s="566">
        <v>876.69366235104496</v>
      </c>
      <c r="C81" s="566">
        <v>1218.3667600000001</v>
      </c>
      <c r="D81" s="567">
        <v>341.673097648956</v>
      </c>
      <c r="E81" s="568">
        <v>1.3897291748780001</v>
      </c>
      <c r="F81" s="566">
        <v>1207.37376973659</v>
      </c>
      <c r="G81" s="567">
        <v>905.53032730244001</v>
      </c>
      <c r="H81" s="569">
        <v>23.75395</v>
      </c>
      <c r="I81" s="566">
        <v>383.29099000000002</v>
      </c>
      <c r="J81" s="567">
        <v>-522.23933730244005</v>
      </c>
      <c r="K81" s="570">
        <v>0.31745843715200001</v>
      </c>
    </row>
    <row r="82" spans="1:11" ht="14.4" customHeight="1" thickBot="1" x14ac:dyDescent="0.35">
      <c r="A82" s="590" t="s">
        <v>382</v>
      </c>
      <c r="B82" s="566">
        <v>876.69366235104496</v>
      </c>
      <c r="C82" s="566">
        <v>1218.3667600000001</v>
      </c>
      <c r="D82" s="567">
        <v>341.673097648956</v>
      </c>
      <c r="E82" s="568">
        <v>1.3897291748780001</v>
      </c>
      <c r="F82" s="566">
        <v>1207.37376973659</v>
      </c>
      <c r="G82" s="567">
        <v>905.53032730244001</v>
      </c>
      <c r="H82" s="569">
        <v>23.75395</v>
      </c>
      <c r="I82" s="566">
        <v>383.29099000000002</v>
      </c>
      <c r="J82" s="567">
        <v>-522.23933730244005</v>
      </c>
      <c r="K82" s="570">
        <v>0.31745843715200001</v>
      </c>
    </row>
    <row r="83" spans="1:11" ht="14.4" customHeight="1" thickBot="1" x14ac:dyDescent="0.35">
      <c r="A83" s="588" t="s">
        <v>383</v>
      </c>
      <c r="B83" s="566">
        <v>728.91743205618502</v>
      </c>
      <c r="C83" s="566">
        <v>1021.56488</v>
      </c>
      <c r="D83" s="567">
        <v>292.64744794381602</v>
      </c>
      <c r="E83" s="568">
        <v>1.401482301113</v>
      </c>
      <c r="F83" s="566">
        <v>942.02569722538703</v>
      </c>
      <c r="G83" s="567">
        <v>706.51927291903996</v>
      </c>
      <c r="H83" s="569">
        <v>4.5337500000000004</v>
      </c>
      <c r="I83" s="566">
        <v>199.17117999999999</v>
      </c>
      <c r="J83" s="567">
        <v>-507.34809291904003</v>
      </c>
      <c r="K83" s="570">
        <v>0.21142860601999999</v>
      </c>
    </row>
    <row r="84" spans="1:11" ht="14.4" customHeight="1" thickBot="1" x14ac:dyDescent="0.35">
      <c r="A84" s="588" t="s">
        <v>384</v>
      </c>
      <c r="B84" s="566">
        <v>0</v>
      </c>
      <c r="C84" s="566">
        <v>0</v>
      </c>
      <c r="D84" s="567">
        <v>0</v>
      </c>
      <c r="E84" s="576" t="s">
        <v>306</v>
      </c>
      <c r="F84" s="566">
        <v>0</v>
      </c>
      <c r="G84" s="567">
        <v>0</v>
      </c>
      <c r="H84" s="569">
        <v>0</v>
      </c>
      <c r="I84" s="566">
        <v>1.331</v>
      </c>
      <c r="J84" s="567">
        <v>1.331</v>
      </c>
      <c r="K84" s="577" t="s">
        <v>312</v>
      </c>
    </row>
    <row r="85" spans="1:11" ht="14.4" customHeight="1" thickBot="1" x14ac:dyDescent="0.35">
      <c r="A85" s="588" t="s">
        <v>385</v>
      </c>
      <c r="B85" s="566">
        <v>10.786844577678</v>
      </c>
      <c r="C85" s="566">
        <v>41.737900000000003</v>
      </c>
      <c r="D85" s="567">
        <v>30.951055422321001</v>
      </c>
      <c r="E85" s="568">
        <v>3.8693335849450001</v>
      </c>
      <c r="F85" s="566">
        <v>54.271576825979999</v>
      </c>
      <c r="G85" s="567">
        <v>40.703682619485001</v>
      </c>
      <c r="H85" s="569">
        <v>0</v>
      </c>
      <c r="I85" s="566">
        <v>91.075559999999996</v>
      </c>
      <c r="J85" s="567">
        <v>50.371877380514</v>
      </c>
      <c r="K85" s="570">
        <v>1.67814471822</v>
      </c>
    </row>
    <row r="86" spans="1:11" ht="14.4" customHeight="1" thickBot="1" x14ac:dyDescent="0.35">
      <c r="A86" s="588" t="s">
        <v>386</v>
      </c>
      <c r="B86" s="566">
        <v>73.994032571096994</v>
      </c>
      <c r="C86" s="566">
        <v>108.67316</v>
      </c>
      <c r="D86" s="567">
        <v>34.679127428902</v>
      </c>
      <c r="E86" s="568">
        <v>1.4686746515069999</v>
      </c>
      <c r="F86" s="566">
        <v>162.999724806541</v>
      </c>
      <c r="G86" s="567">
        <v>122.249793604906</v>
      </c>
      <c r="H86" s="569">
        <v>7.7439999999999998</v>
      </c>
      <c r="I86" s="566">
        <v>50.686889999999998</v>
      </c>
      <c r="J86" s="567">
        <v>-71.562903604905003</v>
      </c>
      <c r="K86" s="570">
        <v>0.31096304033700001</v>
      </c>
    </row>
    <row r="87" spans="1:11" ht="14.4" customHeight="1" thickBot="1" x14ac:dyDescent="0.35">
      <c r="A87" s="588" t="s">
        <v>387</v>
      </c>
      <c r="B87" s="566">
        <v>62.995353146084</v>
      </c>
      <c r="C87" s="566">
        <v>46.390819999999998</v>
      </c>
      <c r="D87" s="567">
        <v>-16.604533146084002</v>
      </c>
      <c r="E87" s="568">
        <v>0.73641654000099999</v>
      </c>
      <c r="F87" s="566">
        <v>48.076770878677998</v>
      </c>
      <c r="G87" s="567">
        <v>36.057578159008003</v>
      </c>
      <c r="H87" s="569">
        <v>11.4762</v>
      </c>
      <c r="I87" s="566">
        <v>41.026359999999997</v>
      </c>
      <c r="J87" s="567">
        <v>4.9687818409910003</v>
      </c>
      <c r="K87" s="570">
        <v>0.85335098947300003</v>
      </c>
    </row>
    <row r="88" spans="1:11" ht="14.4" customHeight="1" thickBot="1" x14ac:dyDescent="0.35">
      <c r="A88" s="591" t="s">
        <v>33</v>
      </c>
      <c r="B88" s="571">
        <v>0</v>
      </c>
      <c r="C88" s="571">
        <v>38.991999999999997</v>
      </c>
      <c r="D88" s="572">
        <v>38.991999999999997</v>
      </c>
      <c r="E88" s="573" t="s">
        <v>306</v>
      </c>
      <c r="F88" s="571">
        <v>0</v>
      </c>
      <c r="G88" s="572">
        <v>0</v>
      </c>
      <c r="H88" s="574">
        <v>2.4039999999999999</v>
      </c>
      <c r="I88" s="571">
        <v>46.816000000000003</v>
      </c>
      <c r="J88" s="572">
        <v>46.816000000000003</v>
      </c>
      <c r="K88" s="575" t="s">
        <v>306</v>
      </c>
    </row>
    <row r="89" spans="1:11" ht="14.4" customHeight="1" thickBot="1" x14ac:dyDescent="0.35">
      <c r="A89" s="587" t="s">
        <v>388</v>
      </c>
      <c r="B89" s="571">
        <v>0</v>
      </c>
      <c r="C89" s="571">
        <v>38.991999999999997</v>
      </c>
      <c r="D89" s="572">
        <v>38.991999999999997</v>
      </c>
      <c r="E89" s="573" t="s">
        <v>306</v>
      </c>
      <c r="F89" s="571">
        <v>0</v>
      </c>
      <c r="G89" s="572">
        <v>0</v>
      </c>
      <c r="H89" s="574">
        <v>2.4039999999999999</v>
      </c>
      <c r="I89" s="571">
        <v>46.816000000000003</v>
      </c>
      <c r="J89" s="572">
        <v>46.816000000000003</v>
      </c>
      <c r="K89" s="575" t="s">
        <v>306</v>
      </c>
    </row>
    <row r="90" spans="1:11" ht="14.4" customHeight="1" thickBot="1" x14ac:dyDescent="0.35">
      <c r="A90" s="588" t="s">
        <v>389</v>
      </c>
      <c r="B90" s="566">
        <v>0</v>
      </c>
      <c r="C90" s="566">
        <v>34.372</v>
      </c>
      <c r="D90" s="567">
        <v>34.372</v>
      </c>
      <c r="E90" s="576" t="s">
        <v>306</v>
      </c>
      <c r="F90" s="566">
        <v>0</v>
      </c>
      <c r="G90" s="567">
        <v>0</v>
      </c>
      <c r="H90" s="569">
        <v>2.4039999999999999</v>
      </c>
      <c r="I90" s="566">
        <v>42.195999999999998</v>
      </c>
      <c r="J90" s="567">
        <v>42.195999999999998</v>
      </c>
      <c r="K90" s="577" t="s">
        <v>306</v>
      </c>
    </row>
    <row r="91" spans="1:11" ht="14.4" customHeight="1" thickBot="1" x14ac:dyDescent="0.35">
      <c r="A91" s="588" t="s">
        <v>390</v>
      </c>
      <c r="B91" s="566">
        <v>0</v>
      </c>
      <c r="C91" s="566">
        <v>4.62</v>
      </c>
      <c r="D91" s="567">
        <v>4.62</v>
      </c>
      <c r="E91" s="576" t="s">
        <v>306</v>
      </c>
      <c r="F91" s="566">
        <v>0</v>
      </c>
      <c r="G91" s="567">
        <v>0</v>
      </c>
      <c r="H91" s="569">
        <v>0</v>
      </c>
      <c r="I91" s="566">
        <v>4.62</v>
      </c>
      <c r="J91" s="567">
        <v>4.62</v>
      </c>
      <c r="K91" s="577" t="s">
        <v>306</v>
      </c>
    </row>
    <row r="92" spans="1:11" ht="14.4" customHeight="1" thickBot="1" x14ac:dyDescent="0.35">
      <c r="A92" s="586" t="s">
        <v>34</v>
      </c>
      <c r="B92" s="566">
        <v>2000.5152470773601</v>
      </c>
      <c r="C92" s="566">
        <v>2088.9446699999999</v>
      </c>
      <c r="D92" s="567">
        <v>88.429422922637997</v>
      </c>
      <c r="E92" s="568">
        <v>1.044203323644</v>
      </c>
      <c r="F92" s="566">
        <v>2091.3906806447299</v>
      </c>
      <c r="G92" s="567">
        <v>1568.54301048355</v>
      </c>
      <c r="H92" s="569">
        <v>171.26463000000001</v>
      </c>
      <c r="I92" s="566">
        <v>1339.36392</v>
      </c>
      <c r="J92" s="567">
        <v>-229.17909048354599</v>
      </c>
      <c r="K92" s="570">
        <v>0.64041784846500005</v>
      </c>
    </row>
    <row r="93" spans="1:11" ht="14.4" customHeight="1" thickBot="1" x14ac:dyDescent="0.35">
      <c r="A93" s="587" t="s">
        <v>391</v>
      </c>
      <c r="B93" s="571">
        <v>2.3621617685710001</v>
      </c>
      <c r="C93" s="571">
        <v>2.3637299999999999</v>
      </c>
      <c r="D93" s="572">
        <v>1.568231428E-3</v>
      </c>
      <c r="E93" s="578">
        <v>1.0006638967099999</v>
      </c>
      <c r="F93" s="571">
        <v>0.944780010005</v>
      </c>
      <c r="G93" s="572">
        <v>0.70858500750300002</v>
      </c>
      <c r="H93" s="574">
        <v>0.20799999999999999</v>
      </c>
      <c r="I93" s="571">
        <v>0.86299999999999999</v>
      </c>
      <c r="J93" s="572">
        <v>0.15441499249599999</v>
      </c>
      <c r="K93" s="579">
        <v>0.91344015629099995</v>
      </c>
    </row>
    <row r="94" spans="1:11" ht="14.4" customHeight="1" thickBot="1" x14ac:dyDescent="0.35">
      <c r="A94" s="588" t="s">
        <v>392</v>
      </c>
      <c r="B94" s="566">
        <v>2.3621617685710001</v>
      </c>
      <c r="C94" s="566">
        <v>2.3637299999999999</v>
      </c>
      <c r="D94" s="567">
        <v>1.568231428E-3</v>
      </c>
      <c r="E94" s="568">
        <v>1.0006638967099999</v>
      </c>
      <c r="F94" s="566">
        <v>0.944780010005</v>
      </c>
      <c r="G94" s="567">
        <v>0.70858500750300002</v>
      </c>
      <c r="H94" s="569">
        <v>0.20799999999999999</v>
      </c>
      <c r="I94" s="566">
        <v>0.86299999999999999</v>
      </c>
      <c r="J94" s="567">
        <v>0.15441499249599999</v>
      </c>
      <c r="K94" s="570">
        <v>0.91344015629099995</v>
      </c>
    </row>
    <row r="95" spans="1:11" ht="14.4" customHeight="1" thickBot="1" x14ac:dyDescent="0.35">
      <c r="A95" s="587" t="s">
        <v>393</v>
      </c>
      <c r="B95" s="571">
        <v>28.218067726333999</v>
      </c>
      <c r="C95" s="571">
        <v>38.471679999999999</v>
      </c>
      <c r="D95" s="572">
        <v>10.253612273665</v>
      </c>
      <c r="E95" s="578">
        <v>1.3633704608370001</v>
      </c>
      <c r="F95" s="571">
        <v>37.315353315736999</v>
      </c>
      <c r="G95" s="572">
        <v>27.986514986802</v>
      </c>
      <c r="H95" s="574">
        <v>2.8780299999999999</v>
      </c>
      <c r="I95" s="571">
        <v>22.66404</v>
      </c>
      <c r="J95" s="572">
        <v>-5.3224749868019998</v>
      </c>
      <c r="K95" s="579">
        <v>0.60736501161400003</v>
      </c>
    </row>
    <row r="96" spans="1:11" ht="14.4" customHeight="1" thickBot="1" x14ac:dyDescent="0.35">
      <c r="A96" s="588" t="s">
        <v>394</v>
      </c>
      <c r="B96" s="566">
        <v>11.515238597514999</v>
      </c>
      <c r="C96" s="566">
        <v>14.1187</v>
      </c>
      <c r="D96" s="567">
        <v>2.6034614024840002</v>
      </c>
      <c r="E96" s="568">
        <v>1.2260883593880001</v>
      </c>
      <c r="F96" s="566">
        <v>14.443235653606999</v>
      </c>
      <c r="G96" s="567">
        <v>10.832426740204999</v>
      </c>
      <c r="H96" s="569">
        <v>1.1495</v>
      </c>
      <c r="I96" s="566">
        <v>10.4253</v>
      </c>
      <c r="J96" s="567">
        <v>-0.407126740205</v>
      </c>
      <c r="K96" s="570">
        <v>0.72181194366900003</v>
      </c>
    </row>
    <row r="97" spans="1:11" ht="14.4" customHeight="1" thickBot="1" x14ac:dyDescent="0.35">
      <c r="A97" s="588" t="s">
        <v>395</v>
      </c>
      <c r="B97" s="566">
        <v>16.702829128817999</v>
      </c>
      <c r="C97" s="566">
        <v>24.352979999999999</v>
      </c>
      <c r="D97" s="567">
        <v>7.6501508711810002</v>
      </c>
      <c r="E97" s="568">
        <v>1.458015274668</v>
      </c>
      <c r="F97" s="566">
        <v>22.872117662130002</v>
      </c>
      <c r="G97" s="567">
        <v>17.154088246596999</v>
      </c>
      <c r="H97" s="569">
        <v>1.7285299999999999</v>
      </c>
      <c r="I97" s="566">
        <v>12.23874</v>
      </c>
      <c r="J97" s="567">
        <v>-4.9153482465970004</v>
      </c>
      <c r="K97" s="570">
        <v>0.53509430918400003</v>
      </c>
    </row>
    <row r="98" spans="1:11" ht="14.4" customHeight="1" thickBot="1" x14ac:dyDescent="0.35">
      <c r="A98" s="587" t="s">
        <v>396</v>
      </c>
      <c r="B98" s="571">
        <v>48.504553974185001</v>
      </c>
      <c r="C98" s="571">
        <v>61.750259999999997</v>
      </c>
      <c r="D98" s="572">
        <v>13.245706025815</v>
      </c>
      <c r="E98" s="578">
        <v>1.2730816993559999</v>
      </c>
      <c r="F98" s="571">
        <v>57.907926160911003</v>
      </c>
      <c r="G98" s="572">
        <v>43.430944620683</v>
      </c>
      <c r="H98" s="574">
        <v>5.4970299999999996</v>
      </c>
      <c r="I98" s="571">
        <v>56.172710000000002</v>
      </c>
      <c r="J98" s="572">
        <v>12.741765379316</v>
      </c>
      <c r="K98" s="579">
        <v>0.97003491100499994</v>
      </c>
    </row>
    <row r="99" spans="1:11" ht="14.4" customHeight="1" thickBot="1" x14ac:dyDescent="0.35">
      <c r="A99" s="588" t="s">
        <v>397</v>
      </c>
      <c r="B99" s="566">
        <v>9.4933571005150004</v>
      </c>
      <c r="C99" s="566">
        <v>11.475</v>
      </c>
      <c r="D99" s="567">
        <v>1.9816428994840001</v>
      </c>
      <c r="E99" s="568">
        <v>1.2087399513679999</v>
      </c>
      <c r="F99" s="566">
        <v>11.885925959468</v>
      </c>
      <c r="G99" s="567">
        <v>8.9144444696009995</v>
      </c>
      <c r="H99" s="569">
        <v>0</v>
      </c>
      <c r="I99" s="566">
        <v>8.91</v>
      </c>
      <c r="J99" s="567">
        <v>-4.4444696010000001E-3</v>
      </c>
      <c r="K99" s="570">
        <v>0.74962607291799999</v>
      </c>
    </row>
    <row r="100" spans="1:11" ht="14.4" customHeight="1" thickBot="1" x14ac:dyDescent="0.35">
      <c r="A100" s="588" t="s">
        <v>398</v>
      </c>
      <c r="B100" s="566">
        <v>39.011196873669</v>
      </c>
      <c r="C100" s="566">
        <v>50.275260000000003</v>
      </c>
      <c r="D100" s="567">
        <v>11.264063126330001</v>
      </c>
      <c r="E100" s="568">
        <v>1.288739234605</v>
      </c>
      <c r="F100" s="566">
        <v>46.022000201442999</v>
      </c>
      <c r="G100" s="567">
        <v>34.516500151081999</v>
      </c>
      <c r="H100" s="569">
        <v>5.4970299999999996</v>
      </c>
      <c r="I100" s="566">
        <v>47.262709999999998</v>
      </c>
      <c r="J100" s="567">
        <v>12.746209848916999</v>
      </c>
      <c r="K100" s="570">
        <v>1.026959058561</v>
      </c>
    </row>
    <row r="101" spans="1:11" ht="14.4" customHeight="1" thickBot="1" x14ac:dyDescent="0.35">
      <c r="A101" s="587" t="s">
        <v>399</v>
      </c>
      <c r="B101" s="571">
        <v>825.12056654563798</v>
      </c>
      <c r="C101" s="571">
        <v>853.04199000000006</v>
      </c>
      <c r="D101" s="572">
        <v>27.921423454361001</v>
      </c>
      <c r="E101" s="578">
        <v>1.0338392043369999</v>
      </c>
      <c r="F101" s="571">
        <v>852.50549711374401</v>
      </c>
      <c r="G101" s="572">
        <v>639.37912283530795</v>
      </c>
      <c r="H101" s="574">
        <v>59.582979999999999</v>
      </c>
      <c r="I101" s="571">
        <v>563.02409</v>
      </c>
      <c r="J101" s="572">
        <v>-76.355032835307</v>
      </c>
      <c r="K101" s="579">
        <v>0.66043455661700001</v>
      </c>
    </row>
    <row r="102" spans="1:11" ht="14.4" customHeight="1" thickBot="1" x14ac:dyDescent="0.35">
      <c r="A102" s="588" t="s">
        <v>400</v>
      </c>
      <c r="B102" s="566">
        <v>680.00069048546004</v>
      </c>
      <c r="C102" s="566">
        <v>708.22126000000003</v>
      </c>
      <c r="D102" s="567">
        <v>28.220569514539999</v>
      </c>
      <c r="E102" s="568">
        <v>1.04150079538</v>
      </c>
      <c r="F102" s="566">
        <v>707.09144454745604</v>
      </c>
      <c r="G102" s="567">
        <v>530.31858341059205</v>
      </c>
      <c r="H102" s="569">
        <v>46.794710000000002</v>
      </c>
      <c r="I102" s="566">
        <v>453.37141000000003</v>
      </c>
      <c r="J102" s="567">
        <v>-76.947173410592001</v>
      </c>
      <c r="K102" s="570">
        <v>0.64117790350299997</v>
      </c>
    </row>
    <row r="103" spans="1:11" ht="14.4" customHeight="1" thickBot="1" x14ac:dyDescent="0.35">
      <c r="A103" s="588" t="s">
        <v>401</v>
      </c>
      <c r="B103" s="566">
        <v>145.119876060178</v>
      </c>
      <c r="C103" s="566">
        <v>144.82073</v>
      </c>
      <c r="D103" s="567">
        <v>-0.299146060178</v>
      </c>
      <c r="E103" s="568">
        <v>0.99793862792400001</v>
      </c>
      <c r="F103" s="566">
        <v>145.41405256628701</v>
      </c>
      <c r="G103" s="567">
        <v>109.060539424715</v>
      </c>
      <c r="H103" s="569">
        <v>12.788270000000001</v>
      </c>
      <c r="I103" s="566">
        <v>109.65268</v>
      </c>
      <c r="J103" s="567">
        <v>0.59214057528399999</v>
      </c>
      <c r="K103" s="570">
        <v>0.75407210008100001</v>
      </c>
    </row>
    <row r="104" spans="1:11" ht="14.4" customHeight="1" thickBot="1" x14ac:dyDescent="0.35">
      <c r="A104" s="587" t="s">
        <v>402</v>
      </c>
      <c r="B104" s="571">
        <v>1092.8097691294799</v>
      </c>
      <c r="C104" s="571">
        <v>1131.0440100000001</v>
      </c>
      <c r="D104" s="572">
        <v>38.234240870515997</v>
      </c>
      <c r="E104" s="578">
        <v>1.034987096519</v>
      </c>
      <c r="F104" s="571">
        <v>1142.7171240443299</v>
      </c>
      <c r="G104" s="572">
        <v>857.03784303324801</v>
      </c>
      <c r="H104" s="574">
        <v>102.64387000000001</v>
      </c>
      <c r="I104" s="571">
        <v>694.82119999999998</v>
      </c>
      <c r="J104" s="572">
        <v>-162.216643033248</v>
      </c>
      <c r="K104" s="579">
        <v>0.60804304528200004</v>
      </c>
    </row>
    <row r="105" spans="1:11" ht="14.4" customHeight="1" thickBot="1" x14ac:dyDescent="0.35">
      <c r="A105" s="588" t="s">
        <v>403</v>
      </c>
      <c r="B105" s="566">
        <v>9.011761014547</v>
      </c>
      <c r="C105" s="566">
        <v>7.633</v>
      </c>
      <c r="D105" s="567">
        <v>-1.378761014547</v>
      </c>
      <c r="E105" s="568">
        <v>0.84700426339199997</v>
      </c>
      <c r="F105" s="566">
        <v>7.8338741739779998</v>
      </c>
      <c r="G105" s="567">
        <v>5.8754056304829998</v>
      </c>
      <c r="H105" s="569">
        <v>0</v>
      </c>
      <c r="I105" s="566">
        <v>0</v>
      </c>
      <c r="J105" s="567">
        <v>-5.8754056304829998</v>
      </c>
      <c r="K105" s="570">
        <v>0</v>
      </c>
    </row>
    <row r="106" spans="1:11" ht="14.4" customHeight="1" thickBot="1" x14ac:dyDescent="0.35">
      <c r="A106" s="588" t="s">
        <v>404</v>
      </c>
      <c r="B106" s="566">
        <v>853.81379472231902</v>
      </c>
      <c r="C106" s="566">
        <v>940.70677000000103</v>
      </c>
      <c r="D106" s="567">
        <v>86.892975277681003</v>
      </c>
      <c r="E106" s="568">
        <v>1.101770404524</v>
      </c>
      <c r="F106" s="566">
        <v>930.042500380805</v>
      </c>
      <c r="G106" s="567">
        <v>697.53187528560397</v>
      </c>
      <c r="H106" s="569">
        <v>90.167569999999998</v>
      </c>
      <c r="I106" s="566">
        <v>580.32714999999996</v>
      </c>
      <c r="J106" s="567">
        <v>-117.204725285604</v>
      </c>
      <c r="K106" s="570">
        <v>0.62397917273900005</v>
      </c>
    </row>
    <row r="107" spans="1:11" ht="14.4" customHeight="1" thickBot="1" x14ac:dyDescent="0.35">
      <c r="A107" s="588" t="s">
        <v>405</v>
      </c>
      <c r="B107" s="566">
        <v>3.9979378279689999</v>
      </c>
      <c r="C107" s="566">
        <v>4.2731000000000003</v>
      </c>
      <c r="D107" s="567">
        <v>0.27516217202999999</v>
      </c>
      <c r="E107" s="568">
        <v>1.068826025783</v>
      </c>
      <c r="F107" s="566">
        <v>5.0018220837029999</v>
      </c>
      <c r="G107" s="567">
        <v>3.7513665627770001</v>
      </c>
      <c r="H107" s="569">
        <v>0</v>
      </c>
      <c r="I107" s="566">
        <v>2.7382</v>
      </c>
      <c r="J107" s="567">
        <v>-1.0131665627769999</v>
      </c>
      <c r="K107" s="570">
        <v>0.54744050351600004</v>
      </c>
    </row>
    <row r="108" spans="1:11" ht="14.4" customHeight="1" thickBot="1" x14ac:dyDescent="0.35">
      <c r="A108" s="588" t="s">
        <v>406</v>
      </c>
      <c r="B108" s="566">
        <v>2.2774887556590002</v>
      </c>
      <c r="C108" s="566">
        <v>24.90326</v>
      </c>
      <c r="D108" s="567">
        <v>22.625771244340001</v>
      </c>
      <c r="E108" s="568">
        <v>10.934525994085</v>
      </c>
      <c r="F108" s="566">
        <v>23.527871188203999</v>
      </c>
      <c r="G108" s="567">
        <v>17.645903391152999</v>
      </c>
      <c r="H108" s="569">
        <v>0</v>
      </c>
      <c r="I108" s="566">
        <v>1.6072299999999999</v>
      </c>
      <c r="J108" s="567">
        <v>-16.038673391153001</v>
      </c>
      <c r="K108" s="570">
        <v>6.8311747677000004E-2</v>
      </c>
    </row>
    <row r="109" spans="1:11" ht="14.4" customHeight="1" thickBot="1" x14ac:dyDescent="0.35">
      <c r="A109" s="588" t="s">
        <v>407</v>
      </c>
      <c r="B109" s="566">
        <v>223.70878680898801</v>
      </c>
      <c r="C109" s="566">
        <v>153.52788000000001</v>
      </c>
      <c r="D109" s="567">
        <v>-70.180906808987004</v>
      </c>
      <c r="E109" s="568">
        <v>0.68628453173399995</v>
      </c>
      <c r="F109" s="566">
        <v>176.31105621763999</v>
      </c>
      <c r="G109" s="567">
        <v>132.23329216323</v>
      </c>
      <c r="H109" s="569">
        <v>12.4763</v>
      </c>
      <c r="I109" s="566">
        <v>110.14861999999999</v>
      </c>
      <c r="J109" s="567">
        <v>-22.08467216323</v>
      </c>
      <c r="K109" s="570">
        <v>0.62474028777799995</v>
      </c>
    </row>
    <row r="110" spans="1:11" ht="14.4" customHeight="1" thickBot="1" x14ac:dyDescent="0.35">
      <c r="A110" s="587" t="s">
        <v>408</v>
      </c>
      <c r="B110" s="571">
        <v>3.5001279331489998</v>
      </c>
      <c r="C110" s="571">
        <v>2.2730000000000001</v>
      </c>
      <c r="D110" s="572">
        <v>-1.2271279331489999</v>
      </c>
      <c r="E110" s="578">
        <v>0.64940483416899997</v>
      </c>
      <c r="F110" s="571">
        <v>0</v>
      </c>
      <c r="G110" s="572">
        <v>0</v>
      </c>
      <c r="H110" s="574">
        <v>0.45472000000000001</v>
      </c>
      <c r="I110" s="571">
        <v>1.8188800000000001</v>
      </c>
      <c r="J110" s="572">
        <v>1.8188800000000001</v>
      </c>
      <c r="K110" s="575" t="s">
        <v>306</v>
      </c>
    </row>
    <row r="111" spans="1:11" ht="14.4" customHeight="1" thickBot="1" x14ac:dyDescent="0.35">
      <c r="A111" s="588" t="s">
        <v>409</v>
      </c>
      <c r="B111" s="566">
        <v>3.5001279331489998</v>
      </c>
      <c r="C111" s="566">
        <v>2.2730000000000001</v>
      </c>
      <c r="D111" s="567">
        <v>-1.2271279331489999</v>
      </c>
      <c r="E111" s="568">
        <v>0.64940483416899997</v>
      </c>
      <c r="F111" s="566">
        <v>0</v>
      </c>
      <c r="G111" s="567">
        <v>0</v>
      </c>
      <c r="H111" s="569">
        <v>0.45472000000000001</v>
      </c>
      <c r="I111" s="566">
        <v>1.8188800000000001</v>
      </c>
      <c r="J111" s="567">
        <v>1.8188800000000001</v>
      </c>
      <c r="K111" s="577" t="s">
        <v>306</v>
      </c>
    </row>
    <row r="112" spans="1:11" ht="14.4" customHeight="1" thickBot="1" x14ac:dyDescent="0.35">
      <c r="A112" s="585" t="s">
        <v>35</v>
      </c>
      <c r="B112" s="566">
        <v>37935.989767666098</v>
      </c>
      <c r="C112" s="566">
        <v>40558.046990000003</v>
      </c>
      <c r="D112" s="567">
        <v>2622.05722233388</v>
      </c>
      <c r="E112" s="568">
        <v>1.0691179336129999</v>
      </c>
      <c r="F112" s="566">
        <v>39682.195760504997</v>
      </c>
      <c r="G112" s="567">
        <v>29761.646820378799</v>
      </c>
      <c r="H112" s="569">
        <v>3265.5466700000002</v>
      </c>
      <c r="I112" s="566">
        <v>30080.198629999999</v>
      </c>
      <c r="J112" s="567">
        <v>318.55180962124399</v>
      </c>
      <c r="K112" s="570">
        <v>0.75802757517599995</v>
      </c>
    </row>
    <row r="113" spans="1:11" ht="14.4" customHeight="1" thickBot="1" x14ac:dyDescent="0.35">
      <c r="A113" s="591" t="s">
        <v>410</v>
      </c>
      <c r="B113" s="571">
        <v>28122.999999998501</v>
      </c>
      <c r="C113" s="571">
        <v>30165.696</v>
      </c>
      <c r="D113" s="572">
        <v>2042.6960000015599</v>
      </c>
      <c r="E113" s="578">
        <v>1.07263435622</v>
      </c>
      <c r="F113" s="571">
        <v>29446.999999999502</v>
      </c>
      <c r="G113" s="572">
        <v>22085.2499999996</v>
      </c>
      <c r="H113" s="574">
        <v>2419.7730000000001</v>
      </c>
      <c r="I113" s="571">
        <v>22298.080000000002</v>
      </c>
      <c r="J113" s="572">
        <v>212.83000000042699</v>
      </c>
      <c r="K113" s="579">
        <v>0.757227561381</v>
      </c>
    </row>
    <row r="114" spans="1:11" ht="14.4" customHeight="1" thickBot="1" x14ac:dyDescent="0.35">
      <c r="A114" s="587" t="s">
        <v>411</v>
      </c>
      <c r="B114" s="571">
        <v>28037.999999998501</v>
      </c>
      <c r="C114" s="571">
        <v>29911.454000000002</v>
      </c>
      <c r="D114" s="572">
        <v>1873.45400000155</v>
      </c>
      <c r="E114" s="578">
        <v>1.0668183893280001</v>
      </c>
      <c r="F114" s="571">
        <v>29241.999999999502</v>
      </c>
      <c r="G114" s="572">
        <v>21931.4999999996</v>
      </c>
      <c r="H114" s="574">
        <v>2410.6529999999998</v>
      </c>
      <c r="I114" s="571">
        <v>22180.815999999999</v>
      </c>
      <c r="J114" s="572">
        <v>249.31600000041001</v>
      </c>
      <c r="K114" s="579">
        <v>0.75852595581600002</v>
      </c>
    </row>
    <row r="115" spans="1:11" ht="14.4" customHeight="1" thickBot="1" x14ac:dyDescent="0.35">
      <c r="A115" s="588" t="s">
        <v>412</v>
      </c>
      <c r="B115" s="566">
        <v>28037.999999998501</v>
      </c>
      <c r="C115" s="566">
        <v>29911.454000000002</v>
      </c>
      <c r="D115" s="567">
        <v>1873.45400000155</v>
      </c>
      <c r="E115" s="568">
        <v>1.0668183893280001</v>
      </c>
      <c r="F115" s="566">
        <v>29241.999999999502</v>
      </c>
      <c r="G115" s="567">
        <v>21931.4999999996</v>
      </c>
      <c r="H115" s="569">
        <v>2410.6529999999998</v>
      </c>
      <c r="I115" s="566">
        <v>22180.815999999999</v>
      </c>
      <c r="J115" s="567">
        <v>249.31600000041001</v>
      </c>
      <c r="K115" s="570">
        <v>0.75852595581600002</v>
      </c>
    </row>
    <row r="116" spans="1:11" ht="14.4" customHeight="1" thickBot="1" x14ac:dyDescent="0.35">
      <c r="A116" s="587" t="s">
        <v>413</v>
      </c>
      <c r="B116" s="571">
        <v>84.999999999994998</v>
      </c>
      <c r="C116" s="571">
        <v>135.88999999999999</v>
      </c>
      <c r="D116" s="572">
        <v>50.890000000004001</v>
      </c>
      <c r="E116" s="578">
        <v>1.598705882353</v>
      </c>
      <c r="F116" s="571">
        <v>108.999999999998</v>
      </c>
      <c r="G116" s="572">
        <v>81.749999999997996</v>
      </c>
      <c r="H116" s="574">
        <v>9.1199999999999992</v>
      </c>
      <c r="I116" s="571">
        <v>83.34</v>
      </c>
      <c r="J116" s="572">
        <v>1.5900000000009999</v>
      </c>
      <c r="K116" s="579">
        <v>0.76458715596299998</v>
      </c>
    </row>
    <row r="117" spans="1:11" ht="14.4" customHeight="1" thickBot="1" x14ac:dyDescent="0.35">
      <c r="A117" s="588" t="s">
        <v>414</v>
      </c>
      <c r="B117" s="566">
        <v>84.999999999994998</v>
      </c>
      <c r="C117" s="566">
        <v>135.88999999999999</v>
      </c>
      <c r="D117" s="567">
        <v>50.890000000004001</v>
      </c>
      <c r="E117" s="568">
        <v>1.598705882353</v>
      </c>
      <c r="F117" s="566">
        <v>108.999999999998</v>
      </c>
      <c r="G117" s="567">
        <v>81.749999999997996</v>
      </c>
      <c r="H117" s="569">
        <v>9.1199999999999992</v>
      </c>
      <c r="I117" s="566">
        <v>83.34</v>
      </c>
      <c r="J117" s="567">
        <v>1.5900000000009999</v>
      </c>
      <c r="K117" s="570">
        <v>0.76458715596299998</v>
      </c>
    </row>
    <row r="118" spans="1:11" ht="14.4" customHeight="1" thickBot="1" x14ac:dyDescent="0.35">
      <c r="A118" s="587" t="s">
        <v>415</v>
      </c>
      <c r="B118" s="571">
        <v>0</v>
      </c>
      <c r="C118" s="571">
        <v>118.352</v>
      </c>
      <c r="D118" s="572">
        <v>118.352</v>
      </c>
      <c r="E118" s="573" t="s">
        <v>306</v>
      </c>
      <c r="F118" s="571">
        <v>95.999999999997996</v>
      </c>
      <c r="G118" s="572">
        <v>71.999999999997996</v>
      </c>
      <c r="H118" s="574">
        <v>0</v>
      </c>
      <c r="I118" s="571">
        <v>33.923999999999999</v>
      </c>
      <c r="J118" s="572">
        <v>-38.075999999997997</v>
      </c>
      <c r="K118" s="579">
        <v>0.35337499999999999</v>
      </c>
    </row>
    <row r="119" spans="1:11" ht="14.4" customHeight="1" thickBot="1" x14ac:dyDescent="0.35">
      <c r="A119" s="588" t="s">
        <v>416</v>
      </c>
      <c r="B119" s="566">
        <v>0</v>
      </c>
      <c r="C119" s="566">
        <v>118.352</v>
      </c>
      <c r="D119" s="567">
        <v>118.352</v>
      </c>
      <c r="E119" s="576" t="s">
        <v>306</v>
      </c>
      <c r="F119" s="566">
        <v>95.999999999997996</v>
      </c>
      <c r="G119" s="567">
        <v>71.999999999997996</v>
      </c>
      <c r="H119" s="569">
        <v>0</v>
      </c>
      <c r="I119" s="566">
        <v>33.923999999999999</v>
      </c>
      <c r="J119" s="567">
        <v>-38.075999999997997</v>
      </c>
      <c r="K119" s="570">
        <v>0.35337499999999999</v>
      </c>
    </row>
    <row r="120" spans="1:11" ht="14.4" customHeight="1" thickBot="1" x14ac:dyDescent="0.35">
      <c r="A120" s="586" t="s">
        <v>417</v>
      </c>
      <c r="B120" s="566">
        <v>9533.9897676677101</v>
      </c>
      <c r="C120" s="566">
        <v>10092.051149999999</v>
      </c>
      <c r="D120" s="567">
        <v>558.06138233229797</v>
      </c>
      <c r="E120" s="568">
        <v>1.0585338767850001</v>
      </c>
      <c r="F120" s="566">
        <v>9942.1957605055795</v>
      </c>
      <c r="G120" s="567">
        <v>7456.6468203791801</v>
      </c>
      <c r="H120" s="569">
        <v>821.66665</v>
      </c>
      <c r="I120" s="566">
        <v>7559.8404200000105</v>
      </c>
      <c r="J120" s="567">
        <v>103.19359962082299</v>
      </c>
      <c r="K120" s="570">
        <v>0.76037935704600002</v>
      </c>
    </row>
    <row r="121" spans="1:11" ht="14.4" customHeight="1" thickBot="1" x14ac:dyDescent="0.35">
      <c r="A121" s="587" t="s">
        <v>418</v>
      </c>
      <c r="B121" s="571">
        <v>2523.9999805729799</v>
      </c>
      <c r="C121" s="571">
        <v>2698.5646700000002</v>
      </c>
      <c r="D121" s="572">
        <v>174.56468942701801</v>
      </c>
      <c r="E121" s="578">
        <v>1.069161921858</v>
      </c>
      <c r="F121" s="571">
        <v>2632.19576050572</v>
      </c>
      <c r="G121" s="572">
        <v>1974.1468203792899</v>
      </c>
      <c r="H121" s="574">
        <v>217.5034</v>
      </c>
      <c r="I121" s="571">
        <v>2001.1364000000001</v>
      </c>
      <c r="J121" s="572">
        <v>26.989579620708</v>
      </c>
      <c r="K121" s="579">
        <v>0.76025363691600001</v>
      </c>
    </row>
    <row r="122" spans="1:11" ht="14.4" customHeight="1" thickBot="1" x14ac:dyDescent="0.35">
      <c r="A122" s="588" t="s">
        <v>419</v>
      </c>
      <c r="B122" s="566">
        <v>2523.9999805729799</v>
      </c>
      <c r="C122" s="566">
        <v>2698.5646700000002</v>
      </c>
      <c r="D122" s="567">
        <v>174.56468942701801</v>
      </c>
      <c r="E122" s="568">
        <v>1.069161921858</v>
      </c>
      <c r="F122" s="566">
        <v>2632.19576050572</v>
      </c>
      <c r="G122" s="567">
        <v>1974.1468203792899</v>
      </c>
      <c r="H122" s="569">
        <v>217.5034</v>
      </c>
      <c r="I122" s="566">
        <v>2001.1364000000001</v>
      </c>
      <c r="J122" s="567">
        <v>26.989579620708</v>
      </c>
      <c r="K122" s="570">
        <v>0.76025363691600001</v>
      </c>
    </row>
    <row r="123" spans="1:11" ht="14.4" customHeight="1" thickBot="1" x14ac:dyDescent="0.35">
      <c r="A123" s="587" t="s">
        <v>420</v>
      </c>
      <c r="B123" s="571">
        <v>7009.9897870947198</v>
      </c>
      <c r="C123" s="571">
        <v>7393.4864799999996</v>
      </c>
      <c r="D123" s="572">
        <v>383.49669290528101</v>
      </c>
      <c r="E123" s="578">
        <v>1.054707168562</v>
      </c>
      <c r="F123" s="571">
        <v>7309.9999999998499</v>
      </c>
      <c r="G123" s="572">
        <v>5482.49999999989</v>
      </c>
      <c r="H123" s="574">
        <v>604.16324999999995</v>
      </c>
      <c r="I123" s="571">
        <v>5558.7040200000001</v>
      </c>
      <c r="J123" s="572">
        <v>76.204020000113005</v>
      </c>
      <c r="K123" s="579">
        <v>0.760424626539</v>
      </c>
    </row>
    <row r="124" spans="1:11" ht="14.4" customHeight="1" thickBot="1" x14ac:dyDescent="0.35">
      <c r="A124" s="588" t="s">
        <v>421</v>
      </c>
      <c r="B124" s="566">
        <v>7009.9897870947198</v>
      </c>
      <c r="C124" s="566">
        <v>7393.4864799999996</v>
      </c>
      <c r="D124" s="567">
        <v>383.49669290528101</v>
      </c>
      <c r="E124" s="568">
        <v>1.054707168562</v>
      </c>
      <c r="F124" s="566">
        <v>7309.9999999998499</v>
      </c>
      <c r="G124" s="567">
        <v>5482.49999999989</v>
      </c>
      <c r="H124" s="569">
        <v>604.16324999999995</v>
      </c>
      <c r="I124" s="566">
        <v>5558.7040200000001</v>
      </c>
      <c r="J124" s="567">
        <v>76.204020000113005</v>
      </c>
      <c r="K124" s="570">
        <v>0.760424626539</v>
      </c>
    </row>
    <row r="125" spans="1:11" ht="14.4" customHeight="1" thickBot="1" x14ac:dyDescent="0.35">
      <c r="A125" s="586" t="s">
        <v>422</v>
      </c>
      <c r="B125" s="566">
        <v>278.99999999998499</v>
      </c>
      <c r="C125" s="566">
        <v>300.29984000000002</v>
      </c>
      <c r="D125" s="567">
        <v>21.299840000014999</v>
      </c>
      <c r="E125" s="568">
        <v>1.076343512544</v>
      </c>
      <c r="F125" s="566">
        <v>292.99999999999397</v>
      </c>
      <c r="G125" s="567">
        <v>219.74999999999599</v>
      </c>
      <c r="H125" s="569">
        <v>24.107019999999999</v>
      </c>
      <c r="I125" s="566">
        <v>222.27821</v>
      </c>
      <c r="J125" s="567">
        <v>2.528210000004</v>
      </c>
      <c r="K125" s="570">
        <v>0.75862870307100005</v>
      </c>
    </row>
    <row r="126" spans="1:11" ht="14.4" customHeight="1" thickBot="1" x14ac:dyDescent="0.35">
      <c r="A126" s="587" t="s">
        <v>423</v>
      </c>
      <c r="B126" s="571">
        <v>278.99999999998499</v>
      </c>
      <c r="C126" s="571">
        <v>300.29984000000002</v>
      </c>
      <c r="D126" s="572">
        <v>21.299840000014999</v>
      </c>
      <c r="E126" s="578">
        <v>1.076343512544</v>
      </c>
      <c r="F126" s="571">
        <v>292.99999999999397</v>
      </c>
      <c r="G126" s="572">
        <v>219.74999999999599</v>
      </c>
      <c r="H126" s="574">
        <v>24.107019999999999</v>
      </c>
      <c r="I126" s="571">
        <v>222.27821</v>
      </c>
      <c r="J126" s="572">
        <v>2.528210000004</v>
      </c>
      <c r="K126" s="579">
        <v>0.75862870307100005</v>
      </c>
    </row>
    <row r="127" spans="1:11" ht="14.4" customHeight="1" thickBot="1" x14ac:dyDescent="0.35">
      <c r="A127" s="588" t="s">
        <v>424</v>
      </c>
      <c r="B127" s="566">
        <v>278.99999999998499</v>
      </c>
      <c r="C127" s="566">
        <v>300.29984000000002</v>
      </c>
      <c r="D127" s="567">
        <v>21.299840000014999</v>
      </c>
      <c r="E127" s="568">
        <v>1.076343512544</v>
      </c>
      <c r="F127" s="566">
        <v>292.99999999999397</v>
      </c>
      <c r="G127" s="567">
        <v>219.74999999999599</v>
      </c>
      <c r="H127" s="569">
        <v>24.107019999999999</v>
      </c>
      <c r="I127" s="566">
        <v>222.27821</v>
      </c>
      <c r="J127" s="567">
        <v>2.528210000004</v>
      </c>
      <c r="K127" s="570">
        <v>0.75862870307100005</v>
      </c>
    </row>
    <row r="128" spans="1:11" ht="14.4" customHeight="1" thickBot="1" x14ac:dyDescent="0.35">
      <c r="A128" s="585" t="s">
        <v>425</v>
      </c>
      <c r="B128" s="566">
        <v>0</v>
      </c>
      <c r="C128" s="566">
        <v>0.03</v>
      </c>
      <c r="D128" s="567">
        <v>0.03</v>
      </c>
      <c r="E128" s="576" t="s">
        <v>312</v>
      </c>
      <c r="F128" s="566">
        <v>0</v>
      </c>
      <c r="G128" s="567">
        <v>0</v>
      </c>
      <c r="H128" s="569">
        <v>0</v>
      </c>
      <c r="I128" s="566">
        <v>0</v>
      </c>
      <c r="J128" s="567">
        <v>0</v>
      </c>
      <c r="K128" s="577" t="s">
        <v>306</v>
      </c>
    </row>
    <row r="129" spans="1:11" ht="14.4" customHeight="1" thickBot="1" x14ac:dyDescent="0.35">
      <c r="A129" s="586" t="s">
        <v>426</v>
      </c>
      <c r="B129" s="566">
        <v>0</v>
      </c>
      <c r="C129" s="566">
        <v>0.03</v>
      </c>
      <c r="D129" s="567">
        <v>0.03</v>
      </c>
      <c r="E129" s="576" t="s">
        <v>312</v>
      </c>
      <c r="F129" s="566">
        <v>0</v>
      </c>
      <c r="G129" s="567">
        <v>0</v>
      </c>
      <c r="H129" s="569">
        <v>0</v>
      </c>
      <c r="I129" s="566">
        <v>0</v>
      </c>
      <c r="J129" s="567">
        <v>0</v>
      </c>
      <c r="K129" s="577" t="s">
        <v>306</v>
      </c>
    </row>
    <row r="130" spans="1:11" ht="14.4" customHeight="1" thickBot="1" x14ac:dyDescent="0.35">
      <c r="A130" s="587" t="s">
        <v>427</v>
      </c>
      <c r="B130" s="571">
        <v>0</v>
      </c>
      <c r="C130" s="571">
        <v>0.03</v>
      </c>
      <c r="D130" s="572">
        <v>0.03</v>
      </c>
      <c r="E130" s="573" t="s">
        <v>312</v>
      </c>
      <c r="F130" s="571">
        <v>0</v>
      </c>
      <c r="G130" s="572">
        <v>0</v>
      </c>
      <c r="H130" s="574">
        <v>0</v>
      </c>
      <c r="I130" s="571">
        <v>0</v>
      </c>
      <c r="J130" s="572">
        <v>0</v>
      </c>
      <c r="K130" s="575" t="s">
        <v>306</v>
      </c>
    </row>
    <row r="131" spans="1:11" ht="14.4" customHeight="1" thickBot="1" x14ac:dyDescent="0.35">
      <c r="A131" s="588" t="s">
        <v>428</v>
      </c>
      <c r="B131" s="566">
        <v>0</v>
      </c>
      <c r="C131" s="566">
        <v>0.03</v>
      </c>
      <c r="D131" s="567">
        <v>0.03</v>
      </c>
      <c r="E131" s="576" t="s">
        <v>312</v>
      </c>
      <c r="F131" s="566">
        <v>0</v>
      </c>
      <c r="G131" s="567">
        <v>0</v>
      </c>
      <c r="H131" s="569">
        <v>0</v>
      </c>
      <c r="I131" s="566">
        <v>0</v>
      </c>
      <c r="J131" s="567">
        <v>0</v>
      </c>
      <c r="K131" s="577" t="s">
        <v>306</v>
      </c>
    </row>
    <row r="132" spans="1:11" ht="14.4" customHeight="1" thickBot="1" x14ac:dyDescent="0.35">
      <c r="A132" s="585" t="s">
        <v>429</v>
      </c>
      <c r="B132" s="566">
        <v>0</v>
      </c>
      <c r="C132" s="566">
        <v>55.127249999999997</v>
      </c>
      <c r="D132" s="567">
        <v>55.127249999999997</v>
      </c>
      <c r="E132" s="576" t="s">
        <v>306</v>
      </c>
      <c r="F132" s="566">
        <v>0</v>
      </c>
      <c r="G132" s="567">
        <v>0</v>
      </c>
      <c r="H132" s="569">
        <v>0.4</v>
      </c>
      <c r="I132" s="566">
        <v>49.472850000000001</v>
      </c>
      <c r="J132" s="567">
        <v>49.472850000000001</v>
      </c>
      <c r="K132" s="577" t="s">
        <v>306</v>
      </c>
    </row>
    <row r="133" spans="1:11" ht="14.4" customHeight="1" thickBot="1" x14ac:dyDescent="0.35">
      <c r="A133" s="586" t="s">
        <v>430</v>
      </c>
      <c r="B133" s="566">
        <v>0</v>
      </c>
      <c r="C133" s="566">
        <v>55.127249999999997</v>
      </c>
      <c r="D133" s="567">
        <v>55.127249999999997</v>
      </c>
      <c r="E133" s="576" t="s">
        <v>306</v>
      </c>
      <c r="F133" s="566">
        <v>0</v>
      </c>
      <c r="G133" s="567">
        <v>0</v>
      </c>
      <c r="H133" s="569">
        <v>0.4</v>
      </c>
      <c r="I133" s="566">
        <v>49.472850000000001</v>
      </c>
      <c r="J133" s="567">
        <v>49.472850000000001</v>
      </c>
      <c r="K133" s="577" t="s">
        <v>306</v>
      </c>
    </row>
    <row r="134" spans="1:11" ht="14.4" customHeight="1" thickBot="1" x14ac:dyDescent="0.35">
      <c r="A134" s="587" t="s">
        <v>431</v>
      </c>
      <c r="B134" s="571">
        <v>0</v>
      </c>
      <c r="C134" s="571">
        <v>45.627249999999997</v>
      </c>
      <c r="D134" s="572">
        <v>45.627249999999997</v>
      </c>
      <c r="E134" s="573" t="s">
        <v>306</v>
      </c>
      <c r="F134" s="571">
        <v>0</v>
      </c>
      <c r="G134" s="572">
        <v>0</v>
      </c>
      <c r="H134" s="574">
        <v>0.4</v>
      </c>
      <c r="I134" s="571">
        <v>32.814999999999998</v>
      </c>
      <c r="J134" s="572">
        <v>32.814999999999998</v>
      </c>
      <c r="K134" s="575" t="s">
        <v>306</v>
      </c>
    </row>
    <row r="135" spans="1:11" ht="14.4" customHeight="1" thickBot="1" x14ac:dyDescent="0.35">
      <c r="A135" s="588" t="s">
        <v>432</v>
      </c>
      <c r="B135" s="566">
        <v>0</v>
      </c>
      <c r="C135" s="566">
        <v>7.3592500000000003</v>
      </c>
      <c r="D135" s="567">
        <v>7.3592500000000003</v>
      </c>
      <c r="E135" s="576" t="s">
        <v>306</v>
      </c>
      <c r="F135" s="566">
        <v>0</v>
      </c>
      <c r="G135" s="567">
        <v>0</v>
      </c>
      <c r="H135" s="569">
        <v>0</v>
      </c>
      <c r="I135" s="566">
        <v>1.21</v>
      </c>
      <c r="J135" s="567">
        <v>1.21</v>
      </c>
      <c r="K135" s="577" t="s">
        <v>306</v>
      </c>
    </row>
    <row r="136" spans="1:11" ht="14.4" customHeight="1" thickBot="1" x14ac:dyDescent="0.35">
      <c r="A136" s="588" t="s">
        <v>433</v>
      </c>
      <c r="B136" s="566">
        <v>0</v>
      </c>
      <c r="C136" s="566">
        <v>12.5</v>
      </c>
      <c r="D136" s="567">
        <v>12.5</v>
      </c>
      <c r="E136" s="576" t="s">
        <v>306</v>
      </c>
      <c r="F136" s="566">
        <v>0</v>
      </c>
      <c r="G136" s="567">
        <v>0</v>
      </c>
      <c r="H136" s="569">
        <v>0</v>
      </c>
      <c r="I136" s="566">
        <v>8.4</v>
      </c>
      <c r="J136" s="567">
        <v>8.4</v>
      </c>
      <c r="K136" s="577" t="s">
        <v>306</v>
      </c>
    </row>
    <row r="137" spans="1:11" ht="14.4" customHeight="1" thickBot="1" x14ac:dyDescent="0.35">
      <c r="A137" s="588" t="s">
        <v>434</v>
      </c>
      <c r="B137" s="566">
        <v>0</v>
      </c>
      <c r="C137" s="566">
        <v>25.768000000000001</v>
      </c>
      <c r="D137" s="567">
        <v>25.768000000000001</v>
      </c>
      <c r="E137" s="576" t="s">
        <v>306</v>
      </c>
      <c r="F137" s="566">
        <v>0</v>
      </c>
      <c r="G137" s="567">
        <v>0</v>
      </c>
      <c r="H137" s="569">
        <v>0.4</v>
      </c>
      <c r="I137" s="566">
        <v>23.204999999999998</v>
      </c>
      <c r="J137" s="567">
        <v>23.204999999999998</v>
      </c>
      <c r="K137" s="577" t="s">
        <v>306</v>
      </c>
    </row>
    <row r="138" spans="1:11" ht="14.4" customHeight="1" thickBot="1" x14ac:dyDescent="0.35">
      <c r="A138" s="587" t="s">
        <v>435</v>
      </c>
      <c r="B138" s="571">
        <v>0</v>
      </c>
      <c r="C138" s="571">
        <v>0</v>
      </c>
      <c r="D138" s="572">
        <v>0</v>
      </c>
      <c r="E138" s="578">
        <v>1</v>
      </c>
      <c r="F138" s="571">
        <v>0</v>
      </c>
      <c r="G138" s="572">
        <v>0</v>
      </c>
      <c r="H138" s="574">
        <v>0</v>
      </c>
      <c r="I138" s="571">
        <v>10.65785</v>
      </c>
      <c r="J138" s="572">
        <v>10.65785</v>
      </c>
      <c r="K138" s="575" t="s">
        <v>312</v>
      </c>
    </row>
    <row r="139" spans="1:11" ht="14.4" customHeight="1" thickBot="1" x14ac:dyDescent="0.35">
      <c r="A139" s="588" t="s">
        <v>436</v>
      </c>
      <c r="B139" s="566">
        <v>0</v>
      </c>
      <c r="C139" s="566">
        <v>0</v>
      </c>
      <c r="D139" s="567">
        <v>0</v>
      </c>
      <c r="E139" s="568">
        <v>1</v>
      </c>
      <c r="F139" s="566">
        <v>0</v>
      </c>
      <c r="G139" s="567">
        <v>0</v>
      </c>
      <c r="H139" s="569">
        <v>0</v>
      </c>
      <c r="I139" s="566">
        <v>10.65785</v>
      </c>
      <c r="J139" s="567">
        <v>10.65785</v>
      </c>
      <c r="K139" s="577" t="s">
        <v>312</v>
      </c>
    </row>
    <row r="140" spans="1:11" ht="14.4" customHeight="1" thickBot="1" x14ac:dyDescent="0.35">
      <c r="A140" s="590" t="s">
        <v>437</v>
      </c>
      <c r="B140" s="566">
        <v>0</v>
      </c>
      <c r="C140" s="566">
        <v>7.1</v>
      </c>
      <c r="D140" s="567">
        <v>7.1</v>
      </c>
      <c r="E140" s="576" t="s">
        <v>306</v>
      </c>
      <c r="F140" s="566">
        <v>0</v>
      </c>
      <c r="G140" s="567">
        <v>0</v>
      </c>
      <c r="H140" s="569">
        <v>0</v>
      </c>
      <c r="I140" s="566">
        <v>6</v>
      </c>
      <c r="J140" s="567">
        <v>6</v>
      </c>
      <c r="K140" s="577" t="s">
        <v>306</v>
      </c>
    </row>
    <row r="141" spans="1:11" ht="14.4" customHeight="1" thickBot="1" x14ac:dyDescent="0.35">
      <c r="A141" s="588" t="s">
        <v>438</v>
      </c>
      <c r="B141" s="566">
        <v>0</v>
      </c>
      <c r="C141" s="566">
        <v>7.1</v>
      </c>
      <c r="D141" s="567">
        <v>7.1</v>
      </c>
      <c r="E141" s="576" t="s">
        <v>306</v>
      </c>
      <c r="F141" s="566">
        <v>0</v>
      </c>
      <c r="G141" s="567">
        <v>0</v>
      </c>
      <c r="H141" s="569">
        <v>0</v>
      </c>
      <c r="I141" s="566">
        <v>6</v>
      </c>
      <c r="J141" s="567">
        <v>6</v>
      </c>
      <c r="K141" s="577" t="s">
        <v>306</v>
      </c>
    </row>
    <row r="142" spans="1:11" ht="14.4" customHeight="1" thickBot="1" x14ac:dyDescent="0.35">
      <c r="A142" s="590" t="s">
        <v>439</v>
      </c>
      <c r="B142" s="566">
        <v>0</v>
      </c>
      <c r="C142" s="566">
        <v>2.4</v>
      </c>
      <c r="D142" s="567">
        <v>2.4</v>
      </c>
      <c r="E142" s="576" t="s">
        <v>306</v>
      </c>
      <c r="F142" s="566">
        <v>0</v>
      </c>
      <c r="G142" s="567">
        <v>0</v>
      </c>
      <c r="H142" s="569">
        <v>0</v>
      </c>
      <c r="I142" s="566">
        <v>0</v>
      </c>
      <c r="J142" s="567">
        <v>0</v>
      </c>
      <c r="K142" s="577" t="s">
        <v>306</v>
      </c>
    </row>
    <row r="143" spans="1:11" ht="14.4" customHeight="1" thickBot="1" x14ac:dyDescent="0.35">
      <c r="A143" s="588" t="s">
        <v>440</v>
      </c>
      <c r="B143" s="566">
        <v>0</v>
      </c>
      <c r="C143" s="566">
        <v>2.4</v>
      </c>
      <c r="D143" s="567">
        <v>2.4</v>
      </c>
      <c r="E143" s="576" t="s">
        <v>306</v>
      </c>
      <c r="F143" s="566">
        <v>0</v>
      </c>
      <c r="G143" s="567">
        <v>0</v>
      </c>
      <c r="H143" s="569">
        <v>0</v>
      </c>
      <c r="I143" s="566">
        <v>0</v>
      </c>
      <c r="J143" s="567">
        <v>0</v>
      </c>
      <c r="K143" s="577" t="s">
        <v>306</v>
      </c>
    </row>
    <row r="144" spans="1:11" ht="14.4" customHeight="1" thickBot="1" x14ac:dyDescent="0.35">
      <c r="A144" s="585" t="s">
        <v>441</v>
      </c>
      <c r="B144" s="566">
        <v>2180.9999999998799</v>
      </c>
      <c r="C144" s="566">
        <v>2601.0878200000002</v>
      </c>
      <c r="D144" s="567">
        <v>420.08782000012201</v>
      </c>
      <c r="E144" s="568">
        <v>1.1926124805130001</v>
      </c>
      <c r="F144" s="566">
        <v>2839.9962620438</v>
      </c>
      <c r="G144" s="567">
        <v>2129.99719653285</v>
      </c>
      <c r="H144" s="569">
        <v>245.11741000000001</v>
      </c>
      <c r="I144" s="566">
        <v>2393.9092500000002</v>
      </c>
      <c r="J144" s="567">
        <v>263.91205346715202</v>
      </c>
      <c r="K144" s="570">
        <v>0.842926901698</v>
      </c>
    </row>
    <row r="145" spans="1:11" ht="14.4" customHeight="1" thickBot="1" x14ac:dyDescent="0.35">
      <c r="A145" s="586" t="s">
        <v>442</v>
      </c>
      <c r="B145" s="566">
        <v>2180.9999999998799</v>
      </c>
      <c r="C145" s="566">
        <v>1994.0340000000001</v>
      </c>
      <c r="D145" s="567">
        <v>-186.96599999988001</v>
      </c>
      <c r="E145" s="568">
        <v>0.91427510316299998</v>
      </c>
      <c r="F145" s="566">
        <v>2721.9962620438</v>
      </c>
      <c r="G145" s="567">
        <v>2041.49719653285</v>
      </c>
      <c r="H145" s="569">
        <v>224.27099999999999</v>
      </c>
      <c r="I145" s="566">
        <v>2080.777</v>
      </c>
      <c r="J145" s="567">
        <v>39.279803467150998</v>
      </c>
      <c r="K145" s="570">
        <v>0.76443051337500001</v>
      </c>
    </row>
    <row r="146" spans="1:11" ht="14.4" customHeight="1" thickBot="1" x14ac:dyDescent="0.35">
      <c r="A146" s="587" t="s">
        <v>443</v>
      </c>
      <c r="B146" s="571">
        <v>2180.9999999998799</v>
      </c>
      <c r="C146" s="571">
        <v>1994.0340000000001</v>
      </c>
      <c r="D146" s="572">
        <v>-186.96599999988001</v>
      </c>
      <c r="E146" s="578">
        <v>0.91427510316299998</v>
      </c>
      <c r="F146" s="571">
        <v>2721.9962620438</v>
      </c>
      <c r="G146" s="572">
        <v>2041.49719653285</v>
      </c>
      <c r="H146" s="574">
        <v>224.27099999999999</v>
      </c>
      <c r="I146" s="571">
        <v>2068.277</v>
      </c>
      <c r="J146" s="572">
        <v>26.779803467151002</v>
      </c>
      <c r="K146" s="579">
        <v>0.75983829546000003</v>
      </c>
    </row>
    <row r="147" spans="1:11" ht="14.4" customHeight="1" thickBot="1" x14ac:dyDescent="0.35">
      <c r="A147" s="588" t="s">
        <v>444</v>
      </c>
      <c r="B147" s="566">
        <v>35.999999999998003</v>
      </c>
      <c r="C147" s="566">
        <v>74.501999999999995</v>
      </c>
      <c r="D147" s="567">
        <v>38.502000000001999</v>
      </c>
      <c r="E147" s="568">
        <v>2.0695000000000001</v>
      </c>
      <c r="F147" s="566">
        <v>105.995788643487</v>
      </c>
      <c r="G147" s="567">
        <v>79.496841482614002</v>
      </c>
      <c r="H147" s="569">
        <v>9.2149999999999999</v>
      </c>
      <c r="I147" s="566">
        <v>80.540999999999997</v>
      </c>
      <c r="J147" s="567">
        <v>1.0441585173850001</v>
      </c>
      <c r="K147" s="570">
        <v>0.75985094342600001</v>
      </c>
    </row>
    <row r="148" spans="1:11" ht="14.4" customHeight="1" thickBot="1" x14ac:dyDescent="0.35">
      <c r="A148" s="588" t="s">
        <v>445</v>
      </c>
      <c r="B148" s="566">
        <v>1591.99999999991</v>
      </c>
      <c r="C148" s="566">
        <v>1333.2650000000001</v>
      </c>
      <c r="D148" s="567">
        <v>-258.73499999991299</v>
      </c>
      <c r="E148" s="568">
        <v>0.83747801507499997</v>
      </c>
      <c r="F148" s="566">
        <v>2013.99999999996</v>
      </c>
      <c r="G148" s="567">
        <v>1510.49999999997</v>
      </c>
      <c r="H148" s="569">
        <v>164.084</v>
      </c>
      <c r="I148" s="566">
        <v>1525.654</v>
      </c>
      <c r="J148" s="567">
        <v>15.154000000028001</v>
      </c>
      <c r="K148" s="570">
        <v>0.75752432969200001</v>
      </c>
    </row>
    <row r="149" spans="1:11" ht="14.4" customHeight="1" thickBot="1" x14ac:dyDescent="0.35">
      <c r="A149" s="588" t="s">
        <v>446</v>
      </c>
      <c r="B149" s="566">
        <v>4.9999999999989999</v>
      </c>
      <c r="C149" s="566">
        <v>37.337000000000003</v>
      </c>
      <c r="D149" s="567">
        <v>32.337000000000003</v>
      </c>
      <c r="E149" s="568">
        <v>7.4673999999999996</v>
      </c>
      <c r="F149" s="566">
        <v>61.000510353907998</v>
      </c>
      <c r="G149" s="567">
        <v>45.750382765430999</v>
      </c>
      <c r="H149" s="569">
        <v>5.1079999999999997</v>
      </c>
      <c r="I149" s="566">
        <v>45.972000000000001</v>
      </c>
      <c r="J149" s="567">
        <v>0.221617234568</v>
      </c>
      <c r="K149" s="570">
        <v>0.75363303902300005</v>
      </c>
    </row>
    <row r="150" spans="1:11" ht="14.4" customHeight="1" thickBot="1" x14ac:dyDescent="0.35">
      <c r="A150" s="588" t="s">
        <v>447</v>
      </c>
      <c r="B150" s="566">
        <v>0.99999999999900002</v>
      </c>
      <c r="C150" s="566">
        <v>2.5259999999999998</v>
      </c>
      <c r="D150" s="567">
        <v>1.526</v>
      </c>
      <c r="E150" s="568">
        <v>2.5259999999999998</v>
      </c>
      <c r="F150" s="566">
        <v>2.99996304645</v>
      </c>
      <c r="G150" s="567">
        <v>2.2499722848369998</v>
      </c>
      <c r="H150" s="569">
        <v>0.27100000000000002</v>
      </c>
      <c r="I150" s="566">
        <v>2.403</v>
      </c>
      <c r="J150" s="567">
        <v>0.15302771516200001</v>
      </c>
      <c r="K150" s="570">
        <v>0.80100986671899999</v>
      </c>
    </row>
    <row r="151" spans="1:11" ht="14.4" customHeight="1" thickBot="1" x14ac:dyDescent="0.35">
      <c r="A151" s="588" t="s">
        <v>448</v>
      </c>
      <c r="B151" s="566">
        <v>546.99999999996999</v>
      </c>
      <c r="C151" s="566">
        <v>546.404</v>
      </c>
      <c r="D151" s="567">
        <v>-0.59599999996899999</v>
      </c>
      <c r="E151" s="568">
        <v>0.998910420475</v>
      </c>
      <c r="F151" s="566">
        <v>537.99999999999</v>
      </c>
      <c r="G151" s="567">
        <v>403.49999999999301</v>
      </c>
      <c r="H151" s="569">
        <v>45.593000000000004</v>
      </c>
      <c r="I151" s="566">
        <v>413.70699999999999</v>
      </c>
      <c r="J151" s="567">
        <v>10.207000000007</v>
      </c>
      <c r="K151" s="570">
        <v>0.76897211895899997</v>
      </c>
    </row>
    <row r="152" spans="1:11" ht="14.4" customHeight="1" thickBot="1" x14ac:dyDescent="0.35">
      <c r="A152" s="587" t="s">
        <v>449</v>
      </c>
      <c r="B152" s="571">
        <v>0</v>
      </c>
      <c r="C152" s="571">
        <v>0</v>
      </c>
      <c r="D152" s="572">
        <v>0</v>
      </c>
      <c r="E152" s="573" t="s">
        <v>306</v>
      </c>
      <c r="F152" s="571">
        <v>0</v>
      </c>
      <c r="G152" s="572">
        <v>0</v>
      </c>
      <c r="H152" s="574">
        <v>0</v>
      </c>
      <c r="I152" s="571">
        <v>12.5</v>
      </c>
      <c r="J152" s="572">
        <v>12.5</v>
      </c>
      <c r="K152" s="575" t="s">
        <v>312</v>
      </c>
    </row>
    <row r="153" spans="1:11" ht="14.4" customHeight="1" thickBot="1" x14ac:dyDescent="0.35">
      <c r="A153" s="588" t="s">
        <v>450</v>
      </c>
      <c r="B153" s="566">
        <v>0</v>
      </c>
      <c r="C153" s="566">
        <v>0</v>
      </c>
      <c r="D153" s="567">
        <v>0</v>
      </c>
      <c r="E153" s="576" t="s">
        <v>306</v>
      </c>
      <c r="F153" s="566">
        <v>0</v>
      </c>
      <c r="G153" s="567">
        <v>0</v>
      </c>
      <c r="H153" s="569">
        <v>0</v>
      </c>
      <c r="I153" s="566">
        <v>8</v>
      </c>
      <c r="J153" s="567">
        <v>8</v>
      </c>
      <c r="K153" s="577" t="s">
        <v>312</v>
      </c>
    </row>
    <row r="154" spans="1:11" ht="14.4" customHeight="1" thickBot="1" x14ac:dyDescent="0.35">
      <c r="A154" s="588" t="s">
        <v>451</v>
      </c>
      <c r="B154" s="566">
        <v>0</v>
      </c>
      <c r="C154" s="566">
        <v>0</v>
      </c>
      <c r="D154" s="567">
        <v>0</v>
      </c>
      <c r="E154" s="568">
        <v>1</v>
      </c>
      <c r="F154" s="566">
        <v>0</v>
      </c>
      <c r="G154" s="567">
        <v>0</v>
      </c>
      <c r="H154" s="569">
        <v>0</v>
      </c>
      <c r="I154" s="566">
        <v>4.5</v>
      </c>
      <c r="J154" s="567">
        <v>4.5</v>
      </c>
      <c r="K154" s="577" t="s">
        <v>312</v>
      </c>
    </row>
    <row r="155" spans="1:11" ht="14.4" customHeight="1" thickBot="1" x14ac:dyDescent="0.35">
      <c r="A155" s="586" t="s">
        <v>452</v>
      </c>
      <c r="B155" s="566">
        <v>0</v>
      </c>
      <c r="C155" s="566">
        <v>1.881</v>
      </c>
      <c r="D155" s="567">
        <v>1.881</v>
      </c>
      <c r="E155" s="576" t="s">
        <v>312</v>
      </c>
      <c r="F155" s="566">
        <v>0</v>
      </c>
      <c r="G155" s="567">
        <v>0</v>
      </c>
      <c r="H155" s="569">
        <v>0</v>
      </c>
      <c r="I155" s="566">
        <v>0</v>
      </c>
      <c r="J155" s="567">
        <v>0</v>
      </c>
      <c r="K155" s="577" t="s">
        <v>306</v>
      </c>
    </row>
    <row r="156" spans="1:11" ht="14.4" customHeight="1" thickBot="1" x14ac:dyDescent="0.35">
      <c r="A156" s="587" t="s">
        <v>453</v>
      </c>
      <c r="B156" s="571">
        <v>0</v>
      </c>
      <c r="C156" s="571">
        <v>1.881</v>
      </c>
      <c r="D156" s="572">
        <v>1.881</v>
      </c>
      <c r="E156" s="573" t="s">
        <v>312</v>
      </c>
      <c r="F156" s="571">
        <v>0</v>
      </c>
      <c r="G156" s="572">
        <v>0</v>
      </c>
      <c r="H156" s="574">
        <v>0</v>
      </c>
      <c r="I156" s="571">
        <v>0</v>
      </c>
      <c r="J156" s="572">
        <v>0</v>
      </c>
      <c r="K156" s="575" t="s">
        <v>306</v>
      </c>
    </row>
    <row r="157" spans="1:11" ht="14.4" customHeight="1" thickBot="1" x14ac:dyDescent="0.35">
      <c r="A157" s="588" t="s">
        <v>454</v>
      </c>
      <c r="B157" s="566">
        <v>0</v>
      </c>
      <c r="C157" s="566">
        <v>1.881</v>
      </c>
      <c r="D157" s="567">
        <v>1.881</v>
      </c>
      <c r="E157" s="576" t="s">
        <v>312</v>
      </c>
      <c r="F157" s="566">
        <v>0</v>
      </c>
      <c r="G157" s="567">
        <v>0</v>
      </c>
      <c r="H157" s="569">
        <v>0</v>
      </c>
      <c r="I157" s="566">
        <v>0</v>
      </c>
      <c r="J157" s="567">
        <v>0</v>
      </c>
      <c r="K157" s="577" t="s">
        <v>306</v>
      </c>
    </row>
    <row r="158" spans="1:11" ht="14.4" customHeight="1" thickBot="1" x14ac:dyDescent="0.35">
      <c r="A158" s="586" t="s">
        <v>455</v>
      </c>
      <c r="B158" s="566">
        <v>0</v>
      </c>
      <c r="C158" s="566">
        <v>605.17282000000205</v>
      </c>
      <c r="D158" s="567">
        <v>605.17282000000205</v>
      </c>
      <c r="E158" s="576" t="s">
        <v>306</v>
      </c>
      <c r="F158" s="566">
        <v>118</v>
      </c>
      <c r="G158" s="567">
        <v>88.5</v>
      </c>
      <c r="H158" s="569">
        <v>20.846409999999999</v>
      </c>
      <c r="I158" s="566">
        <v>313.13225</v>
      </c>
      <c r="J158" s="567">
        <v>224.63225</v>
      </c>
      <c r="K158" s="570">
        <v>2.6536631355929998</v>
      </c>
    </row>
    <row r="159" spans="1:11" ht="14.4" customHeight="1" thickBot="1" x14ac:dyDescent="0.35">
      <c r="A159" s="587" t="s">
        <v>456</v>
      </c>
      <c r="B159" s="571">
        <v>0</v>
      </c>
      <c r="C159" s="571">
        <v>330.01193000000097</v>
      </c>
      <c r="D159" s="572">
        <v>330.01193000000097</v>
      </c>
      <c r="E159" s="573" t="s">
        <v>306</v>
      </c>
      <c r="F159" s="571">
        <v>118</v>
      </c>
      <c r="G159" s="572">
        <v>88.5</v>
      </c>
      <c r="H159" s="574">
        <v>16.732410000000002</v>
      </c>
      <c r="I159" s="571">
        <v>234.21182999999999</v>
      </c>
      <c r="J159" s="572">
        <v>145.71182999999999</v>
      </c>
      <c r="K159" s="579">
        <v>1.9848460169490001</v>
      </c>
    </row>
    <row r="160" spans="1:11" ht="14.4" customHeight="1" thickBot="1" x14ac:dyDescent="0.35">
      <c r="A160" s="588" t="s">
        <v>457</v>
      </c>
      <c r="B160" s="566">
        <v>0</v>
      </c>
      <c r="C160" s="566">
        <v>281.61266000000097</v>
      </c>
      <c r="D160" s="567">
        <v>281.61266000000097</v>
      </c>
      <c r="E160" s="576" t="s">
        <v>306</v>
      </c>
      <c r="F160" s="566">
        <v>118</v>
      </c>
      <c r="G160" s="567">
        <v>88.5</v>
      </c>
      <c r="H160" s="569">
        <v>16.732410000000002</v>
      </c>
      <c r="I160" s="566">
        <v>190.79765</v>
      </c>
      <c r="J160" s="567">
        <v>102.29765</v>
      </c>
      <c r="K160" s="570">
        <v>1.616929237288</v>
      </c>
    </row>
    <row r="161" spans="1:11" ht="14.4" customHeight="1" thickBot="1" x14ac:dyDescent="0.35">
      <c r="A161" s="588" t="s">
        <v>458</v>
      </c>
      <c r="B161" s="566">
        <v>0</v>
      </c>
      <c r="C161" s="566">
        <v>34.00027</v>
      </c>
      <c r="D161" s="567">
        <v>34.00027</v>
      </c>
      <c r="E161" s="576" t="s">
        <v>306</v>
      </c>
      <c r="F161" s="566">
        <v>0</v>
      </c>
      <c r="G161" s="567">
        <v>0</v>
      </c>
      <c r="H161" s="569">
        <v>0</v>
      </c>
      <c r="I161" s="566">
        <v>9.5</v>
      </c>
      <c r="J161" s="567">
        <v>9.5</v>
      </c>
      <c r="K161" s="577" t="s">
        <v>306</v>
      </c>
    </row>
    <row r="162" spans="1:11" ht="14.4" customHeight="1" thickBot="1" x14ac:dyDescent="0.35">
      <c r="A162" s="588" t="s">
        <v>459</v>
      </c>
      <c r="B162" s="566">
        <v>0</v>
      </c>
      <c r="C162" s="566">
        <v>14.398999999999999</v>
      </c>
      <c r="D162" s="567">
        <v>14.398999999999999</v>
      </c>
      <c r="E162" s="576" t="s">
        <v>312</v>
      </c>
      <c r="F162" s="566">
        <v>0</v>
      </c>
      <c r="G162" s="567">
        <v>0</v>
      </c>
      <c r="H162" s="569">
        <v>0</v>
      </c>
      <c r="I162" s="566">
        <v>33.914180000000002</v>
      </c>
      <c r="J162" s="567">
        <v>33.914180000000002</v>
      </c>
      <c r="K162" s="577" t="s">
        <v>312</v>
      </c>
    </row>
    <row r="163" spans="1:11" ht="14.4" customHeight="1" thickBot="1" x14ac:dyDescent="0.35">
      <c r="A163" s="587" t="s">
        <v>460</v>
      </c>
      <c r="B163" s="571">
        <v>0</v>
      </c>
      <c r="C163" s="571">
        <v>27.681999999999999</v>
      </c>
      <c r="D163" s="572">
        <v>27.681999999999999</v>
      </c>
      <c r="E163" s="573" t="s">
        <v>306</v>
      </c>
      <c r="F163" s="571">
        <v>0</v>
      </c>
      <c r="G163" s="572">
        <v>0</v>
      </c>
      <c r="H163" s="574">
        <v>0</v>
      </c>
      <c r="I163" s="571">
        <v>0</v>
      </c>
      <c r="J163" s="572">
        <v>0</v>
      </c>
      <c r="K163" s="575" t="s">
        <v>306</v>
      </c>
    </row>
    <row r="164" spans="1:11" ht="14.4" customHeight="1" thickBot="1" x14ac:dyDescent="0.35">
      <c r="A164" s="588" t="s">
        <v>461</v>
      </c>
      <c r="B164" s="566">
        <v>0</v>
      </c>
      <c r="C164" s="566">
        <v>13.58</v>
      </c>
      <c r="D164" s="567">
        <v>13.58</v>
      </c>
      <c r="E164" s="576" t="s">
        <v>306</v>
      </c>
      <c r="F164" s="566">
        <v>0</v>
      </c>
      <c r="G164" s="567">
        <v>0</v>
      </c>
      <c r="H164" s="569">
        <v>0</v>
      </c>
      <c r="I164" s="566">
        <v>0</v>
      </c>
      <c r="J164" s="567">
        <v>0</v>
      </c>
      <c r="K164" s="577" t="s">
        <v>306</v>
      </c>
    </row>
    <row r="165" spans="1:11" ht="14.4" customHeight="1" thickBot="1" x14ac:dyDescent="0.35">
      <c r="A165" s="588" t="s">
        <v>462</v>
      </c>
      <c r="B165" s="566">
        <v>0</v>
      </c>
      <c r="C165" s="566">
        <v>5.4</v>
      </c>
      <c r="D165" s="567">
        <v>5.4</v>
      </c>
      <c r="E165" s="576" t="s">
        <v>312</v>
      </c>
      <c r="F165" s="566">
        <v>0</v>
      </c>
      <c r="G165" s="567">
        <v>0</v>
      </c>
      <c r="H165" s="569">
        <v>0</v>
      </c>
      <c r="I165" s="566">
        <v>0</v>
      </c>
      <c r="J165" s="567">
        <v>0</v>
      </c>
      <c r="K165" s="577" t="s">
        <v>306</v>
      </c>
    </row>
    <row r="166" spans="1:11" ht="14.4" customHeight="1" thickBot="1" x14ac:dyDescent="0.35">
      <c r="A166" s="588" t="s">
        <v>463</v>
      </c>
      <c r="B166" s="566">
        <v>0</v>
      </c>
      <c r="C166" s="566">
        <v>8.702</v>
      </c>
      <c r="D166" s="567">
        <v>8.702</v>
      </c>
      <c r="E166" s="576" t="s">
        <v>312</v>
      </c>
      <c r="F166" s="566">
        <v>0</v>
      </c>
      <c r="G166" s="567">
        <v>0</v>
      </c>
      <c r="H166" s="569">
        <v>0</v>
      </c>
      <c r="I166" s="566">
        <v>0</v>
      </c>
      <c r="J166" s="567">
        <v>0</v>
      </c>
      <c r="K166" s="577" t="s">
        <v>306</v>
      </c>
    </row>
    <row r="167" spans="1:11" ht="14.4" customHeight="1" thickBot="1" x14ac:dyDescent="0.35">
      <c r="A167" s="587" t="s">
        <v>464</v>
      </c>
      <c r="B167" s="571">
        <v>0</v>
      </c>
      <c r="C167" s="571">
        <v>0</v>
      </c>
      <c r="D167" s="572">
        <v>0</v>
      </c>
      <c r="E167" s="578">
        <v>1</v>
      </c>
      <c r="F167" s="571">
        <v>0</v>
      </c>
      <c r="G167" s="572">
        <v>0</v>
      </c>
      <c r="H167" s="574">
        <v>4.1139999999999999</v>
      </c>
      <c r="I167" s="571">
        <v>4.1139999999999999</v>
      </c>
      <c r="J167" s="572">
        <v>4.1139999999999999</v>
      </c>
      <c r="K167" s="575" t="s">
        <v>312</v>
      </c>
    </row>
    <row r="168" spans="1:11" ht="14.4" customHeight="1" thickBot="1" x14ac:dyDescent="0.35">
      <c r="A168" s="588" t="s">
        <v>465</v>
      </c>
      <c r="B168" s="566">
        <v>0</v>
      </c>
      <c r="C168" s="566">
        <v>0</v>
      </c>
      <c r="D168" s="567">
        <v>0</v>
      </c>
      <c r="E168" s="568">
        <v>1</v>
      </c>
      <c r="F168" s="566">
        <v>0</v>
      </c>
      <c r="G168" s="567">
        <v>0</v>
      </c>
      <c r="H168" s="569">
        <v>4.1139999999999999</v>
      </c>
      <c r="I168" s="566">
        <v>4.1139999999999999</v>
      </c>
      <c r="J168" s="567">
        <v>4.1139999999999999</v>
      </c>
      <c r="K168" s="577" t="s">
        <v>312</v>
      </c>
    </row>
    <row r="169" spans="1:11" ht="14.4" customHeight="1" thickBot="1" x14ac:dyDescent="0.35">
      <c r="A169" s="587" t="s">
        <v>466</v>
      </c>
      <c r="B169" s="571">
        <v>0</v>
      </c>
      <c r="C169" s="571">
        <v>169.00159000000099</v>
      </c>
      <c r="D169" s="572">
        <v>169.00159000000099</v>
      </c>
      <c r="E169" s="573" t="s">
        <v>306</v>
      </c>
      <c r="F169" s="571">
        <v>0</v>
      </c>
      <c r="G169" s="572">
        <v>0</v>
      </c>
      <c r="H169" s="574">
        <v>0</v>
      </c>
      <c r="I169" s="571">
        <v>4.3319999999999999</v>
      </c>
      <c r="J169" s="572">
        <v>4.3319999999999999</v>
      </c>
      <c r="K169" s="575" t="s">
        <v>306</v>
      </c>
    </row>
    <row r="170" spans="1:11" ht="14.4" customHeight="1" thickBot="1" x14ac:dyDescent="0.35">
      <c r="A170" s="588" t="s">
        <v>467</v>
      </c>
      <c r="B170" s="566">
        <v>0</v>
      </c>
      <c r="C170" s="566">
        <v>169.00159000000099</v>
      </c>
      <c r="D170" s="567">
        <v>169.00159000000099</v>
      </c>
      <c r="E170" s="576" t="s">
        <v>306</v>
      </c>
      <c r="F170" s="566">
        <v>0</v>
      </c>
      <c r="G170" s="567">
        <v>0</v>
      </c>
      <c r="H170" s="569">
        <v>0</v>
      </c>
      <c r="I170" s="566">
        <v>1.452</v>
      </c>
      <c r="J170" s="567">
        <v>1.452</v>
      </c>
      <c r="K170" s="577" t="s">
        <v>306</v>
      </c>
    </row>
    <row r="171" spans="1:11" ht="14.4" customHeight="1" thickBot="1" x14ac:dyDescent="0.35">
      <c r="A171" s="588" t="s">
        <v>468</v>
      </c>
      <c r="B171" s="566">
        <v>0</v>
      </c>
      <c r="C171" s="566">
        <v>0</v>
      </c>
      <c r="D171" s="567">
        <v>0</v>
      </c>
      <c r="E171" s="576" t="s">
        <v>306</v>
      </c>
      <c r="F171" s="566">
        <v>0</v>
      </c>
      <c r="G171" s="567">
        <v>0</v>
      </c>
      <c r="H171" s="569">
        <v>0</v>
      </c>
      <c r="I171" s="566">
        <v>2.88</v>
      </c>
      <c r="J171" s="567">
        <v>2.88</v>
      </c>
      <c r="K171" s="577" t="s">
        <v>312</v>
      </c>
    </row>
    <row r="172" spans="1:11" ht="14.4" customHeight="1" thickBot="1" x14ac:dyDescent="0.35">
      <c r="A172" s="587" t="s">
        <v>469</v>
      </c>
      <c r="B172" s="571">
        <v>0</v>
      </c>
      <c r="C172" s="571">
        <v>78.4773</v>
      </c>
      <c r="D172" s="572">
        <v>78.4773</v>
      </c>
      <c r="E172" s="573" t="s">
        <v>312</v>
      </c>
      <c r="F172" s="571">
        <v>0</v>
      </c>
      <c r="G172" s="572">
        <v>0</v>
      </c>
      <c r="H172" s="574">
        <v>0</v>
      </c>
      <c r="I172" s="571">
        <v>70.474419999999995</v>
      </c>
      <c r="J172" s="572">
        <v>70.474419999999995</v>
      </c>
      <c r="K172" s="575" t="s">
        <v>306</v>
      </c>
    </row>
    <row r="173" spans="1:11" ht="14.4" customHeight="1" thickBot="1" x14ac:dyDescent="0.35">
      <c r="A173" s="588" t="s">
        <v>470</v>
      </c>
      <c r="B173" s="566">
        <v>0</v>
      </c>
      <c r="C173" s="566">
        <v>49.081299999999999</v>
      </c>
      <c r="D173" s="567">
        <v>49.081299999999999</v>
      </c>
      <c r="E173" s="576" t="s">
        <v>312</v>
      </c>
      <c r="F173" s="566">
        <v>0</v>
      </c>
      <c r="G173" s="567">
        <v>0</v>
      </c>
      <c r="H173" s="569">
        <v>0</v>
      </c>
      <c r="I173" s="566">
        <v>17.3078</v>
      </c>
      <c r="J173" s="567">
        <v>17.3078</v>
      </c>
      <c r="K173" s="577" t="s">
        <v>306</v>
      </c>
    </row>
    <row r="174" spans="1:11" ht="14.4" customHeight="1" thickBot="1" x14ac:dyDescent="0.35">
      <c r="A174" s="588" t="s">
        <v>471</v>
      </c>
      <c r="B174" s="566">
        <v>0</v>
      </c>
      <c r="C174" s="566">
        <v>29.396000000000001</v>
      </c>
      <c r="D174" s="567">
        <v>29.396000000000001</v>
      </c>
      <c r="E174" s="576" t="s">
        <v>312</v>
      </c>
      <c r="F174" s="566">
        <v>0</v>
      </c>
      <c r="G174" s="567">
        <v>0</v>
      </c>
      <c r="H174" s="569">
        <v>0</v>
      </c>
      <c r="I174" s="566">
        <v>9.58</v>
      </c>
      <c r="J174" s="567">
        <v>9.58</v>
      </c>
      <c r="K174" s="577" t="s">
        <v>306</v>
      </c>
    </row>
    <row r="175" spans="1:11" ht="14.4" customHeight="1" thickBot="1" x14ac:dyDescent="0.35">
      <c r="A175" s="588" t="s">
        <v>472</v>
      </c>
      <c r="B175" s="566">
        <v>0</v>
      </c>
      <c r="C175" s="566">
        <v>0</v>
      </c>
      <c r="D175" s="567">
        <v>0</v>
      </c>
      <c r="E175" s="568">
        <v>1</v>
      </c>
      <c r="F175" s="566">
        <v>0</v>
      </c>
      <c r="G175" s="567">
        <v>0</v>
      </c>
      <c r="H175" s="569">
        <v>0</v>
      </c>
      <c r="I175" s="566">
        <v>43.586620000000003</v>
      </c>
      <c r="J175" s="567">
        <v>43.586620000000003</v>
      </c>
      <c r="K175" s="577" t="s">
        <v>312</v>
      </c>
    </row>
    <row r="176" spans="1:11" ht="14.4" customHeight="1" thickBot="1" x14ac:dyDescent="0.35">
      <c r="A176" s="585" t="s">
        <v>473</v>
      </c>
      <c r="B176" s="566">
        <v>0</v>
      </c>
      <c r="C176" s="566">
        <v>0</v>
      </c>
      <c r="D176" s="567">
        <v>0</v>
      </c>
      <c r="E176" s="576" t="s">
        <v>306</v>
      </c>
      <c r="F176" s="566">
        <v>0</v>
      </c>
      <c r="G176" s="567">
        <v>0</v>
      </c>
      <c r="H176" s="569">
        <v>2.6429999999999999E-2</v>
      </c>
      <c r="I176" s="566">
        <v>2.6429999999999999E-2</v>
      </c>
      <c r="J176" s="567">
        <v>2.6429999999999999E-2</v>
      </c>
      <c r="K176" s="577" t="s">
        <v>312</v>
      </c>
    </row>
    <row r="177" spans="1:11" ht="14.4" customHeight="1" thickBot="1" x14ac:dyDescent="0.35">
      <c r="A177" s="586" t="s">
        <v>474</v>
      </c>
      <c r="B177" s="566">
        <v>0</v>
      </c>
      <c r="C177" s="566">
        <v>0</v>
      </c>
      <c r="D177" s="567">
        <v>0</v>
      </c>
      <c r="E177" s="576" t="s">
        <v>306</v>
      </c>
      <c r="F177" s="566">
        <v>0</v>
      </c>
      <c r="G177" s="567">
        <v>0</v>
      </c>
      <c r="H177" s="569">
        <v>2.6429999999999999E-2</v>
      </c>
      <c r="I177" s="566">
        <v>2.6429999999999999E-2</v>
      </c>
      <c r="J177" s="567">
        <v>2.6429999999999999E-2</v>
      </c>
      <c r="K177" s="577" t="s">
        <v>312</v>
      </c>
    </row>
    <row r="178" spans="1:11" ht="14.4" customHeight="1" thickBot="1" x14ac:dyDescent="0.35">
      <c r="A178" s="587" t="s">
        <v>475</v>
      </c>
      <c r="B178" s="571">
        <v>0</v>
      </c>
      <c r="C178" s="571">
        <v>0</v>
      </c>
      <c r="D178" s="572">
        <v>0</v>
      </c>
      <c r="E178" s="573" t="s">
        <v>306</v>
      </c>
      <c r="F178" s="571">
        <v>0</v>
      </c>
      <c r="G178" s="572">
        <v>0</v>
      </c>
      <c r="H178" s="574">
        <v>2.6429999999999999E-2</v>
      </c>
      <c r="I178" s="571">
        <v>2.6429999999999999E-2</v>
      </c>
      <c r="J178" s="572">
        <v>2.6429999999999999E-2</v>
      </c>
      <c r="K178" s="575" t="s">
        <v>312</v>
      </c>
    </row>
    <row r="179" spans="1:11" ht="14.4" customHeight="1" thickBot="1" x14ac:dyDescent="0.35">
      <c r="A179" s="588" t="s">
        <v>476</v>
      </c>
      <c r="B179" s="566">
        <v>0</v>
      </c>
      <c r="C179" s="566">
        <v>0</v>
      </c>
      <c r="D179" s="567">
        <v>0</v>
      </c>
      <c r="E179" s="576" t="s">
        <v>306</v>
      </c>
      <c r="F179" s="566">
        <v>0</v>
      </c>
      <c r="G179" s="567">
        <v>0</v>
      </c>
      <c r="H179" s="569">
        <v>2.6429999999999999E-2</v>
      </c>
      <c r="I179" s="566">
        <v>2.6429999999999999E-2</v>
      </c>
      <c r="J179" s="567">
        <v>2.6429999999999999E-2</v>
      </c>
      <c r="K179" s="577" t="s">
        <v>312</v>
      </c>
    </row>
    <row r="180" spans="1:11" ht="14.4" customHeight="1" thickBot="1" x14ac:dyDescent="0.35">
      <c r="A180" s="584" t="s">
        <v>477</v>
      </c>
      <c r="B180" s="566">
        <v>72279.131266304496</v>
      </c>
      <c r="C180" s="566">
        <v>76687.205470000001</v>
      </c>
      <c r="D180" s="567">
        <v>4408.0742036955298</v>
      </c>
      <c r="E180" s="568">
        <v>1.0609868177220001</v>
      </c>
      <c r="F180" s="566">
        <v>74347.813103783701</v>
      </c>
      <c r="G180" s="567">
        <v>55760.859827837798</v>
      </c>
      <c r="H180" s="569">
        <v>7062.3890000000001</v>
      </c>
      <c r="I180" s="566">
        <v>59566.695599999999</v>
      </c>
      <c r="J180" s="567">
        <v>3805.8357721621901</v>
      </c>
      <c r="K180" s="570">
        <v>0.80118961289199997</v>
      </c>
    </row>
    <row r="181" spans="1:11" ht="14.4" customHeight="1" thickBot="1" x14ac:dyDescent="0.35">
      <c r="A181" s="585" t="s">
        <v>478</v>
      </c>
      <c r="B181" s="566">
        <v>71350.136503434696</v>
      </c>
      <c r="C181" s="566">
        <v>75042.519650000002</v>
      </c>
      <c r="D181" s="567">
        <v>3692.3831465652602</v>
      </c>
      <c r="E181" s="568">
        <v>1.0517501903640001</v>
      </c>
      <c r="F181" s="566">
        <v>74255.478623281306</v>
      </c>
      <c r="G181" s="567">
        <v>55691.608967460998</v>
      </c>
      <c r="H181" s="569">
        <v>7047.9292999999998</v>
      </c>
      <c r="I181" s="566">
        <v>59243.53903</v>
      </c>
      <c r="J181" s="567">
        <v>3551.9300625390301</v>
      </c>
      <c r="K181" s="570">
        <v>0.79783391243799995</v>
      </c>
    </row>
    <row r="182" spans="1:11" ht="14.4" customHeight="1" thickBot="1" x14ac:dyDescent="0.35">
      <c r="A182" s="586" t="s">
        <v>479</v>
      </c>
      <c r="B182" s="566">
        <v>71350.136503434696</v>
      </c>
      <c r="C182" s="566">
        <v>75002.562170000005</v>
      </c>
      <c r="D182" s="567">
        <v>3652.4256665652501</v>
      </c>
      <c r="E182" s="568">
        <v>1.0511901706919999</v>
      </c>
      <c r="F182" s="566">
        <v>74255.478623281306</v>
      </c>
      <c r="G182" s="567">
        <v>55691.608967460998</v>
      </c>
      <c r="H182" s="569">
        <v>7033.8656199999996</v>
      </c>
      <c r="I182" s="566">
        <v>59130.061070000003</v>
      </c>
      <c r="J182" s="567">
        <v>3438.45210253903</v>
      </c>
      <c r="K182" s="570">
        <v>0.79630570250499999</v>
      </c>
    </row>
    <row r="183" spans="1:11" ht="14.4" customHeight="1" thickBot="1" x14ac:dyDescent="0.35">
      <c r="A183" s="587" t="s">
        <v>480</v>
      </c>
      <c r="B183" s="571">
        <v>40.136748537496999</v>
      </c>
      <c r="C183" s="571">
        <v>25.555620000000001</v>
      </c>
      <c r="D183" s="572">
        <v>-14.581128537496999</v>
      </c>
      <c r="E183" s="578">
        <v>0.636713758119</v>
      </c>
      <c r="F183" s="571">
        <v>23.478623281265001</v>
      </c>
      <c r="G183" s="572">
        <v>17.608967460948001</v>
      </c>
      <c r="H183" s="574">
        <v>0</v>
      </c>
      <c r="I183" s="571">
        <v>-0.54813999999899998</v>
      </c>
      <c r="J183" s="572">
        <v>-18.157107460948001</v>
      </c>
      <c r="K183" s="579">
        <v>-2.3346343328000001E-2</v>
      </c>
    </row>
    <row r="184" spans="1:11" ht="14.4" customHeight="1" thickBot="1" x14ac:dyDescent="0.35">
      <c r="A184" s="588" t="s">
        <v>481</v>
      </c>
      <c r="B184" s="566">
        <v>39.852782776868999</v>
      </c>
      <c r="C184" s="566">
        <v>19.328220000000002</v>
      </c>
      <c r="D184" s="567">
        <v>-20.524562776869001</v>
      </c>
      <c r="E184" s="568">
        <v>0.48499047376900001</v>
      </c>
      <c r="F184" s="566">
        <v>16.719649588503</v>
      </c>
      <c r="G184" s="567">
        <v>12.539737191377</v>
      </c>
      <c r="H184" s="569">
        <v>0</v>
      </c>
      <c r="I184" s="566">
        <v>-2.2264400000000002</v>
      </c>
      <c r="J184" s="567">
        <v>-14.766177191377</v>
      </c>
      <c r="K184" s="570">
        <v>-0.133163077863</v>
      </c>
    </row>
    <row r="185" spans="1:11" ht="14.4" customHeight="1" thickBot="1" x14ac:dyDescent="0.35">
      <c r="A185" s="588" t="s">
        <v>482</v>
      </c>
      <c r="B185" s="566">
        <v>7.6841462451E-2</v>
      </c>
      <c r="C185" s="566">
        <v>6.2274000000000003</v>
      </c>
      <c r="D185" s="567">
        <v>6.1505585375480001</v>
      </c>
      <c r="E185" s="568">
        <v>81.042184795999006</v>
      </c>
      <c r="F185" s="566">
        <v>6.7589736927609998</v>
      </c>
      <c r="G185" s="567">
        <v>5.0692302695710003</v>
      </c>
      <c r="H185" s="569">
        <v>0</v>
      </c>
      <c r="I185" s="566">
        <v>1.6782999999999999</v>
      </c>
      <c r="J185" s="567">
        <v>-3.3909302695710002</v>
      </c>
      <c r="K185" s="570">
        <v>0.248306928875</v>
      </c>
    </row>
    <row r="186" spans="1:11" ht="14.4" customHeight="1" thickBot="1" x14ac:dyDescent="0.35">
      <c r="A186" s="587" t="s">
        <v>483</v>
      </c>
      <c r="B186" s="571">
        <v>0</v>
      </c>
      <c r="C186" s="571">
        <v>33.123600000000003</v>
      </c>
      <c r="D186" s="572">
        <v>33.123600000000003</v>
      </c>
      <c r="E186" s="573" t="s">
        <v>306</v>
      </c>
      <c r="F186" s="571">
        <v>0</v>
      </c>
      <c r="G186" s="572">
        <v>0</v>
      </c>
      <c r="H186" s="574">
        <v>6.6670999999999996</v>
      </c>
      <c r="I186" s="571">
        <v>342.31</v>
      </c>
      <c r="J186" s="572">
        <v>342.31</v>
      </c>
      <c r="K186" s="575" t="s">
        <v>306</v>
      </c>
    </row>
    <row r="187" spans="1:11" ht="14.4" customHeight="1" thickBot="1" x14ac:dyDescent="0.35">
      <c r="A187" s="588" t="s">
        <v>484</v>
      </c>
      <c r="B187" s="566">
        <v>0</v>
      </c>
      <c r="C187" s="566">
        <v>0</v>
      </c>
      <c r="D187" s="567">
        <v>0</v>
      </c>
      <c r="E187" s="576" t="s">
        <v>306</v>
      </c>
      <c r="F187" s="566">
        <v>0</v>
      </c>
      <c r="G187" s="567">
        <v>0</v>
      </c>
      <c r="H187" s="569">
        <v>0</v>
      </c>
      <c r="I187" s="566">
        <v>321.26740000000001</v>
      </c>
      <c r="J187" s="567">
        <v>321.26740000000001</v>
      </c>
      <c r="K187" s="577" t="s">
        <v>312</v>
      </c>
    </row>
    <row r="188" spans="1:11" ht="14.4" customHeight="1" thickBot="1" x14ac:dyDescent="0.35">
      <c r="A188" s="588" t="s">
        <v>485</v>
      </c>
      <c r="B188" s="566">
        <v>0</v>
      </c>
      <c r="C188" s="566">
        <v>33.123600000000003</v>
      </c>
      <c r="D188" s="567">
        <v>33.123600000000003</v>
      </c>
      <c r="E188" s="576" t="s">
        <v>306</v>
      </c>
      <c r="F188" s="566">
        <v>0</v>
      </c>
      <c r="G188" s="567">
        <v>0</v>
      </c>
      <c r="H188" s="569">
        <v>6.6670999999999996</v>
      </c>
      <c r="I188" s="566">
        <v>21.0426</v>
      </c>
      <c r="J188" s="567">
        <v>21.0426</v>
      </c>
      <c r="K188" s="577" t="s">
        <v>306</v>
      </c>
    </row>
    <row r="189" spans="1:11" ht="14.4" customHeight="1" thickBot="1" x14ac:dyDescent="0.35">
      <c r="A189" s="587" t="s">
        <v>486</v>
      </c>
      <c r="B189" s="571">
        <v>0</v>
      </c>
      <c r="C189" s="571">
        <v>5.4463699999999999</v>
      </c>
      <c r="D189" s="572">
        <v>5.4463699999999999</v>
      </c>
      <c r="E189" s="573" t="s">
        <v>306</v>
      </c>
      <c r="F189" s="571">
        <v>0</v>
      </c>
      <c r="G189" s="572">
        <v>0</v>
      </c>
      <c r="H189" s="574">
        <v>884.96122000000003</v>
      </c>
      <c r="I189" s="571">
        <v>884.96122000000003</v>
      </c>
      <c r="J189" s="572">
        <v>884.96122000000003</v>
      </c>
      <c r="K189" s="575" t="s">
        <v>306</v>
      </c>
    </row>
    <row r="190" spans="1:11" ht="14.4" customHeight="1" thickBot="1" x14ac:dyDescent="0.35">
      <c r="A190" s="588" t="s">
        <v>487</v>
      </c>
      <c r="B190" s="566">
        <v>0</v>
      </c>
      <c r="C190" s="566">
        <v>0</v>
      </c>
      <c r="D190" s="567">
        <v>0</v>
      </c>
      <c r="E190" s="568">
        <v>1</v>
      </c>
      <c r="F190" s="566">
        <v>0</v>
      </c>
      <c r="G190" s="567">
        <v>0</v>
      </c>
      <c r="H190" s="569">
        <v>884.96122000000003</v>
      </c>
      <c r="I190" s="566">
        <v>884.96122000000003</v>
      </c>
      <c r="J190" s="567">
        <v>884.96122000000003</v>
      </c>
      <c r="K190" s="577" t="s">
        <v>312</v>
      </c>
    </row>
    <row r="191" spans="1:11" ht="14.4" customHeight="1" thickBot="1" x14ac:dyDescent="0.35">
      <c r="A191" s="588" t="s">
        <v>488</v>
      </c>
      <c r="B191" s="566">
        <v>0</v>
      </c>
      <c r="C191" s="566">
        <v>5.4463699999999999</v>
      </c>
      <c r="D191" s="567">
        <v>5.4463699999999999</v>
      </c>
      <c r="E191" s="576" t="s">
        <v>306</v>
      </c>
      <c r="F191" s="566">
        <v>0</v>
      </c>
      <c r="G191" s="567">
        <v>0</v>
      </c>
      <c r="H191" s="569">
        <v>0</v>
      </c>
      <c r="I191" s="566">
        <v>0</v>
      </c>
      <c r="J191" s="567">
        <v>0</v>
      </c>
      <c r="K191" s="577" t="s">
        <v>306</v>
      </c>
    </row>
    <row r="192" spans="1:11" ht="14.4" customHeight="1" thickBot="1" x14ac:dyDescent="0.35">
      <c r="A192" s="587" t="s">
        <v>489</v>
      </c>
      <c r="B192" s="571">
        <v>0</v>
      </c>
      <c r="C192" s="571">
        <v>-1.23533</v>
      </c>
      <c r="D192" s="572">
        <v>-1.23533</v>
      </c>
      <c r="E192" s="573" t="s">
        <v>312</v>
      </c>
      <c r="F192" s="571">
        <v>0</v>
      </c>
      <c r="G192" s="572">
        <v>0</v>
      </c>
      <c r="H192" s="574">
        <v>0</v>
      </c>
      <c r="I192" s="571">
        <v>0</v>
      </c>
      <c r="J192" s="572">
        <v>0</v>
      </c>
      <c r="K192" s="575" t="s">
        <v>306</v>
      </c>
    </row>
    <row r="193" spans="1:11" ht="14.4" customHeight="1" thickBot="1" x14ac:dyDescent="0.35">
      <c r="A193" s="588" t="s">
        <v>490</v>
      </c>
      <c r="B193" s="566">
        <v>0</v>
      </c>
      <c r="C193" s="566">
        <v>-1.23533</v>
      </c>
      <c r="D193" s="567">
        <v>-1.23533</v>
      </c>
      <c r="E193" s="576" t="s">
        <v>312</v>
      </c>
      <c r="F193" s="566">
        <v>0</v>
      </c>
      <c r="G193" s="567">
        <v>0</v>
      </c>
      <c r="H193" s="569">
        <v>0</v>
      </c>
      <c r="I193" s="566">
        <v>0</v>
      </c>
      <c r="J193" s="567">
        <v>0</v>
      </c>
      <c r="K193" s="577" t="s">
        <v>306</v>
      </c>
    </row>
    <row r="194" spans="1:11" ht="14.4" customHeight="1" thickBot="1" x14ac:dyDescent="0.35">
      <c r="A194" s="587" t="s">
        <v>491</v>
      </c>
      <c r="B194" s="571">
        <v>71309.999754897202</v>
      </c>
      <c r="C194" s="571">
        <v>71854.097339999993</v>
      </c>
      <c r="D194" s="572">
        <v>544.09758510276197</v>
      </c>
      <c r="E194" s="578">
        <v>1.00763003207</v>
      </c>
      <c r="F194" s="571">
        <v>74232</v>
      </c>
      <c r="G194" s="572">
        <v>55674</v>
      </c>
      <c r="H194" s="574">
        <v>4466.33068</v>
      </c>
      <c r="I194" s="571">
        <v>52734.060270000002</v>
      </c>
      <c r="J194" s="572">
        <v>-2939.9397300000201</v>
      </c>
      <c r="K194" s="579">
        <v>0.71039525096900002</v>
      </c>
    </row>
    <row r="195" spans="1:11" ht="14.4" customHeight="1" thickBot="1" x14ac:dyDescent="0.35">
      <c r="A195" s="588" t="s">
        <v>492</v>
      </c>
      <c r="B195" s="566">
        <v>21491.999935206899</v>
      </c>
      <c r="C195" s="566">
        <v>22652.981739999999</v>
      </c>
      <c r="D195" s="567">
        <v>1160.9818047930701</v>
      </c>
      <c r="E195" s="568">
        <v>1.0540192540610001</v>
      </c>
      <c r="F195" s="566">
        <v>22415</v>
      </c>
      <c r="G195" s="567">
        <v>16811.25</v>
      </c>
      <c r="H195" s="569">
        <v>900.16094999999996</v>
      </c>
      <c r="I195" s="566">
        <v>14416.040940000001</v>
      </c>
      <c r="J195" s="567">
        <v>-2395.2090600000201</v>
      </c>
      <c r="K195" s="570">
        <v>0.64314258041399996</v>
      </c>
    </row>
    <row r="196" spans="1:11" ht="14.4" customHeight="1" thickBot="1" x14ac:dyDescent="0.35">
      <c r="A196" s="588" t="s">
        <v>493</v>
      </c>
      <c r="B196" s="566">
        <v>49769.999819690303</v>
      </c>
      <c r="C196" s="566">
        <v>48954.544159999998</v>
      </c>
      <c r="D196" s="567">
        <v>-815.45565969031998</v>
      </c>
      <c r="E196" s="568">
        <v>0.98361551813000003</v>
      </c>
      <c r="F196" s="566">
        <v>51817</v>
      </c>
      <c r="G196" s="567">
        <v>38862.75</v>
      </c>
      <c r="H196" s="569">
        <v>3566.1697300000001</v>
      </c>
      <c r="I196" s="566">
        <v>38318.019330000003</v>
      </c>
      <c r="J196" s="567">
        <v>-544.73067000001197</v>
      </c>
      <c r="K196" s="570">
        <v>0.73948741397600004</v>
      </c>
    </row>
    <row r="197" spans="1:11" ht="14.4" customHeight="1" thickBot="1" x14ac:dyDescent="0.35">
      <c r="A197" s="588" t="s">
        <v>494</v>
      </c>
      <c r="B197" s="566">
        <v>0</v>
      </c>
      <c r="C197" s="566">
        <v>102.7381</v>
      </c>
      <c r="D197" s="567">
        <v>102.7381</v>
      </c>
      <c r="E197" s="576" t="s">
        <v>312</v>
      </c>
      <c r="F197" s="566">
        <v>0</v>
      </c>
      <c r="G197" s="567">
        <v>0</v>
      </c>
      <c r="H197" s="569">
        <v>0</v>
      </c>
      <c r="I197" s="566">
        <v>0</v>
      </c>
      <c r="J197" s="567">
        <v>0</v>
      </c>
      <c r="K197" s="577" t="s">
        <v>306</v>
      </c>
    </row>
    <row r="198" spans="1:11" ht="14.4" customHeight="1" thickBot="1" x14ac:dyDescent="0.35">
      <c r="A198" s="588" t="s">
        <v>495</v>
      </c>
      <c r="B198" s="566">
        <v>48</v>
      </c>
      <c r="C198" s="566">
        <v>143.83333999999999</v>
      </c>
      <c r="D198" s="567">
        <v>95.833340000000007</v>
      </c>
      <c r="E198" s="568">
        <v>2.9965279166659999</v>
      </c>
      <c r="F198" s="566">
        <v>0</v>
      </c>
      <c r="G198" s="567">
        <v>0</v>
      </c>
      <c r="H198" s="569">
        <v>0</v>
      </c>
      <c r="I198" s="566">
        <v>0</v>
      </c>
      <c r="J198" s="567">
        <v>0</v>
      </c>
      <c r="K198" s="577" t="s">
        <v>306</v>
      </c>
    </row>
    <row r="199" spans="1:11" ht="14.4" customHeight="1" thickBot="1" x14ac:dyDescent="0.35">
      <c r="A199" s="587" t="s">
        <v>496</v>
      </c>
      <c r="B199" s="571">
        <v>0</v>
      </c>
      <c r="C199" s="571">
        <v>3085.5745700000002</v>
      </c>
      <c r="D199" s="572">
        <v>3085.5745700000002</v>
      </c>
      <c r="E199" s="573" t="s">
        <v>306</v>
      </c>
      <c r="F199" s="571">
        <v>0</v>
      </c>
      <c r="G199" s="572">
        <v>0</v>
      </c>
      <c r="H199" s="574">
        <v>1675.90662</v>
      </c>
      <c r="I199" s="571">
        <v>5169.27772</v>
      </c>
      <c r="J199" s="572">
        <v>5169.27772</v>
      </c>
      <c r="K199" s="575" t="s">
        <v>306</v>
      </c>
    </row>
    <row r="200" spans="1:11" ht="14.4" customHeight="1" thickBot="1" x14ac:dyDescent="0.35">
      <c r="A200" s="588" t="s">
        <v>497</v>
      </c>
      <c r="B200" s="566">
        <v>0</v>
      </c>
      <c r="C200" s="566">
        <v>1781.0717500000001</v>
      </c>
      <c r="D200" s="567">
        <v>1781.0717500000001</v>
      </c>
      <c r="E200" s="576" t="s">
        <v>312</v>
      </c>
      <c r="F200" s="566">
        <v>0</v>
      </c>
      <c r="G200" s="567">
        <v>0</v>
      </c>
      <c r="H200" s="569">
        <v>834.72036000000003</v>
      </c>
      <c r="I200" s="566">
        <v>160.95596</v>
      </c>
      <c r="J200" s="567">
        <v>160.95596</v>
      </c>
      <c r="K200" s="577" t="s">
        <v>306</v>
      </c>
    </row>
    <row r="201" spans="1:11" ht="14.4" customHeight="1" thickBot="1" x14ac:dyDescent="0.35">
      <c r="A201" s="588" t="s">
        <v>498</v>
      </c>
      <c r="B201" s="566">
        <v>0</v>
      </c>
      <c r="C201" s="566">
        <v>1304.5028199999999</v>
      </c>
      <c r="D201" s="567">
        <v>1304.5028199999999</v>
      </c>
      <c r="E201" s="576" t="s">
        <v>306</v>
      </c>
      <c r="F201" s="566">
        <v>0</v>
      </c>
      <c r="G201" s="567">
        <v>0</v>
      </c>
      <c r="H201" s="569">
        <v>841.18625999999995</v>
      </c>
      <c r="I201" s="566">
        <v>5008.3217599999998</v>
      </c>
      <c r="J201" s="567">
        <v>5008.3217599999998</v>
      </c>
      <c r="K201" s="577" t="s">
        <v>306</v>
      </c>
    </row>
    <row r="202" spans="1:11" ht="14.4" customHeight="1" thickBot="1" x14ac:dyDescent="0.35">
      <c r="A202" s="586" t="s">
        <v>499</v>
      </c>
      <c r="B202" s="566">
        <v>0</v>
      </c>
      <c r="C202" s="566">
        <v>39.957479999999997</v>
      </c>
      <c r="D202" s="567">
        <v>39.957479999999997</v>
      </c>
      <c r="E202" s="576" t="s">
        <v>312</v>
      </c>
      <c r="F202" s="566">
        <v>0</v>
      </c>
      <c r="G202" s="567">
        <v>0</v>
      </c>
      <c r="H202" s="569">
        <v>14.06368</v>
      </c>
      <c r="I202" s="566">
        <v>113.47796</v>
      </c>
      <c r="J202" s="567">
        <v>113.47796</v>
      </c>
      <c r="K202" s="577" t="s">
        <v>306</v>
      </c>
    </row>
    <row r="203" spans="1:11" ht="14.4" customHeight="1" thickBot="1" x14ac:dyDescent="0.35">
      <c r="A203" s="587" t="s">
        <v>500</v>
      </c>
      <c r="B203" s="571">
        <v>0</v>
      </c>
      <c r="C203" s="571">
        <v>39.957479999999997</v>
      </c>
      <c r="D203" s="572">
        <v>39.957479999999997</v>
      </c>
      <c r="E203" s="573" t="s">
        <v>312</v>
      </c>
      <c r="F203" s="571">
        <v>0</v>
      </c>
      <c r="G203" s="572">
        <v>0</v>
      </c>
      <c r="H203" s="574">
        <v>14.06368</v>
      </c>
      <c r="I203" s="571">
        <v>113.47796</v>
      </c>
      <c r="J203" s="572">
        <v>113.47796</v>
      </c>
      <c r="K203" s="575" t="s">
        <v>306</v>
      </c>
    </row>
    <row r="204" spans="1:11" ht="14.4" customHeight="1" thickBot="1" x14ac:dyDescent="0.35">
      <c r="A204" s="588" t="s">
        <v>501</v>
      </c>
      <c r="B204" s="566">
        <v>0</v>
      </c>
      <c r="C204" s="566">
        <v>39.957479999999997</v>
      </c>
      <c r="D204" s="567">
        <v>39.957479999999997</v>
      </c>
      <c r="E204" s="576" t="s">
        <v>312</v>
      </c>
      <c r="F204" s="566">
        <v>0</v>
      </c>
      <c r="G204" s="567">
        <v>0</v>
      </c>
      <c r="H204" s="569">
        <v>14.06368</v>
      </c>
      <c r="I204" s="566">
        <v>113.47796</v>
      </c>
      <c r="J204" s="567">
        <v>113.47796</v>
      </c>
      <c r="K204" s="577" t="s">
        <v>306</v>
      </c>
    </row>
    <row r="205" spans="1:11" ht="14.4" customHeight="1" thickBot="1" x14ac:dyDescent="0.35">
      <c r="A205" s="585" t="s">
        <v>502</v>
      </c>
      <c r="B205" s="566">
        <v>928.99476286971696</v>
      </c>
      <c r="C205" s="566">
        <v>1630.76082</v>
      </c>
      <c r="D205" s="567">
        <v>701.766057130283</v>
      </c>
      <c r="E205" s="568">
        <v>1.755403674141</v>
      </c>
      <c r="F205" s="566">
        <v>52.334480502433998</v>
      </c>
      <c r="G205" s="567">
        <v>39.250860376825003</v>
      </c>
      <c r="H205" s="569">
        <v>12.396699999999999</v>
      </c>
      <c r="I205" s="566">
        <v>284.48957000000001</v>
      </c>
      <c r="J205" s="567">
        <v>245.238709623174</v>
      </c>
      <c r="K205" s="570">
        <v>5.4359872739490003</v>
      </c>
    </row>
    <row r="206" spans="1:11" ht="14.4" customHeight="1" thickBot="1" x14ac:dyDescent="0.35">
      <c r="A206" s="586" t="s">
        <v>503</v>
      </c>
      <c r="B206" s="566">
        <v>876.660282367283</v>
      </c>
      <c r="C206" s="566">
        <v>1017.97155</v>
      </c>
      <c r="D206" s="567">
        <v>141.311267632717</v>
      </c>
      <c r="E206" s="568">
        <v>1.1611927339179999</v>
      </c>
      <c r="F206" s="566">
        <v>0</v>
      </c>
      <c r="G206" s="567">
        <v>0</v>
      </c>
      <c r="H206" s="569">
        <v>0</v>
      </c>
      <c r="I206" s="566">
        <v>87.337800000000001</v>
      </c>
      <c r="J206" s="567">
        <v>87.337800000000001</v>
      </c>
      <c r="K206" s="577" t="s">
        <v>306</v>
      </c>
    </row>
    <row r="207" spans="1:11" ht="14.4" customHeight="1" thickBot="1" x14ac:dyDescent="0.35">
      <c r="A207" s="587" t="s">
        <v>504</v>
      </c>
      <c r="B207" s="571">
        <v>0</v>
      </c>
      <c r="C207" s="571">
        <v>14.398999999999999</v>
      </c>
      <c r="D207" s="572">
        <v>14.398999999999999</v>
      </c>
      <c r="E207" s="573" t="s">
        <v>312</v>
      </c>
      <c r="F207" s="571">
        <v>0</v>
      </c>
      <c r="G207" s="572">
        <v>0</v>
      </c>
      <c r="H207" s="574">
        <v>0</v>
      </c>
      <c r="I207" s="571">
        <v>87.337800000000001</v>
      </c>
      <c r="J207" s="572">
        <v>87.337800000000001</v>
      </c>
      <c r="K207" s="575" t="s">
        <v>312</v>
      </c>
    </row>
    <row r="208" spans="1:11" ht="14.4" customHeight="1" thickBot="1" x14ac:dyDescent="0.35">
      <c r="A208" s="588" t="s">
        <v>505</v>
      </c>
      <c r="B208" s="566">
        <v>0</v>
      </c>
      <c r="C208" s="566">
        <v>14.398999999999999</v>
      </c>
      <c r="D208" s="567">
        <v>14.398999999999999</v>
      </c>
      <c r="E208" s="576" t="s">
        <v>312</v>
      </c>
      <c r="F208" s="566">
        <v>0</v>
      </c>
      <c r="G208" s="567">
        <v>0</v>
      </c>
      <c r="H208" s="569">
        <v>0</v>
      </c>
      <c r="I208" s="566">
        <v>87.337800000000001</v>
      </c>
      <c r="J208" s="567">
        <v>87.337800000000001</v>
      </c>
      <c r="K208" s="577" t="s">
        <v>312</v>
      </c>
    </row>
    <row r="209" spans="1:11" ht="14.4" customHeight="1" thickBot="1" x14ac:dyDescent="0.35">
      <c r="A209" s="587" t="s">
        <v>506</v>
      </c>
      <c r="B209" s="571">
        <v>876.660282367283</v>
      </c>
      <c r="C209" s="571">
        <v>1003.57255</v>
      </c>
      <c r="D209" s="572">
        <v>126.912267632717</v>
      </c>
      <c r="E209" s="578">
        <v>1.144767899476</v>
      </c>
      <c r="F209" s="571">
        <v>0</v>
      </c>
      <c r="G209" s="572">
        <v>0</v>
      </c>
      <c r="H209" s="574">
        <v>0</v>
      </c>
      <c r="I209" s="571">
        <v>0</v>
      </c>
      <c r="J209" s="572">
        <v>0</v>
      </c>
      <c r="K209" s="575" t="s">
        <v>306</v>
      </c>
    </row>
    <row r="210" spans="1:11" ht="14.4" customHeight="1" thickBot="1" x14ac:dyDescent="0.35">
      <c r="A210" s="588" t="s">
        <v>507</v>
      </c>
      <c r="B210" s="566">
        <v>0</v>
      </c>
      <c r="C210" s="566">
        <v>842.31997999999999</v>
      </c>
      <c r="D210" s="567">
        <v>842.31997999999999</v>
      </c>
      <c r="E210" s="576" t="s">
        <v>306</v>
      </c>
      <c r="F210" s="566">
        <v>0</v>
      </c>
      <c r="G210" s="567">
        <v>0</v>
      </c>
      <c r="H210" s="569">
        <v>0</v>
      </c>
      <c r="I210" s="566">
        <v>0</v>
      </c>
      <c r="J210" s="567">
        <v>0</v>
      </c>
      <c r="K210" s="577" t="s">
        <v>306</v>
      </c>
    </row>
    <row r="211" spans="1:11" ht="14.4" customHeight="1" thickBot="1" x14ac:dyDescent="0.35">
      <c r="A211" s="588" t="s">
        <v>508</v>
      </c>
      <c r="B211" s="566">
        <v>0</v>
      </c>
      <c r="C211" s="566">
        <v>8.5561000000000007</v>
      </c>
      <c r="D211" s="567">
        <v>8.5561000000000007</v>
      </c>
      <c r="E211" s="576" t="s">
        <v>306</v>
      </c>
      <c r="F211" s="566">
        <v>0</v>
      </c>
      <c r="G211" s="567">
        <v>0</v>
      </c>
      <c r="H211" s="569">
        <v>0</v>
      </c>
      <c r="I211" s="566">
        <v>0</v>
      </c>
      <c r="J211" s="567">
        <v>0</v>
      </c>
      <c r="K211" s="577" t="s">
        <v>306</v>
      </c>
    </row>
    <row r="212" spans="1:11" ht="14.4" customHeight="1" thickBot="1" x14ac:dyDescent="0.35">
      <c r="A212" s="588" t="s">
        <v>509</v>
      </c>
      <c r="B212" s="566">
        <v>0</v>
      </c>
      <c r="C212" s="566">
        <v>108.67316</v>
      </c>
      <c r="D212" s="567">
        <v>108.67316</v>
      </c>
      <c r="E212" s="576" t="s">
        <v>306</v>
      </c>
      <c r="F212" s="566">
        <v>0</v>
      </c>
      <c r="G212" s="567">
        <v>0</v>
      </c>
      <c r="H212" s="569">
        <v>0</v>
      </c>
      <c r="I212" s="566">
        <v>0</v>
      </c>
      <c r="J212" s="567">
        <v>0</v>
      </c>
      <c r="K212" s="577" t="s">
        <v>306</v>
      </c>
    </row>
    <row r="213" spans="1:11" ht="14.4" customHeight="1" thickBot="1" x14ac:dyDescent="0.35">
      <c r="A213" s="588" t="s">
        <v>510</v>
      </c>
      <c r="B213" s="566">
        <v>0</v>
      </c>
      <c r="C213" s="566">
        <v>44.023310000000002</v>
      </c>
      <c r="D213" s="567">
        <v>44.023310000000002</v>
      </c>
      <c r="E213" s="576" t="s">
        <v>306</v>
      </c>
      <c r="F213" s="566">
        <v>0</v>
      </c>
      <c r="G213" s="567">
        <v>0</v>
      </c>
      <c r="H213" s="569">
        <v>0</v>
      </c>
      <c r="I213" s="566">
        <v>0</v>
      </c>
      <c r="J213" s="567">
        <v>0</v>
      </c>
      <c r="K213" s="577" t="s">
        <v>306</v>
      </c>
    </row>
    <row r="214" spans="1:11" ht="14.4" customHeight="1" thickBot="1" x14ac:dyDescent="0.35">
      <c r="A214" s="591" t="s">
        <v>511</v>
      </c>
      <c r="B214" s="571">
        <v>52.334480502433998</v>
      </c>
      <c r="C214" s="571">
        <v>612.78926999999999</v>
      </c>
      <c r="D214" s="572">
        <v>560.454789497565</v>
      </c>
      <c r="E214" s="578">
        <v>11.709092439954</v>
      </c>
      <c r="F214" s="571">
        <v>52.334480502433998</v>
      </c>
      <c r="G214" s="572">
        <v>39.250860376825003</v>
      </c>
      <c r="H214" s="574">
        <v>12.396699999999999</v>
      </c>
      <c r="I214" s="571">
        <v>197.15177</v>
      </c>
      <c r="J214" s="572">
        <v>157.90090962317399</v>
      </c>
      <c r="K214" s="579">
        <v>3.7671486963710001</v>
      </c>
    </row>
    <row r="215" spans="1:11" ht="14.4" customHeight="1" thickBot="1" x14ac:dyDescent="0.35">
      <c r="A215" s="587" t="s">
        <v>512</v>
      </c>
      <c r="B215" s="571">
        <v>0</v>
      </c>
      <c r="C215" s="571">
        <v>42.293999999999997</v>
      </c>
      <c r="D215" s="572">
        <v>42.293999999999997</v>
      </c>
      <c r="E215" s="573" t="s">
        <v>312</v>
      </c>
      <c r="F215" s="571">
        <v>0</v>
      </c>
      <c r="G215" s="572">
        <v>0</v>
      </c>
      <c r="H215" s="574">
        <v>0</v>
      </c>
      <c r="I215" s="571">
        <v>0</v>
      </c>
      <c r="J215" s="572">
        <v>0</v>
      </c>
      <c r="K215" s="575" t="s">
        <v>306</v>
      </c>
    </row>
    <row r="216" spans="1:11" ht="14.4" customHeight="1" thickBot="1" x14ac:dyDescent="0.35">
      <c r="A216" s="588" t="s">
        <v>513</v>
      </c>
      <c r="B216" s="566">
        <v>0</v>
      </c>
      <c r="C216" s="566">
        <v>42.293999999999997</v>
      </c>
      <c r="D216" s="567">
        <v>42.293999999999997</v>
      </c>
      <c r="E216" s="576" t="s">
        <v>312</v>
      </c>
      <c r="F216" s="566">
        <v>0</v>
      </c>
      <c r="G216" s="567">
        <v>0</v>
      </c>
      <c r="H216" s="569">
        <v>0</v>
      </c>
      <c r="I216" s="566">
        <v>0</v>
      </c>
      <c r="J216" s="567">
        <v>0</v>
      </c>
      <c r="K216" s="577" t="s">
        <v>306</v>
      </c>
    </row>
    <row r="217" spans="1:11" ht="14.4" customHeight="1" thickBot="1" x14ac:dyDescent="0.35">
      <c r="A217" s="587" t="s">
        <v>514</v>
      </c>
      <c r="B217" s="571">
        <v>0</v>
      </c>
      <c r="C217" s="571">
        <v>8.5999999999999998E-4</v>
      </c>
      <c r="D217" s="572">
        <v>8.5999999999999998E-4</v>
      </c>
      <c r="E217" s="573" t="s">
        <v>306</v>
      </c>
      <c r="F217" s="571">
        <v>0</v>
      </c>
      <c r="G217" s="572">
        <v>0</v>
      </c>
      <c r="H217" s="574">
        <v>1.0000000000000001E-5</v>
      </c>
      <c r="I217" s="571">
        <v>59.999169999999999</v>
      </c>
      <c r="J217" s="572">
        <v>59.999169999999999</v>
      </c>
      <c r="K217" s="575" t="s">
        <v>306</v>
      </c>
    </row>
    <row r="218" spans="1:11" ht="14.4" customHeight="1" thickBot="1" x14ac:dyDescent="0.35">
      <c r="A218" s="588" t="s">
        <v>515</v>
      </c>
      <c r="B218" s="566">
        <v>0</v>
      </c>
      <c r="C218" s="566">
        <v>8.5999999999999998E-4</v>
      </c>
      <c r="D218" s="567">
        <v>8.5999999999999998E-4</v>
      </c>
      <c r="E218" s="576" t="s">
        <v>306</v>
      </c>
      <c r="F218" s="566">
        <v>0</v>
      </c>
      <c r="G218" s="567">
        <v>0</v>
      </c>
      <c r="H218" s="569">
        <v>1.0000000000000001E-5</v>
      </c>
      <c r="I218" s="566">
        <v>-8.3000000000000001E-4</v>
      </c>
      <c r="J218" s="567">
        <v>-8.3000000000000001E-4</v>
      </c>
      <c r="K218" s="577" t="s">
        <v>306</v>
      </c>
    </row>
    <row r="219" spans="1:11" ht="14.4" customHeight="1" thickBot="1" x14ac:dyDescent="0.35">
      <c r="A219" s="588" t="s">
        <v>516</v>
      </c>
      <c r="B219" s="566">
        <v>0</v>
      </c>
      <c r="C219" s="566">
        <v>0</v>
      </c>
      <c r="D219" s="567">
        <v>0</v>
      </c>
      <c r="E219" s="568">
        <v>1</v>
      </c>
      <c r="F219" s="566">
        <v>0</v>
      </c>
      <c r="G219" s="567">
        <v>0</v>
      </c>
      <c r="H219" s="569">
        <v>0</v>
      </c>
      <c r="I219" s="566">
        <v>60</v>
      </c>
      <c r="J219" s="567">
        <v>60</v>
      </c>
      <c r="K219" s="577" t="s">
        <v>312</v>
      </c>
    </row>
    <row r="220" spans="1:11" ht="14.4" customHeight="1" thickBot="1" x14ac:dyDescent="0.35">
      <c r="A220" s="587" t="s">
        <v>517</v>
      </c>
      <c r="B220" s="571">
        <v>52.334480502433998</v>
      </c>
      <c r="C220" s="571">
        <v>61.706139999999998</v>
      </c>
      <c r="D220" s="572">
        <v>9.3716594975650001</v>
      </c>
      <c r="E220" s="578">
        <v>1.179072370788</v>
      </c>
      <c r="F220" s="571">
        <v>52.334480502433998</v>
      </c>
      <c r="G220" s="572">
        <v>39.250860376825003</v>
      </c>
      <c r="H220" s="574">
        <v>12.39669</v>
      </c>
      <c r="I220" s="571">
        <v>53.925600000000003</v>
      </c>
      <c r="J220" s="572">
        <v>14.674739623174</v>
      </c>
      <c r="K220" s="579">
        <v>1.0304028908330001</v>
      </c>
    </row>
    <row r="221" spans="1:11" ht="14.4" customHeight="1" thickBot="1" x14ac:dyDescent="0.35">
      <c r="A221" s="588" t="s">
        <v>518</v>
      </c>
      <c r="B221" s="566">
        <v>0</v>
      </c>
      <c r="C221" s="566">
        <v>2.3260000000000001</v>
      </c>
      <c r="D221" s="567">
        <v>2.3260000000000001</v>
      </c>
      <c r="E221" s="576" t="s">
        <v>306</v>
      </c>
      <c r="F221" s="566">
        <v>0</v>
      </c>
      <c r="G221" s="567">
        <v>0</v>
      </c>
      <c r="H221" s="569">
        <v>0</v>
      </c>
      <c r="I221" s="566">
        <v>0</v>
      </c>
      <c r="J221" s="567">
        <v>0</v>
      </c>
      <c r="K221" s="577" t="s">
        <v>306</v>
      </c>
    </row>
    <row r="222" spans="1:11" ht="14.4" customHeight="1" thickBot="1" x14ac:dyDescent="0.35">
      <c r="A222" s="588" t="s">
        <v>519</v>
      </c>
      <c r="B222" s="566">
        <v>52.334480502433998</v>
      </c>
      <c r="C222" s="566">
        <v>59.380139999999997</v>
      </c>
      <c r="D222" s="567">
        <v>7.0456594975650004</v>
      </c>
      <c r="E222" s="568">
        <v>1.134627485167</v>
      </c>
      <c r="F222" s="566">
        <v>52.334480502433998</v>
      </c>
      <c r="G222" s="567">
        <v>39.250860376825003</v>
      </c>
      <c r="H222" s="569">
        <v>12.39669</v>
      </c>
      <c r="I222" s="566">
        <v>53.925600000000003</v>
      </c>
      <c r="J222" s="567">
        <v>14.674739623174</v>
      </c>
      <c r="K222" s="570">
        <v>1.0304028908330001</v>
      </c>
    </row>
    <row r="223" spans="1:11" ht="14.4" customHeight="1" thickBot="1" x14ac:dyDescent="0.35">
      <c r="A223" s="587" t="s">
        <v>520</v>
      </c>
      <c r="B223" s="571">
        <v>0</v>
      </c>
      <c r="C223" s="571">
        <v>508.78827000000001</v>
      </c>
      <c r="D223" s="572">
        <v>508.78827000000001</v>
      </c>
      <c r="E223" s="573" t="s">
        <v>306</v>
      </c>
      <c r="F223" s="571">
        <v>0</v>
      </c>
      <c r="G223" s="572">
        <v>0</v>
      </c>
      <c r="H223" s="574">
        <v>0</v>
      </c>
      <c r="I223" s="571">
        <v>83.227000000000004</v>
      </c>
      <c r="J223" s="572">
        <v>83.227000000000004</v>
      </c>
      <c r="K223" s="575" t="s">
        <v>306</v>
      </c>
    </row>
    <row r="224" spans="1:11" ht="14.4" customHeight="1" thickBot="1" x14ac:dyDescent="0.35">
      <c r="A224" s="588" t="s">
        <v>521</v>
      </c>
      <c r="B224" s="566">
        <v>0</v>
      </c>
      <c r="C224" s="566">
        <v>508.78827000000001</v>
      </c>
      <c r="D224" s="567">
        <v>508.78827000000001</v>
      </c>
      <c r="E224" s="576" t="s">
        <v>306</v>
      </c>
      <c r="F224" s="566">
        <v>0</v>
      </c>
      <c r="G224" s="567">
        <v>0</v>
      </c>
      <c r="H224" s="569">
        <v>0</v>
      </c>
      <c r="I224" s="566">
        <v>83.227000000000004</v>
      </c>
      <c r="J224" s="567">
        <v>83.227000000000004</v>
      </c>
      <c r="K224" s="577" t="s">
        <v>306</v>
      </c>
    </row>
    <row r="225" spans="1:11" ht="14.4" customHeight="1" thickBot="1" x14ac:dyDescent="0.35">
      <c r="A225" s="585" t="s">
        <v>522</v>
      </c>
      <c r="B225" s="566">
        <v>0</v>
      </c>
      <c r="C225" s="566">
        <v>13.925000000000001</v>
      </c>
      <c r="D225" s="567">
        <v>13.925000000000001</v>
      </c>
      <c r="E225" s="576" t="s">
        <v>306</v>
      </c>
      <c r="F225" s="566">
        <v>40</v>
      </c>
      <c r="G225" s="567">
        <v>30</v>
      </c>
      <c r="H225" s="569">
        <v>2.0630000000000002</v>
      </c>
      <c r="I225" s="566">
        <v>38.667000000000002</v>
      </c>
      <c r="J225" s="567">
        <v>8.6669999999999998</v>
      </c>
      <c r="K225" s="570">
        <v>0.96667499999999995</v>
      </c>
    </row>
    <row r="226" spans="1:11" ht="14.4" customHeight="1" thickBot="1" x14ac:dyDescent="0.35">
      <c r="A226" s="591" t="s">
        <v>523</v>
      </c>
      <c r="B226" s="571">
        <v>0</v>
      </c>
      <c r="C226" s="571">
        <v>13.925000000000001</v>
      </c>
      <c r="D226" s="572">
        <v>13.925000000000001</v>
      </c>
      <c r="E226" s="573" t="s">
        <v>306</v>
      </c>
      <c r="F226" s="571">
        <v>40</v>
      </c>
      <c r="G226" s="572">
        <v>30</v>
      </c>
      <c r="H226" s="574">
        <v>2.0630000000000002</v>
      </c>
      <c r="I226" s="571">
        <v>38.667000000000002</v>
      </c>
      <c r="J226" s="572">
        <v>8.6669999999999998</v>
      </c>
      <c r="K226" s="579">
        <v>0.96667499999999995</v>
      </c>
    </row>
    <row r="227" spans="1:11" ht="14.4" customHeight="1" thickBot="1" x14ac:dyDescent="0.35">
      <c r="A227" s="587" t="s">
        <v>524</v>
      </c>
      <c r="B227" s="571">
        <v>0</v>
      </c>
      <c r="C227" s="571">
        <v>9.7989999999999995</v>
      </c>
      <c r="D227" s="572">
        <v>9.7989999999999995</v>
      </c>
      <c r="E227" s="573" t="s">
        <v>306</v>
      </c>
      <c r="F227" s="571">
        <v>40</v>
      </c>
      <c r="G227" s="572">
        <v>30</v>
      </c>
      <c r="H227" s="574">
        <v>0</v>
      </c>
      <c r="I227" s="571">
        <v>20.100000000000001</v>
      </c>
      <c r="J227" s="572">
        <v>-9.9</v>
      </c>
      <c r="K227" s="579">
        <v>0.50249999999999995</v>
      </c>
    </row>
    <row r="228" spans="1:11" ht="14.4" customHeight="1" thickBot="1" x14ac:dyDescent="0.35">
      <c r="A228" s="588" t="s">
        <v>525</v>
      </c>
      <c r="B228" s="566">
        <v>0</v>
      </c>
      <c r="C228" s="566">
        <v>9.7989999999999995</v>
      </c>
      <c r="D228" s="567">
        <v>9.7989999999999995</v>
      </c>
      <c r="E228" s="576" t="s">
        <v>306</v>
      </c>
      <c r="F228" s="566">
        <v>40</v>
      </c>
      <c r="G228" s="567">
        <v>30</v>
      </c>
      <c r="H228" s="569">
        <v>0</v>
      </c>
      <c r="I228" s="566">
        <v>20.100000000000001</v>
      </c>
      <c r="J228" s="567">
        <v>-9.9</v>
      </c>
      <c r="K228" s="570">
        <v>0.50249999999999995</v>
      </c>
    </row>
    <row r="229" spans="1:11" ht="14.4" customHeight="1" thickBot="1" x14ac:dyDescent="0.35">
      <c r="A229" s="590" t="s">
        <v>526</v>
      </c>
      <c r="B229" s="566">
        <v>0</v>
      </c>
      <c r="C229" s="566">
        <v>4.1260000000000003</v>
      </c>
      <c r="D229" s="567">
        <v>4.1260000000000003</v>
      </c>
      <c r="E229" s="576" t="s">
        <v>312</v>
      </c>
      <c r="F229" s="566">
        <v>0</v>
      </c>
      <c r="G229" s="567">
        <v>0</v>
      </c>
      <c r="H229" s="569">
        <v>2.0630000000000002</v>
      </c>
      <c r="I229" s="566">
        <v>18.567</v>
      </c>
      <c r="J229" s="567">
        <v>18.567</v>
      </c>
      <c r="K229" s="577" t="s">
        <v>306</v>
      </c>
    </row>
    <row r="230" spans="1:11" ht="14.4" customHeight="1" thickBot="1" x14ac:dyDescent="0.35">
      <c r="A230" s="588" t="s">
        <v>527</v>
      </c>
      <c r="B230" s="566">
        <v>0</v>
      </c>
      <c r="C230" s="566">
        <v>4.1260000000000003</v>
      </c>
      <c r="D230" s="567">
        <v>4.1260000000000003</v>
      </c>
      <c r="E230" s="576" t="s">
        <v>312</v>
      </c>
      <c r="F230" s="566">
        <v>0</v>
      </c>
      <c r="G230" s="567">
        <v>0</v>
      </c>
      <c r="H230" s="569">
        <v>2.0630000000000002</v>
      </c>
      <c r="I230" s="566">
        <v>18.567</v>
      </c>
      <c r="J230" s="567">
        <v>18.567</v>
      </c>
      <c r="K230" s="577" t="s">
        <v>306</v>
      </c>
    </row>
    <row r="231" spans="1:11" ht="14.4" customHeight="1" thickBot="1" x14ac:dyDescent="0.35">
      <c r="A231" s="584" t="s">
        <v>528</v>
      </c>
      <c r="B231" s="566">
        <v>6874.5315545786698</v>
      </c>
      <c r="C231" s="566">
        <v>7142.46443</v>
      </c>
      <c r="D231" s="567">
        <v>267.93287542132902</v>
      </c>
      <c r="E231" s="568">
        <v>1.0389747102460001</v>
      </c>
      <c r="F231" s="566">
        <v>6394.0059540686098</v>
      </c>
      <c r="G231" s="567">
        <v>4795.5044655514603</v>
      </c>
      <c r="H231" s="569">
        <v>529.44892000000004</v>
      </c>
      <c r="I231" s="566">
        <v>5284.08385</v>
      </c>
      <c r="J231" s="567">
        <v>488.57938444854</v>
      </c>
      <c r="K231" s="570">
        <v>0.82641209407000005</v>
      </c>
    </row>
    <row r="232" spans="1:11" ht="14.4" customHeight="1" thickBot="1" x14ac:dyDescent="0.35">
      <c r="A232" s="589" t="s">
        <v>529</v>
      </c>
      <c r="B232" s="571">
        <v>6874.5315545786698</v>
      </c>
      <c r="C232" s="571">
        <v>7142.46443</v>
      </c>
      <c r="D232" s="572">
        <v>267.93287542132902</v>
      </c>
      <c r="E232" s="578">
        <v>1.0389747102460001</v>
      </c>
      <c r="F232" s="571">
        <v>6394.0059540686098</v>
      </c>
      <c r="G232" s="572">
        <v>4795.5044655514603</v>
      </c>
      <c r="H232" s="574">
        <v>529.44892000000004</v>
      </c>
      <c r="I232" s="571">
        <v>5284.08385</v>
      </c>
      <c r="J232" s="572">
        <v>488.57938444854</v>
      </c>
      <c r="K232" s="579">
        <v>0.82641209407000005</v>
      </c>
    </row>
    <row r="233" spans="1:11" ht="14.4" customHeight="1" thickBot="1" x14ac:dyDescent="0.35">
      <c r="A233" s="591" t="s">
        <v>41</v>
      </c>
      <c r="B233" s="571">
        <v>6874.5315545786698</v>
      </c>
      <c r="C233" s="571">
        <v>7142.46443</v>
      </c>
      <c r="D233" s="572">
        <v>267.93287542132902</v>
      </c>
      <c r="E233" s="578">
        <v>1.0389747102460001</v>
      </c>
      <c r="F233" s="571">
        <v>6394.0059540686098</v>
      </c>
      <c r="G233" s="572">
        <v>4795.5044655514603</v>
      </c>
      <c r="H233" s="574">
        <v>529.44892000000004</v>
      </c>
      <c r="I233" s="571">
        <v>5284.08385</v>
      </c>
      <c r="J233" s="572">
        <v>488.57938444854</v>
      </c>
      <c r="K233" s="579">
        <v>0.82641209407000005</v>
      </c>
    </row>
    <row r="234" spans="1:11" ht="14.4" customHeight="1" thickBot="1" x14ac:dyDescent="0.35">
      <c r="A234" s="587" t="s">
        <v>530</v>
      </c>
      <c r="B234" s="571">
        <v>63.999999999998998</v>
      </c>
      <c r="C234" s="571">
        <v>71.775000000000006</v>
      </c>
      <c r="D234" s="572">
        <v>7.7750000000000004</v>
      </c>
      <c r="E234" s="578">
        <v>1.1214843750000001</v>
      </c>
      <c r="F234" s="571">
        <v>53</v>
      </c>
      <c r="G234" s="572">
        <v>39.75</v>
      </c>
      <c r="H234" s="574">
        <v>5.9812500000000002</v>
      </c>
      <c r="I234" s="571">
        <v>53.831249999999997</v>
      </c>
      <c r="J234" s="572">
        <v>14.081250000000001</v>
      </c>
      <c r="K234" s="579">
        <v>1.0156839622639999</v>
      </c>
    </row>
    <row r="235" spans="1:11" ht="14.4" customHeight="1" thickBot="1" x14ac:dyDescent="0.35">
      <c r="A235" s="588" t="s">
        <v>531</v>
      </c>
      <c r="B235" s="566">
        <v>63.999999999998998</v>
      </c>
      <c r="C235" s="566">
        <v>71.775000000000006</v>
      </c>
      <c r="D235" s="567">
        <v>7.7750000000000004</v>
      </c>
      <c r="E235" s="568">
        <v>1.1214843750000001</v>
      </c>
      <c r="F235" s="566">
        <v>53</v>
      </c>
      <c r="G235" s="567">
        <v>39.75</v>
      </c>
      <c r="H235" s="569">
        <v>5.9812500000000002</v>
      </c>
      <c r="I235" s="566">
        <v>53.831249999999997</v>
      </c>
      <c r="J235" s="567">
        <v>14.081250000000001</v>
      </c>
      <c r="K235" s="570">
        <v>1.0156839622639999</v>
      </c>
    </row>
    <row r="236" spans="1:11" ht="14.4" customHeight="1" thickBot="1" x14ac:dyDescent="0.35">
      <c r="A236" s="587" t="s">
        <v>532</v>
      </c>
      <c r="B236" s="571">
        <v>62.458526697604</v>
      </c>
      <c r="C236" s="571">
        <v>34.479999999999997</v>
      </c>
      <c r="D236" s="572">
        <v>-27.978526697604</v>
      </c>
      <c r="E236" s="578">
        <v>0.552046322945</v>
      </c>
      <c r="F236" s="571">
        <v>42.005954068613001</v>
      </c>
      <c r="G236" s="572">
        <v>31.504465551460001</v>
      </c>
      <c r="H236" s="574">
        <v>2.1100400000000001</v>
      </c>
      <c r="I236" s="571">
        <v>35.725140000000003</v>
      </c>
      <c r="J236" s="572">
        <v>4.2206744485390004</v>
      </c>
      <c r="K236" s="579">
        <v>0.85047800465699996</v>
      </c>
    </row>
    <row r="237" spans="1:11" ht="14.4" customHeight="1" thickBot="1" x14ac:dyDescent="0.35">
      <c r="A237" s="588" t="s">
        <v>533</v>
      </c>
      <c r="B237" s="566">
        <v>62.458526697604</v>
      </c>
      <c r="C237" s="566">
        <v>34.479999999999997</v>
      </c>
      <c r="D237" s="567">
        <v>-27.978526697604</v>
      </c>
      <c r="E237" s="568">
        <v>0.552046322945</v>
      </c>
      <c r="F237" s="566">
        <v>42.005954068613001</v>
      </c>
      <c r="G237" s="567">
        <v>31.504465551460001</v>
      </c>
      <c r="H237" s="569">
        <v>2.1100400000000001</v>
      </c>
      <c r="I237" s="566">
        <v>35.725140000000003</v>
      </c>
      <c r="J237" s="567">
        <v>4.2206744485390004</v>
      </c>
      <c r="K237" s="570">
        <v>0.85047800465699996</v>
      </c>
    </row>
    <row r="238" spans="1:11" ht="14.4" customHeight="1" thickBot="1" x14ac:dyDescent="0.35">
      <c r="A238" s="587" t="s">
        <v>534</v>
      </c>
      <c r="B238" s="571">
        <v>1134.07302788114</v>
      </c>
      <c r="C238" s="571">
        <v>1178.3044</v>
      </c>
      <c r="D238" s="572">
        <v>44.231372118861003</v>
      </c>
      <c r="E238" s="578">
        <v>1.0390022256339999</v>
      </c>
      <c r="F238" s="571">
        <v>1289</v>
      </c>
      <c r="G238" s="572">
        <v>966.75</v>
      </c>
      <c r="H238" s="574">
        <v>72.674199999999999</v>
      </c>
      <c r="I238" s="571">
        <v>668.63751999999999</v>
      </c>
      <c r="J238" s="572">
        <v>-298.11248000000001</v>
      </c>
      <c r="K238" s="579">
        <v>0.518725771916</v>
      </c>
    </row>
    <row r="239" spans="1:11" ht="14.4" customHeight="1" thickBot="1" x14ac:dyDescent="0.35">
      <c r="A239" s="588" t="s">
        <v>535</v>
      </c>
      <c r="B239" s="566">
        <v>1134.07302788114</v>
      </c>
      <c r="C239" s="566">
        <v>1178.3044</v>
      </c>
      <c r="D239" s="567">
        <v>44.231372118861003</v>
      </c>
      <c r="E239" s="568">
        <v>1.0390022256339999</v>
      </c>
      <c r="F239" s="566">
        <v>1289</v>
      </c>
      <c r="G239" s="567">
        <v>966.75</v>
      </c>
      <c r="H239" s="569">
        <v>72.674199999999999</v>
      </c>
      <c r="I239" s="566">
        <v>668.63751999999999</v>
      </c>
      <c r="J239" s="567">
        <v>-298.11248000000001</v>
      </c>
      <c r="K239" s="570">
        <v>0.518725771916</v>
      </c>
    </row>
    <row r="240" spans="1:11" ht="14.4" customHeight="1" thickBot="1" x14ac:dyDescent="0.35">
      <c r="A240" s="587" t="s">
        <v>536</v>
      </c>
      <c r="B240" s="571">
        <v>0</v>
      </c>
      <c r="C240" s="571">
        <v>12.085000000000001</v>
      </c>
      <c r="D240" s="572">
        <v>12.085000000000001</v>
      </c>
      <c r="E240" s="573" t="s">
        <v>306</v>
      </c>
      <c r="F240" s="571">
        <v>0</v>
      </c>
      <c r="G240" s="572">
        <v>0</v>
      </c>
      <c r="H240" s="574">
        <v>0.65</v>
      </c>
      <c r="I240" s="571">
        <v>7.29</v>
      </c>
      <c r="J240" s="572">
        <v>7.29</v>
      </c>
      <c r="K240" s="575" t="s">
        <v>312</v>
      </c>
    </row>
    <row r="241" spans="1:11" ht="14.4" customHeight="1" thickBot="1" x14ac:dyDescent="0.35">
      <c r="A241" s="588" t="s">
        <v>537</v>
      </c>
      <c r="B241" s="566">
        <v>0</v>
      </c>
      <c r="C241" s="566">
        <v>12.085000000000001</v>
      </c>
      <c r="D241" s="567">
        <v>12.085000000000001</v>
      </c>
      <c r="E241" s="576" t="s">
        <v>306</v>
      </c>
      <c r="F241" s="566">
        <v>0</v>
      </c>
      <c r="G241" s="567">
        <v>0</v>
      </c>
      <c r="H241" s="569">
        <v>0.65</v>
      </c>
      <c r="I241" s="566">
        <v>7.29</v>
      </c>
      <c r="J241" s="567">
        <v>7.29</v>
      </c>
      <c r="K241" s="577" t="s">
        <v>312</v>
      </c>
    </row>
    <row r="242" spans="1:11" ht="14.4" customHeight="1" thickBot="1" x14ac:dyDescent="0.35">
      <c r="A242" s="587" t="s">
        <v>538</v>
      </c>
      <c r="B242" s="571">
        <v>466.99999999999397</v>
      </c>
      <c r="C242" s="571">
        <v>414.27015999999998</v>
      </c>
      <c r="D242" s="572">
        <v>-52.729839999993999</v>
      </c>
      <c r="E242" s="578">
        <v>0.88708813704400002</v>
      </c>
      <c r="F242" s="571">
        <v>586</v>
      </c>
      <c r="G242" s="572">
        <v>439.5</v>
      </c>
      <c r="H242" s="574">
        <v>35.315399999999997</v>
      </c>
      <c r="I242" s="571">
        <v>367.90433000000002</v>
      </c>
      <c r="J242" s="572">
        <v>-71.595669999999998</v>
      </c>
      <c r="K242" s="579">
        <v>0.62782308873699999</v>
      </c>
    </row>
    <row r="243" spans="1:11" ht="14.4" customHeight="1" thickBot="1" x14ac:dyDescent="0.35">
      <c r="A243" s="588" t="s">
        <v>539</v>
      </c>
      <c r="B243" s="566">
        <v>466.99999999999397</v>
      </c>
      <c r="C243" s="566">
        <v>414.12063999999998</v>
      </c>
      <c r="D243" s="567">
        <v>-52.879359999994001</v>
      </c>
      <c r="E243" s="568">
        <v>0.88676796573799999</v>
      </c>
      <c r="F243" s="566">
        <v>577</v>
      </c>
      <c r="G243" s="567">
        <v>432.75</v>
      </c>
      <c r="H243" s="569">
        <v>34.633429999999997</v>
      </c>
      <c r="I243" s="566">
        <v>361.76657</v>
      </c>
      <c r="J243" s="567">
        <v>-70.983429999999998</v>
      </c>
      <c r="K243" s="570">
        <v>0.62697845753799997</v>
      </c>
    </row>
    <row r="244" spans="1:11" ht="14.4" customHeight="1" thickBot="1" x14ac:dyDescent="0.35">
      <c r="A244" s="588" t="s">
        <v>540</v>
      </c>
      <c r="B244" s="566">
        <v>0</v>
      </c>
      <c r="C244" s="566">
        <v>0.14951999999999999</v>
      </c>
      <c r="D244" s="567">
        <v>0.14951999999999999</v>
      </c>
      <c r="E244" s="576" t="s">
        <v>306</v>
      </c>
      <c r="F244" s="566">
        <v>9</v>
      </c>
      <c r="G244" s="567">
        <v>6.75</v>
      </c>
      <c r="H244" s="569">
        <v>0.68196999999999997</v>
      </c>
      <c r="I244" s="566">
        <v>6.1377600000000001</v>
      </c>
      <c r="J244" s="567">
        <v>-0.61224000000000001</v>
      </c>
      <c r="K244" s="570">
        <v>0.68197333333300003</v>
      </c>
    </row>
    <row r="245" spans="1:11" ht="14.4" customHeight="1" thickBot="1" x14ac:dyDescent="0.35">
      <c r="A245" s="587" t="s">
        <v>541</v>
      </c>
      <c r="B245" s="571">
        <v>0</v>
      </c>
      <c r="C245" s="571">
        <v>1142.41608</v>
      </c>
      <c r="D245" s="572">
        <v>1142.41608</v>
      </c>
      <c r="E245" s="573" t="s">
        <v>306</v>
      </c>
      <c r="F245" s="571">
        <v>0</v>
      </c>
      <c r="G245" s="572">
        <v>0</v>
      </c>
      <c r="H245" s="574">
        <v>69.061989999999994</v>
      </c>
      <c r="I245" s="571">
        <v>867.08947999999998</v>
      </c>
      <c r="J245" s="572">
        <v>867.08947999999998</v>
      </c>
      <c r="K245" s="575" t="s">
        <v>312</v>
      </c>
    </row>
    <row r="246" spans="1:11" ht="14.4" customHeight="1" thickBot="1" x14ac:dyDescent="0.35">
      <c r="A246" s="588" t="s">
        <v>542</v>
      </c>
      <c r="B246" s="566">
        <v>0</v>
      </c>
      <c r="C246" s="566">
        <v>1142.41608</v>
      </c>
      <c r="D246" s="567">
        <v>1142.41608</v>
      </c>
      <c r="E246" s="576" t="s">
        <v>306</v>
      </c>
      <c r="F246" s="566">
        <v>0</v>
      </c>
      <c r="G246" s="567">
        <v>0</v>
      </c>
      <c r="H246" s="569">
        <v>69.061989999999994</v>
      </c>
      <c r="I246" s="566">
        <v>867.08947999999998</v>
      </c>
      <c r="J246" s="567">
        <v>867.08947999999998</v>
      </c>
      <c r="K246" s="577" t="s">
        <v>312</v>
      </c>
    </row>
    <row r="247" spans="1:11" ht="14.4" customHeight="1" thickBot="1" x14ac:dyDescent="0.35">
      <c r="A247" s="587" t="s">
        <v>543</v>
      </c>
      <c r="B247" s="571">
        <v>5146.99999999993</v>
      </c>
      <c r="C247" s="571">
        <v>4289.1337899999999</v>
      </c>
      <c r="D247" s="572">
        <v>-857.86620999993499</v>
      </c>
      <c r="E247" s="578">
        <v>0.83332694579300004</v>
      </c>
      <c r="F247" s="571">
        <v>4424</v>
      </c>
      <c r="G247" s="572">
        <v>3318</v>
      </c>
      <c r="H247" s="574">
        <v>343.65604000000002</v>
      </c>
      <c r="I247" s="571">
        <v>3283.6061300000001</v>
      </c>
      <c r="J247" s="572">
        <v>-34.39387</v>
      </c>
      <c r="K247" s="579">
        <v>0.74222561708799994</v>
      </c>
    </row>
    <row r="248" spans="1:11" ht="14.4" customHeight="1" thickBot="1" x14ac:dyDescent="0.35">
      <c r="A248" s="588" t="s">
        <v>544</v>
      </c>
      <c r="B248" s="566">
        <v>5146.99999999993</v>
      </c>
      <c r="C248" s="566">
        <v>4289.1337899999999</v>
      </c>
      <c r="D248" s="567">
        <v>-857.86620999993499</v>
      </c>
      <c r="E248" s="568">
        <v>0.83332694579300004</v>
      </c>
      <c r="F248" s="566">
        <v>4424</v>
      </c>
      <c r="G248" s="567">
        <v>3318</v>
      </c>
      <c r="H248" s="569">
        <v>343.65604000000002</v>
      </c>
      <c r="I248" s="566">
        <v>3283.6061300000001</v>
      </c>
      <c r="J248" s="567">
        <v>-34.39387</v>
      </c>
      <c r="K248" s="570">
        <v>0.74222561708799994</v>
      </c>
    </row>
    <row r="249" spans="1:11" ht="14.4" customHeight="1" thickBot="1" x14ac:dyDescent="0.35">
      <c r="A249" s="592" t="s">
        <v>545</v>
      </c>
      <c r="B249" s="571">
        <v>0</v>
      </c>
      <c r="C249" s="571">
        <v>31.736999999999998</v>
      </c>
      <c r="D249" s="572">
        <v>31.736999999999998</v>
      </c>
      <c r="E249" s="573" t="s">
        <v>306</v>
      </c>
      <c r="F249" s="571">
        <v>0</v>
      </c>
      <c r="G249" s="572">
        <v>0</v>
      </c>
      <c r="H249" s="574">
        <v>0</v>
      </c>
      <c r="I249" s="571">
        <v>0</v>
      </c>
      <c r="J249" s="572">
        <v>0</v>
      </c>
      <c r="K249" s="579">
        <v>0</v>
      </c>
    </row>
    <row r="250" spans="1:11" ht="14.4" customHeight="1" thickBot="1" x14ac:dyDescent="0.35">
      <c r="A250" s="589" t="s">
        <v>546</v>
      </c>
      <c r="B250" s="571">
        <v>0</v>
      </c>
      <c r="C250" s="571">
        <v>31.736999999999998</v>
      </c>
      <c r="D250" s="572">
        <v>31.736999999999998</v>
      </c>
      <c r="E250" s="573" t="s">
        <v>306</v>
      </c>
      <c r="F250" s="571">
        <v>0</v>
      </c>
      <c r="G250" s="572">
        <v>0</v>
      </c>
      <c r="H250" s="574">
        <v>0</v>
      </c>
      <c r="I250" s="571">
        <v>0</v>
      </c>
      <c r="J250" s="572">
        <v>0</v>
      </c>
      <c r="K250" s="579">
        <v>0</v>
      </c>
    </row>
    <row r="251" spans="1:11" ht="14.4" customHeight="1" thickBot="1" x14ac:dyDescent="0.35">
      <c r="A251" s="591" t="s">
        <v>547</v>
      </c>
      <c r="B251" s="571">
        <v>0</v>
      </c>
      <c r="C251" s="571">
        <v>31.736999999999998</v>
      </c>
      <c r="D251" s="572">
        <v>31.736999999999998</v>
      </c>
      <c r="E251" s="573" t="s">
        <v>306</v>
      </c>
      <c r="F251" s="571">
        <v>0</v>
      </c>
      <c r="G251" s="572">
        <v>0</v>
      </c>
      <c r="H251" s="574">
        <v>0</v>
      </c>
      <c r="I251" s="571">
        <v>0</v>
      </c>
      <c r="J251" s="572">
        <v>0</v>
      </c>
      <c r="K251" s="579">
        <v>0</v>
      </c>
    </row>
    <row r="252" spans="1:11" ht="14.4" customHeight="1" thickBot="1" x14ac:dyDescent="0.35">
      <c r="A252" s="587" t="s">
        <v>548</v>
      </c>
      <c r="B252" s="571">
        <v>0</v>
      </c>
      <c r="C252" s="571">
        <v>31.736999999999998</v>
      </c>
      <c r="D252" s="572">
        <v>31.736999999999998</v>
      </c>
      <c r="E252" s="573" t="s">
        <v>306</v>
      </c>
      <c r="F252" s="571">
        <v>0</v>
      </c>
      <c r="G252" s="572">
        <v>0</v>
      </c>
      <c r="H252" s="574">
        <v>0</v>
      </c>
      <c r="I252" s="571">
        <v>0</v>
      </c>
      <c r="J252" s="572">
        <v>0</v>
      </c>
      <c r="K252" s="579">
        <v>0</v>
      </c>
    </row>
    <row r="253" spans="1:11" ht="14.4" customHeight="1" thickBot="1" x14ac:dyDescent="0.35">
      <c r="A253" s="588" t="s">
        <v>549</v>
      </c>
      <c r="B253" s="566">
        <v>0</v>
      </c>
      <c r="C253" s="566">
        <v>31.736999999999998</v>
      </c>
      <c r="D253" s="567">
        <v>31.736999999999998</v>
      </c>
      <c r="E253" s="576" t="s">
        <v>306</v>
      </c>
      <c r="F253" s="566">
        <v>0</v>
      </c>
      <c r="G253" s="567">
        <v>0</v>
      </c>
      <c r="H253" s="569">
        <v>0</v>
      </c>
      <c r="I253" s="566">
        <v>0</v>
      </c>
      <c r="J253" s="567">
        <v>0</v>
      </c>
      <c r="K253" s="570">
        <v>0</v>
      </c>
    </row>
    <row r="254" spans="1:11" ht="14.4" customHeight="1" thickBot="1" x14ac:dyDescent="0.35">
      <c r="A254" s="593"/>
      <c r="B254" s="566">
        <v>12298.670133461999</v>
      </c>
      <c r="C254" s="566">
        <v>13500.996139999999</v>
      </c>
      <c r="D254" s="567">
        <v>1202.32600653791</v>
      </c>
      <c r="E254" s="568">
        <v>1.0977606516380001</v>
      </c>
      <c r="F254" s="566">
        <v>12241.4686671774</v>
      </c>
      <c r="G254" s="567">
        <v>9181.1015003830107</v>
      </c>
      <c r="H254" s="569">
        <v>2216.1801999999998</v>
      </c>
      <c r="I254" s="566">
        <v>13213.84288</v>
      </c>
      <c r="J254" s="567">
        <v>4032.7413796169699</v>
      </c>
      <c r="K254" s="570">
        <v>1.079432806574</v>
      </c>
    </row>
    <row r="255" spans="1:11" ht="14.4" customHeight="1" thickBot="1" x14ac:dyDescent="0.35">
      <c r="A255" s="594" t="s">
        <v>53</v>
      </c>
      <c r="B255" s="580">
        <v>12298.670133461899</v>
      </c>
      <c r="C255" s="580">
        <v>13500.996139999999</v>
      </c>
      <c r="D255" s="581">
        <v>1202.32600653801</v>
      </c>
      <c r="E255" s="582" t="s">
        <v>306</v>
      </c>
      <c r="F255" s="580">
        <v>12241.4686671774</v>
      </c>
      <c r="G255" s="581">
        <v>9181.1015003830107</v>
      </c>
      <c r="H255" s="580">
        <v>2216.1801999999998</v>
      </c>
      <c r="I255" s="580">
        <v>13213.84288</v>
      </c>
      <c r="J255" s="581">
        <v>4032.7413796169699</v>
      </c>
      <c r="K255" s="583">
        <v>1.079432806574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158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6">
        <v>2014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285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550</v>
      </c>
      <c r="B5" s="596" t="s">
        <v>551</v>
      </c>
      <c r="C5" s="597" t="s">
        <v>552</v>
      </c>
      <c r="D5" s="597" t="s">
        <v>552</v>
      </c>
      <c r="E5" s="597"/>
      <c r="F5" s="597" t="s">
        <v>552</v>
      </c>
      <c r="G5" s="597" t="s">
        <v>552</v>
      </c>
      <c r="H5" s="597" t="s">
        <v>552</v>
      </c>
      <c r="I5" s="598" t="s">
        <v>552</v>
      </c>
      <c r="J5" s="599" t="s">
        <v>61</v>
      </c>
    </row>
    <row r="6" spans="1:10" ht="14.4" customHeight="1" x14ac:dyDescent="0.3">
      <c r="A6" s="595" t="s">
        <v>550</v>
      </c>
      <c r="B6" s="596" t="s">
        <v>315</v>
      </c>
      <c r="C6" s="597">
        <v>1553.09591</v>
      </c>
      <c r="D6" s="597">
        <v>1383.3437399999991</v>
      </c>
      <c r="E6" s="597"/>
      <c r="F6" s="597">
        <v>1189.6060499999999</v>
      </c>
      <c r="G6" s="597">
        <v>1307.2534160998468</v>
      </c>
      <c r="H6" s="597">
        <v>-117.64736609984698</v>
      </c>
      <c r="I6" s="598">
        <v>0.91000416242870141</v>
      </c>
      <c r="J6" s="599" t="s">
        <v>1</v>
      </c>
    </row>
    <row r="7" spans="1:10" ht="14.4" customHeight="1" x14ac:dyDescent="0.3">
      <c r="A7" s="595" t="s">
        <v>550</v>
      </c>
      <c r="B7" s="596" t="s">
        <v>316</v>
      </c>
      <c r="C7" s="597">
        <v>136.58920000000001</v>
      </c>
      <c r="D7" s="597">
        <v>154.14884999999902</v>
      </c>
      <c r="E7" s="597"/>
      <c r="F7" s="597">
        <v>87.197709999999006</v>
      </c>
      <c r="G7" s="597">
        <v>170.59742200393953</v>
      </c>
      <c r="H7" s="597">
        <v>-83.399712003940522</v>
      </c>
      <c r="I7" s="598">
        <v>0.51113146362777617</v>
      </c>
      <c r="J7" s="599" t="s">
        <v>1</v>
      </c>
    </row>
    <row r="8" spans="1:10" ht="14.4" customHeight="1" x14ac:dyDescent="0.3">
      <c r="A8" s="595" t="s">
        <v>550</v>
      </c>
      <c r="B8" s="596" t="s">
        <v>317</v>
      </c>
      <c r="C8" s="597">
        <v>34.462789999999998</v>
      </c>
      <c r="D8" s="597">
        <v>22.447849999999999</v>
      </c>
      <c r="E8" s="597"/>
      <c r="F8" s="597">
        <v>20.892779999999998</v>
      </c>
      <c r="G8" s="597">
        <v>21.750190979537251</v>
      </c>
      <c r="H8" s="597">
        <v>-0.85741097953725287</v>
      </c>
      <c r="I8" s="598">
        <v>0.96057915167991348</v>
      </c>
      <c r="J8" s="599" t="s">
        <v>1</v>
      </c>
    </row>
    <row r="9" spans="1:10" ht="14.4" customHeight="1" x14ac:dyDescent="0.3">
      <c r="A9" s="595" t="s">
        <v>550</v>
      </c>
      <c r="B9" s="596" t="s">
        <v>318</v>
      </c>
      <c r="C9" s="597">
        <v>193.8895</v>
      </c>
      <c r="D9" s="597">
        <v>131.33945999999798</v>
      </c>
      <c r="E9" s="597"/>
      <c r="F9" s="597">
        <v>97.846279999999993</v>
      </c>
      <c r="G9" s="597">
        <v>128.58055258073927</v>
      </c>
      <c r="H9" s="597">
        <v>-30.734272580739272</v>
      </c>
      <c r="I9" s="598">
        <v>0.76097262016788758</v>
      </c>
      <c r="J9" s="599" t="s">
        <v>1</v>
      </c>
    </row>
    <row r="10" spans="1:10" ht="14.4" customHeight="1" x14ac:dyDescent="0.3">
      <c r="A10" s="595" t="s">
        <v>550</v>
      </c>
      <c r="B10" s="596" t="s">
        <v>319</v>
      </c>
      <c r="C10" s="597">
        <v>21.168400000000002</v>
      </c>
      <c r="D10" s="597">
        <v>13.619269999998997</v>
      </c>
      <c r="E10" s="597"/>
      <c r="F10" s="597">
        <v>5.8079999999999998</v>
      </c>
      <c r="G10" s="597">
        <v>6.3754322446312504</v>
      </c>
      <c r="H10" s="597">
        <v>-0.56743224463125053</v>
      </c>
      <c r="I10" s="598">
        <v>0.9109970551237393</v>
      </c>
      <c r="J10" s="599" t="s">
        <v>1</v>
      </c>
    </row>
    <row r="11" spans="1:10" ht="14.4" customHeight="1" x14ac:dyDescent="0.3">
      <c r="A11" s="595" t="s">
        <v>550</v>
      </c>
      <c r="B11" s="596" t="s">
        <v>320</v>
      </c>
      <c r="C11" s="597" t="s">
        <v>552</v>
      </c>
      <c r="D11" s="597">
        <v>101.73084</v>
      </c>
      <c r="E11" s="597"/>
      <c r="F11" s="597" t="s">
        <v>552</v>
      </c>
      <c r="G11" s="597" t="s">
        <v>552</v>
      </c>
      <c r="H11" s="597" t="s">
        <v>552</v>
      </c>
      <c r="I11" s="598" t="s">
        <v>552</v>
      </c>
      <c r="J11" s="599" t="s">
        <v>1</v>
      </c>
    </row>
    <row r="12" spans="1:10" ht="14.4" customHeight="1" x14ac:dyDescent="0.3">
      <c r="A12" s="595" t="s">
        <v>550</v>
      </c>
      <c r="B12" s="596" t="s">
        <v>321</v>
      </c>
      <c r="C12" s="597">
        <v>471.69586000000004</v>
      </c>
      <c r="D12" s="597">
        <v>228.89695999999898</v>
      </c>
      <c r="E12" s="597"/>
      <c r="F12" s="597">
        <v>365.11579</v>
      </c>
      <c r="G12" s="597">
        <v>210.49782388925473</v>
      </c>
      <c r="H12" s="597">
        <v>154.61796611074527</v>
      </c>
      <c r="I12" s="598">
        <v>1.7345347484071452</v>
      </c>
      <c r="J12" s="599" t="s">
        <v>1</v>
      </c>
    </row>
    <row r="13" spans="1:10" ht="14.4" customHeight="1" x14ac:dyDescent="0.3">
      <c r="A13" s="595" t="s">
        <v>550</v>
      </c>
      <c r="B13" s="596" t="s">
        <v>553</v>
      </c>
      <c r="C13" s="597">
        <v>2410.90166</v>
      </c>
      <c r="D13" s="597">
        <v>2035.5269699999938</v>
      </c>
      <c r="E13" s="597"/>
      <c r="F13" s="597">
        <v>1766.4666099999988</v>
      </c>
      <c r="G13" s="597">
        <v>1845.0548377979489</v>
      </c>
      <c r="H13" s="597">
        <v>-78.58822779795014</v>
      </c>
      <c r="I13" s="598">
        <v>0.95740602057565716</v>
      </c>
      <c r="J13" s="599" t="s">
        <v>554</v>
      </c>
    </row>
    <row r="15" spans="1:10" ht="14.4" customHeight="1" x14ac:dyDescent="0.3">
      <c r="A15" s="595" t="s">
        <v>550</v>
      </c>
      <c r="B15" s="596" t="s">
        <v>551</v>
      </c>
      <c r="C15" s="597" t="s">
        <v>552</v>
      </c>
      <c r="D15" s="597" t="s">
        <v>552</v>
      </c>
      <c r="E15" s="597"/>
      <c r="F15" s="597" t="s">
        <v>552</v>
      </c>
      <c r="G15" s="597" t="s">
        <v>552</v>
      </c>
      <c r="H15" s="597" t="s">
        <v>552</v>
      </c>
      <c r="I15" s="598" t="s">
        <v>552</v>
      </c>
      <c r="J15" s="599" t="s">
        <v>61</v>
      </c>
    </row>
    <row r="16" spans="1:10" ht="14.4" customHeight="1" x14ac:dyDescent="0.3">
      <c r="A16" s="595" t="s">
        <v>555</v>
      </c>
      <c r="B16" s="596" t="s">
        <v>556</v>
      </c>
      <c r="C16" s="597" t="s">
        <v>552</v>
      </c>
      <c r="D16" s="597" t="s">
        <v>552</v>
      </c>
      <c r="E16" s="597"/>
      <c r="F16" s="597" t="s">
        <v>552</v>
      </c>
      <c r="G16" s="597" t="s">
        <v>552</v>
      </c>
      <c r="H16" s="597" t="s">
        <v>552</v>
      </c>
      <c r="I16" s="598" t="s">
        <v>552</v>
      </c>
      <c r="J16" s="599" t="s">
        <v>0</v>
      </c>
    </row>
    <row r="17" spans="1:10" ht="14.4" customHeight="1" x14ac:dyDescent="0.3">
      <c r="A17" s="595" t="s">
        <v>555</v>
      </c>
      <c r="B17" s="596" t="s">
        <v>315</v>
      </c>
      <c r="C17" s="597">
        <v>112.97254</v>
      </c>
      <c r="D17" s="597">
        <v>118.57572999999999</v>
      </c>
      <c r="E17" s="597"/>
      <c r="F17" s="597">
        <v>133.96295000000001</v>
      </c>
      <c r="G17" s="597">
        <v>127.90382675505299</v>
      </c>
      <c r="H17" s="597">
        <v>6.0591232449470169</v>
      </c>
      <c r="I17" s="598">
        <v>1.0473724938390683</v>
      </c>
      <c r="J17" s="599" t="s">
        <v>1</v>
      </c>
    </row>
    <row r="18" spans="1:10" ht="14.4" customHeight="1" x14ac:dyDescent="0.3">
      <c r="A18" s="595" t="s">
        <v>555</v>
      </c>
      <c r="B18" s="596" t="s">
        <v>316</v>
      </c>
      <c r="C18" s="597">
        <v>2.0678600000000031</v>
      </c>
      <c r="D18" s="597">
        <v>18.643540000000002</v>
      </c>
      <c r="E18" s="597"/>
      <c r="F18" s="597">
        <v>0</v>
      </c>
      <c r="G18" s="597">
        <v>16.961764705562999</v>
      </c>
      <c r="H18" s="597">
        <v>-16.961764705562999</v>
      </c>
      <c r="I18" s="598">
        <v>0</v>
      </c>
      <c r="J18" s="599" t="s">
        <v>1</v>
      </c>
    </row>
    <row r="19" spans="1:10" ht="14.4" customHeight="1" x14ac:dyDescent="0.3">
      <c r="A19" s="595" t="s">
        <v>555</v>
      </c>
      <c r="B19" s="596" t="s">
        <v>317</v>
      </c>
      <c r="C19" s="597">
        <v>0</v>
      </c>
      <c r="D19" s="597" t="s">
        <v>552</v>
      </c>
      <c r="E19" s="597"/>
      <c r="F19" s="597" t="s">
        <v>552</v>
      </c>
      <c r="G19" s="597" t="s">
        <v>552</v>
      </c>
      <c r="H19" s="597" t="s">
        <v>552</v>
      </c>
      <c r="I19" s="598" t="s">
        <v>552</v>
      </c>
      <c r="J19" s="599" t="s">
        <v>1</v>
      </c>
    </row>
    <row r="20" spans="1:10" ht="14.4" customHeight="1" x14ac:dyDescent="0.3">
      <c r="A20" s="595" t="s">
        <v>555</v>
      </c>
      <c r="B20" s="596" t="s">
        <v>318</v>
      </c>
      <c r="C20" s="597">
        <v>2.7289700000000003</v>
      </c>
      <c r="D20" s="597">
        <v>6.6277699999989999</v>
      </c>
      <c r="E20" s="597"/>
      <c r="F20" s="597">
        <v>7.7837099999999992</v>
      </c>
      <c r="G20" s="597">
        <v>10.0896367654275</v>
      </c>
      <c r="H20" s="597">
        <v>-2.3059267654275004</v>
      </c>
      <c r="I20" s="598">
        <v>0.77145591867798047</v>
      </c>
      <c r="J20" s="599" t="s">
        <v>1</v>
      </c>
    </row>
    <row r="21" spans="1:10" ht="14.4" customHeight="1" x14ac:dyDescent="0.3">
      <c r="A21" s="595" t="s">
        <v>555</v>
      </c>
      <c r="B21" s="596" t="s">
        <v>319</v>
      </c>
      <c r="C21" s="597">
        <v>0.79008</v>
      </c>
      <c r="D21" s="597">
        <v>1.0468999999999999</v>
      </c>
      <c r="E21" s="597"/>
      <c r="F21" s="597">
        <v>1.9339699999999997</v>
      </c>
      <c r="G21" s="597">
        <v>1.0986285707399999</v>
      </c>
      <c r="H21" s="597">
        <v>0.83534142925999988</v>
      </c>
      <c r="I21" s="598">
        <v>1.7603492677214299</v>
      </c>
      <c r="J21" s="599" t="s">
        <v>1</v>
      </c>
    </row>
    <row r="22" spans="1:10" ht="14.4" customHeight="1" x14ac:dyDescent="0.3">
      <c r="A22" s="595" t="s">
        <v>555</v>
      </c>
      <c r="B22" s="596" t="s">
        <v>321</v>
      </c>
      <c r="C22" s="597">
        <v>95.70886999999999</v>
      </c>
      <c r="D22" s="597">
        <v>111.92652999999899</v>
      </c>
      <c r="E22" s="597"/>
      <c r="F22" s="597">
        <v>104.89897000000001</v>
      </c>
      <c r="G22" s="597">
        <v>103.30068079994624</v>
      </c>
      <c r="H22" s="597">
        <v>1.5982892000537703</v>
      </c>
      <c r="I22" s="598">
        <v>1.015472203935897</v>
      </c>
      <c r="J22" s="599" t="s">
        <v>1</v>
      </c>
    </row>
    <row r="23" spans="1:10" ht="14.4" customHeight="1" x14ac:dyDescent="0.3">
      <c r="A23" s="595" t="s">
        <v>555</v>
      </c>
      <c r="B23" s="596" t="s">
        <v>557</v>
      </c>
      <c r="C23" s="597">
        <v>214.26832000000002</v>
      </c>
      <c r="D23" s="597">
        <v>256.82046999999795</v>
      </c>
      <c r="E23" s="597"/>
      <c r="F23" s="597">
        <v>248.57960000000003</v>
      </c>
      <c r="G23" s="597">
        <v>259.3545375967297</v>
      </c>
      <c r="H23" s="597">
        <v>-10.774937596729671</v>
      </c>
      <c r="I23" s="598">
        <v>0.95845479436537329</v>
      </c>
      <c r="J23" s="599" t="s">
        <v>558</v>
      </c>
    </row>
    <row r="24" spans="1:10" ht="14.4" customHeight="1" x14ac:dyDescent="0.3">
      <c r="A24" s="595" t="s">
        <v>552</v>
      </c>
      <c r="B24" s="596" t="s">
        <v>552</v>
      </c>
      <c r="C24" s="597" t="s">
        <v>552</v>
      </c>
      <c r="D24" s="597" t="s">
        <v>552</v>
      </c>
      <c r="E24" s="597"/>
      <c r="F24" s="597" t="s">
        <v>552</v>
      </c>
      <c r="G24" s="597" t="s">
        <v>552</v>
      </c>
      <c r="H24" s="597" t="s">
        <v>552</v>
      </c>
      <c r="I24" s="598" t="s">
        <v>552</v>
      </c>
      <c r="J24" s="599" t="s">
        <v>559</v>
      </c>
    </row>
    <row r="25" spans="1:10" ht="14.4" customHeight="1" x14ac:dyDescent="0.3">
      <c r="A25" s="595" t="s">
        <v>560</v>
      </c>
      <c r="B25" s="596" t="s">
        <v>561</v>
      </c>
      <c r="C25" s="597" t="s">
        <v>552</v>
      </c>
      <c r="D25" s="597" t="s">
        <v>552</v>
      </c>
      <c r="E25" s="597"/>
      <c r="F25" s="597" t="s">
        <v>552</v>
      </c>
      <c r="G25" s="597" t="s">
        <v>552</v>
      </c>
      <c r="H25" s="597" t="s">
        <v>552</v>
      </c>
      <c r="I25" s="598" t="s">
        <v>552</v>
      </c>
      <c r="J25" s="599" t="s">
        <v>0</v>
      </c>
    </row>
    <row r="26" spans="1:10" ht="14.4" customHeight="1" x14ac:dyDescent="0.3">
      <c r="A26" s="595" t="s">
        <v>560</v>
      </c>
      <c r="B26" s="596" t="s">
        <v>315</v>
      </c>
      <c r="C26" s="597">
        <v>149.25779</v>
      </c>
      <c r="D26" s="597">
        <v>104.69376999999899</v>
      </c>
      <c r="E26" s="597"/>
      <c r="F26" s="597">
        <v>94.935260000000014</v>
      </c>
      <c r="G26" s="597">
        <v>102.651928316124</v>
      </c>
      <c r="H26" s="597">
        <v>-7.716668316123986</v>
      </c>
      <c r="I26" s="598">
        <v>0.92482685476341031</v>
      </c>
      <c r="J26" s="599" t="s">
        <v>1</v>
      </c>
    </row>
    <row r="27" spans="1:10" ht="14.4" customHeight="1" x14ac:dyDescent="0.3">
      <c r="A27" s="595" t="s">
        <v>560</v>
      </c>
      <c r="B27" s="596" t="s">
        <v>316</v>
      </c>
      <c r="C27" s="597">
        <v>2.942960000000002</v>
      </c>
      <c r="D27" s="597">
        <v>2.9588599999999996</v>
      </c>
      <c r="E27" s="597"/>
      <c r="F27" s="597">
        <v>1.9333299999999998</v>
      </c>
      <c r="G27" s="597">
        <v>14.498232019625251</v>
      </c>
      <c r="H27" s="597">
        <v>-12.564902019625251</v>
      </c>
      <c r="I27" s="598">
        <v>0.13334936269353292</v>
      </c>
      <c r="J27" s="599" t="s">
        <v>1</v>
      </c>
    </row>
    <row r="28" spans="1:10" ht="14.4" customHeight="1" x14ac:dyDescent="0.3">
      <c r="A28" s="595" t="s">
        <v>560</v>
      </c>
      <c r="B28" s="596" t="s">
        <v>318</v>
      </c>
      <c r="C28" s="597">
        <v>18.070160000000001</v>
      </c>
      <c r="D28" s="597">
        <v>12.565709999999001</v>
      </c>
      <c r="E28" s="597"/>
      <c r="F28" s="597">
        <v>7.6553399999999998</v>
      </c>
      <c r="G28" s="597">
        <v>14.2491348395535</v>
      </c>
      <c r="H28" s="597">
        <v>-6.5937948395535004</v>
      </c>
      <c r="I28" s="598">
        <v>0.53724946013914499</v>
      </c>
      <c r="J28" s="599" t="s">
        <v>1</v>
      </c>
    </row>
    <row r="29" spans="1:10" ht="14.4" customHeight="1" x14ac:dyDescent="0.3">
      <c r="A29" s="595" t="s">
        <v>560</v>
      </c>
      <c r="B29" s="596" t="s">
        <v>319</v>
      </c>
      <c r="C29" s="597">
        <v>1.2999800000000001</v>
      </c>
      <c r="D29" s="597">
        <v>0.62212999999899998</v>
      </c>
      <c r="E29" s="597"/>
      <c r="F29" s="597">
        <v>0.91361999999999988</v>
      </c>
      <c r="G29" s="597">
        <v>0.85353972332999994</v>
      </c>
      <c r="H29" s="597">
        <v>6.0080276669999932E-2</v>
      </c>
      <c r="I29" s="598">
        <v>1.0703895495755051</v>
      </c>
      <c r="J29" s="599" t="s">
        <v>1</v>
      </c>
    </row>
    <row r="30" spans="1:10" ht="14.4" customHeight="1" x14ac:dyDescent="0.3">
      <c r="A30" s="595" t="s">
        <v>560</v>
      </c>
      <c r="B30" s="596" t="s">
        <v>562</v>
      </c>
      <c r="C30" s="597">
        <v>171.57089000000002</v>
      </c>
      <c r="D30" s="597">
        <v>120.840469999997</v>
      </c>
      <c r="E30" s="597"/>
      <c r="F30" s="597">
        <v>105.43755</v>
      </c>
      <c r="G30" s="597">
        <v>132.25283489863273</v>
      </c>
      <c r="H30" s="597">
        <v>-26.815284898632726</v>
      </c>
      <c r="I30" s="598">
        <v>0.79724226766718664</v>
      </c>
      <c r="J30" s="599" t="s">
        <v>558</v>
      </c>
    </row>
    <row r="31" spans="1:10" ht="14.4" customHeight="1" x14ac:dyDescent="0.3">
      <c r="A31" s="595" t="s">
        <v>552</v>
      </c>
      <c r="B31" s="596" t="s">
        <v>552</v>
      </c>
      <c r="C31" s="597" t="s">
        <v>552</v>
      </c>
      <c r="D31" s="597" t="s">
        <v>552</v>
      </c>
      <c r="E31" s="597"/>
      <c r="F31" s="597" t="s">
        <v>552</v>
      </c>
      <c r="G31" s="597" t="s">
        <v>552</v>
      </c>
      <c r="H31" s="597" t="s">
        <v>552</v>
      </c>
      <c r="I31" s="598" t="s">
        <v>552</v>
      </c>
      <c r="J31" s="599" t="s">
        <v>559</v>
      </c>
    </row>
    <row r="32" spans="1:10" ht="14.4" customHeight="1" x14ac:dyDescent="0.3">
      <c r="A32" s="595" t="s">
        <v>563</v>
      </c>
      <c r="B32" s="596" t="s">
        <v>564</v>
      </c>
      <c r="C32" s="597" t="s">
        <v>552</v>
      </c>
      <c r="D32" s="597" t="s">
        <v>552</v>
      </c>
      <c r="E32" s="597"/>
      <c r="F32" s="597" t="s">
        <v>552</v>
      </c>
      <c r="G32" s="597" t="s">
        <v>552</v>
      </c>
      <c r="H32" s="597" t="s">
        <v>552</v>
      </c>
      <c r="I32" s="598" t="s">
        <v>552</v>
      </c>
      <c r="J32" s="599" t="s">
        <v>0</v>
      </c>
    </row>
    <row r="33" spans="1:10" ht="14.4" customHeight="1" x14ac:dyDescent="0.3">
      <c r="A33" s="595" t="s">
        <v>563</v>
      </c>
      <c r="B33" s="596" t="s">
        <v>315</v>
      </c>
      <c r="C33" s="597">
        <v>1290.8655800000001</v>
      </c>
      <c r="D33" s="597">
        <v>1160.0742400000001</v>
      </c>
      <c r="E33" s="597"/>
      <c r="F33" s="597">
        <v>960.70783999999992</v>
      </c>
      <c r="G33" s="597">
        <v>1076.6976610286699</v>
      </c>
      <c r="H33" s="597">
        <v>-115.98982102867001</v>
      </c>
      <c r="I33" s="598">
        <v>0.89227261725649698</v>
      </c>
      <c r="J33" s="599" t="s">
        <v>1</v>
      </c>
    </row>
    <row r="34" spans="1:10" ht="14.4" customHeight="1" x14ac:dyDescent="0.3">
      <c r="A34" s="595" t="s">
        <v>563</v>
      </c>
      <c r="B34" s="596" t="s">
        <v>316</v>
      </c>
      <c r="C34" s="597">
        <v>131.57838000000001</v>
      </c>
      <c r="D34" s="597">
        <v>132.546449999999</v>
      </c>
      <c r="E34" s="597"/>
      <c r="F34" s="597">
        <v>85.264379999999008</v>
      </c>
      <c r="G34" s="597">
        <v>139.13742527875127</v>
      </c>
      <c r="H34" s="597">
        <v>-53.873045278752258</v>
      </c>
      <c r="I34" s="598">
        <v>0.6128069412609749</v>
      </c>
      <c r="J34" s="599" t="s">
        <v>1</v>
      </c>
    </row>
    <row r="35" spans="1:10" ht="14.4" customHeight="1" x14ac:dyDescent="0.3">
      <c r="A35" s="595" t="s">
        <v>563</v>
      </c>
      <c r="B35" s="596" t="s">
        <v>317</v>
      </c>
      <c r="C35" s="597">
        <v>34.462789999999998</v>
      </c>
      <c r="D35" s="597">
        <v>22.447849999999999</v>
      </c>
      <c r="E35" s="597"/>
      <c r="F35" s="597">
        <v>20.892779999999998</v>
      </c>
      <c r="G35" s="597">
        <v>21.750190979537251</v>
      </c>
      <c r="H35" s="597">
        <v>-0.85741097953725287</v>
      </c>
      <c r="I35" s="598">
        <v>0.96057915167991348</v>
      </c>
      <c r="J35" s="599" t="s">
        <v>1</v>
      </c>
    </row>
    <row r="36" spans="1:10" ht="14.4" customHeight="1" x14ac:dyDescent="0.3">
      <c r="A36" s="595" t="s">
        <v>563</v>
      </c>
      <c r="B36" s="596" t="s">
        <v>318</v>
      </c>
      <c r="C36" s="597">
        <v>173.09037000000001</v>
      </c>
      <c r="D36" s="597">
        <v>112.14597999999999</v>
      </c>
      <c r="E36" s="597"/>
      <c r="F36" s="597">
        <v>82.407229999999998</v>
      </c>
      <c r="G36" s="597">
        <v>104.24178097575826</v>
      </c>
      <c r="H36" s="597">
        <v>-21.834550975758262</v>
      </c>
      <c r="I36" s="598">
        <v>0.79053935215443072</v>
      </c>
      <c r="J36" s="599" t="s">
        <v>1</v>
      </c>
    </row>
    <row r="37" spans="1:10" ht="14.4" customHeight="1" x14ac:dyDescent="0.3">
      <c r="A37" s="595" t="s">
        <v>563</v>
      </c>
      <c r="B37" s="596" t="s">
        <v>319</v>
      </c>
      <c r="C37" s="597">
        <v>19.078340000000001</v>
      </c>
      <c r="D37" s="597">
        <v>11.950239999999997</v>
      </c>
      <c r="E37" s="597"/>
      <c r="F37" s="597">
        <v>2.96041</v>
      </c>
      <c r="G37" s="597">
        <v>4.4232639505612505</v>
      </c>
      <c r="H37" s="597">
        <v>-1.4628539505612506</v>
      </c>
      <c r="I37" s="598">
        <v>0.66928178672773198</v>
      </c>
      <c r="J37" s="599" t="s">
        <v>1</v>
      </c>
    </row>
    <row r="38" spans="1:10" ht="14.4" customHeight="1" x14ac:dyDescent="0.3">
      <c r="A38" s="595" t="s">
        <v>563</v>
      </c>
      <c r="B38" s="596" t="s">
        <v>321</v>
      </c>
      <c r="C38" s="597">
        <v>375.98699000000005</v>
      </c>
      <c r="D38" s="597">
        <v>116.97042999999999</v>
      </c>
      <c r="E38" s="597"/>
      <c r="F38" s="597">
        <v>260.21681999999998</v>
      </c>
      <c r="G38" s="597">
        <v>107.1971430893085</v>
      </c>
      <c r="H38" s="597">
        <v>153.01967691069149</v>
      </c>
      <c r="I38" s="598">
        <v>2.4274604014699079</v>
      </c>
      <c r="J38" s="599" t="s">
        <v>1</v>
      </c>
    </row>
    <row r="39" spans="1:10" ht="14.4" customHeight="1" x14ac:dyDescent="0.3">
      <c r="A39" s="595" t="s">
        <v>563</v>
      </c>
      <c r="B39" s="596" t="s">
        <v>565</v>
      </c>
      <c r="C39" s="597">
        <v>2025.0624500000001</v>
      </c>
      <c r="D39" s="597">
        <v>1556.1351899999991</v>
      </c>
      <c r="E39" s="597"/>
      <c r="F39" s="597">
        <v>1412.4494599999989</v>
      </c>
      <c r="G39" s="597">
        <v>1453.4474653025864</v>
      </c>
      <c r="H39" s="597">
        <v>-40.998005302587444</v>
      </c>
      <c r="I39" s="598">
        <v>0.97179257848576439</v>
      </c>
      <c r="J39" s="599" t="s">
        <v>558</v>
      </c>
    </row>
    <row r="40" spans="1:10" ht="14.4" customHeight="1" x14ac:dyDescent="0.3">
      <c r="A40" s="595" t="s">
        <v>552</v>
      </c>
      <c r="B40" s="596" t="s">
        <v>552</v>
      </c>
      <c r="C40" s="597" t="s">
        <v>552</v>
      </c>
      <c r="D40" s="597" t="s">
        <v>552</v>
      </c>
      <c r="E40" s="597"/>
      <c r="F40" s="597" t="s">
        <v>552</v>
      </c>
      <c r="G40" s="597" t="s">
        <v>552</v>
      </c>
      <c r="H40" s="597" t="s">
        <v>552</v>
      </c>
      <c r="I40" s="598" t="s">
        <v>552</v>
      </c>
      <c r="J40" s="599" t="s">
        <v>559</v>
      </c>
    </row>
    <row r="41" spans="1:10" ht="14.4" customHeight="1" x14ac:dyDescent="0.3">
      <c r="A41" s="595" t="s">
        <v>566</v>
      </c>
      <c r="B41" s="596" t="s">
        <v>567</v>
      </c>
      <c r="C41" s="597" t="s">
        <v>552</v>
      </c>
      <c r="D41" s="597" t="s">
        <v>552</v>
      </c>
      <c r="E41" s="597"/>
      <c r="F41" s="597" t="s">
        <v>552</v>
      </c>
      <c r="G41" s="597" t="s">
        <v>552</v>
      </c>
      <c r="H41" s="597" t="s">
        <v>552</v>
      </c>
      <c r="I41" s="598" t="s">
        <v>552</v>
      </c>
      <c r="J41" s="599" t="s">
        <v>0</v>
      </c>
    </row>
    <row r="42" spans="1:10" ht="14.4" customHeight="1" x14ac:dyDescent="0.3">
      <c r="A42" s="595" t="s">
        <v>566</v>
      </c>
      <c r="B42" s="596" t="s">
        <v>320</v>
      </c>
      <c r="C42" s="597" t="s">
        <v>552</v>
      </c>
      <c r="D42" s="597">
        <v>101.73084</v>
      </c>
      <c r="E42" s="597"/>
      <c r="F42" s="597" t="s">
        <v>552</v>
      </c>
      <c r="G42" s="597" t="s">
        <v>552</v>
      </c>
      <c r="H42" s="597" t="s">
        <v>552</v>
      </c>
      <c r="I42" s="598" t="s">
        <v>552</v>
      </c>
      <c r="J42" s="599" t="s">
        <v>1</v>
      </c>
    </row>
    <row r="43" spans="1:10" ht="14.4" customHeight="1" x14ac:dyDescent="0.3">
      <c r="A43" s="595" t="s">
        <v>566</v>
      </c>
      <c r="B43" s="596" t="s">
        <v>568</v>
      </c>
      <c r="C43" s="597" t="s">
        <v>552</v>
      </c>
      <c r="D43" s="597">
        <v>101.73084</v>
      </c>
      <c r="E43" s="597"/>
      <c r="F43" s="597" t="s">
        <v>552</v>
      </c>
      <c r="G43" s="597" t="s">
        <v>552</v>
      </c>
      <c r="H43" s="597" t="s">
        <v>552</v>
      </c>
      <c r="I43" s="598" t="s">
        <v>552</v>
      </c>
      <c r="J43" s="599" t="s">
        <v>558</v>
      </c>
    </row>
    <row r="44" spans="1:10" ht="14.4" customHeight="1" x14ac:dyDescent="0.3">
      <c r="A44" s="595" t="s">
        <v>552</v>
      </c>
      <c r="B44" s="596" t="s">
        <v>552</v>
      </c>
      <c r="C44" s="597" t="s">
        <v>552</v>
      </c>
      <c r="D44" s="597" t="s">
        <v>552</v>
      </c>
      <c r="E44" s="597"/>
      <c r="F44" s="597" t="s">
        <v>552</v>
      </c>
      <c r="G44" s="597" t="s">
        <v>552</v>
      </c>
      <c r="H44" s="597" t="s">
        <v>552</v>
      </c>
      <c r="I44" s="598" t="s">
        <v>552</v>
      </c>
      <c r="J44" s="599" t="s">
        <v>559</v>
      </c>
    </row>
    <row r="45" spans="1:10" ht="14.4" customHeight="1" x14ac:dyDescent="0.3">
      <c r="A45" s="595" t="s">
        <v>550</v>
      </c>
      <c r="B45" s="596" t="s">
        <v>553</v>
      </c>
      <c r="C45" s="597">
        <v>2410.90166</v>
      </c>
      <c r="D45" s="597">
        <v>2035.526969999994</v>
      </c>
      <c r="E45" s="597"/>
      <c r="F45" s="597">
        <v>1766.4666099999986</v>
      </c>
      <c r="G45" s="597">
        <v>1845.0548377979489</v>
      </c>
      <c r="H45" s="597">
        <v>-78.588227797950367</v>
      </c>
      <c r="I45" s="598">
        <v>0.95740602057565694</v>
      </c>
      <c r="J45" s="599" t="s">
        <v>554</v>
      </c>
    </row>
  </sheetData>
  <mergeCells count="3">
    <mergeCell ref="F3:I3"/>
    <mergeCell ref="C4:D4"/>
    <mergeCell ref="A1:I1"/>
  </mergeCells>
  <conditionalFormatting sqref="F14 F46:F65537">
    <cfRule type="cellIs" dxfId="56" priority="18" stopIfTrue="1" operator="greaterThan">
      <formula>1</formula>
    </cfRule>
  </conditionalFormatting>
  <conditionalFormatting sqref="H5:H13">
    <cfRule type="expression" dxfId="55" priority="14">
      <formula>$H5&gt;0</formula>
    </cfRule>
  </conditionalFormatting>
  <conditionalFormatting sqref="I5:I13">
    <cfRule type="expression" dxfId="54" priority="15">
      <formula>$I5&gt;1</formula>
    </cfRule>
  </conditionalFormatting>
  <conditionalFormatting sqref="B5:B13">
    <cfRule type="expression" dxfId="53" priority="11">
      <formula>OR($J5="NS",$J5="SumaNS",$J5="Účet")</formula>
    </cfRule>
  </conditionalFormatting>
  <conditionalFormatting sqref="B5:D13 F5:I13">
    <cfRule type="expression" dxfId="52" priority="17">
      <formula>AND($J5&lt;&gt;"",$J5&lt;&gt;"mezeraKL")</formula>
    </cfRule>
  </conditionalFormatting>
  <conditionalFormatting sqref="B5:D13 F5:I13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50" priority="13">
      <formula>OR($J5="SumaNS",$J5="NS")</formula>
    </cfRule>
  </conditionalFormatting>
  <conditionalFormatting sqref="A5:A13">
    <cfRule type="expression" dxfId="49" priority="9">
      <formula>AND($J5&lt;&gt;"mezeraKL",$J5&lt;&gt;"")</formula>
    </cfRule>
  </conditionalFormatting>
  <conditionalFormatting sqref="A5:A13">
    <cfRule type="expression" dxfId="48" priority="10">
      <formula>AND($J5&lt;&gt;"",$J5&lt;&gt;"mezeraKL")</formula>
    </cfRule>
  </conditionalFormatting>
  <conditionalFormatting sqref="H15:H45">
    <cfRule type="expression" dxfId="47" priority="5">
      <formula>$H15&gt;0</formula>
    </cfRule>
  </conditionalFormatting>
  <conditionalFormatting sqref="A15:A45">
    <cfRule type="expression" dxfId="46" priority="2">
      <formula>AND($J15&lt;&gt;"mezeraKL",$J15&lt;&gt;"")</formula>
    </cfRule>
  </conditionalFormatting>
  <conditionalFormatting sqref="I15:I45">
    <cfRule type="expression" dxfId="45" priority="6">
      <formula>$I15&gt;1</formula>
    </cfRule>
  </conditionalFormatting>
  <conditionalFormatting sqref="B15:B45">
    <cfRule type="expression" dxfId="44" priority="1">
      <formula>OR($J15="NS",$J15="SumaNS",$J15="Účet")</formula>
    </cfRule>
  </conditionalFormatting>
  <conditionalFormatting sqref="A15:D45 F15:I45">
    <cfRule type="expression" dxfId="43" priority="8">
      <formula>AND($J15&lt;&gt;"",$J15&lt;&gt;"mezeraKL")</formula>
    </cfRule>
  </conditionalFormatting>
  <conditionalFormatting sqref="B15:D45 F15:I45">
    <cfRule type="expression" dxfId="4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5 F15:I45">
    <cfRule type="expression" dxfId="4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1.109375" style="319" customWidth="1"/>
    <col min="15" max="16384" width="8.88671875" style="238"/>
  </cols>
  <sheetData>
    <row r="1" spans="1:14" ht="18.600000000000001" customHeight="1" thickBot="1" x14ac:dyDescent="0.4">
      <c r="A1" s="488" t="s">
        <v>181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484"/>
      <c r="D3" s="485"/>
      <c r="E3" s="485"/>
      <c r="F3" s="485"/>
      <c r="G3" s="485"/>
      <c r="H3" s="485"/>
      <c r="I3" s="485"/>
      <c r="J3" s="486" t="s">
        <v>142</v>
      </c>
      <c r="K3" s="487"/>
      <c r="L3" s="192">
        <f>IF(M3&lt;&gt;0,N3/M3,0)</f>
        <v>139.36726110836457</v>
      </c>
      <c r="M3" s="192">
        <f>SUBTOTAL(9,M5:M1048576)</f>
        <v>11061.900000000001</v>
      </c>
      <c r="N3" s="193">
        <f>SUBTOTAL(9,N5:N1048576)</f>
        <v>1541666.7056546183</v>
      </c>
    </row>
    <row r="4" spans="1:14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8</v>
      </c>
      <c r="H4" s="601" t="s">
        <v>9</v>
      </c>
      <c r="I4" s="601" t="s">
        <v>10</v>
      </c>
      <c r="J4" s="602" t="s">
        <v>11</v>
      </c>
      <c r="K4" s="602" t="s">
        <v>12</v>
      </c>
      <c r="L4" s="603" t="s">
        <v>165</v>
      </c>
      <c r="M4" s="603" t="s">
        <v>13</v>
      </c>
      <c r="N4" s="604" t="s">
        <v>176</v>
      </c>
    </row>
    <row r="5" spans="1:14" ht="14.4" customHeight="1" x14ac:dyDescent="0.3">
      <c r="A5" s="605" t="s">
        <v>550</v>
      </c>
      <c r="B5" s="606" t="s">
        <v>551</v>
      </c>
      <c r="C5" s="607" t="s">
        <v>555</v>
      </c>
      <c r="D5" s="608" t="s">
        <v>1182</v>
      </c>
      <c r="E5" s="607" t="s">
        <v>569</v>
      </c>
      <c r="F5" s="608" t="s">
        <v>1185</v>
      </c>
      <c r="G5" s="607" t="s">
        <v>570</v>
      </c>
      <c r="H5" s="607" t="s">
        <v>571</v>
      </c>
      <c r="I5" s="607" t="s">
        <v>571</v>
      </c>
      <c r="J5" s="607" t="s">
        <v>572</v>
      </c>
      <c r="K5" s="607" t="s">
        <v>573</v>
      </c>
      <c r="L5" s="609">
        <v>179.39999999999998</v>
      </c>
      <c r="M5" s="609">
        <v>3</v>
      </c>
      <c r="N5" s="610">
        <v>538.19999999999993</v>
      </c>
    </row>
    <row r="6" spans="1:14" ht="14.4" customHeight="1" x14ac:dyDescent="0.3">
      <c r="A6" s="611" t="s">
        <v>550</v>
      </c>
      <c r="B6" s="612" t="s">
        <v>551</v>
      </c>
      <c r="C6" s="613" t="s">
        <v>555</v>
      </c>
      <c r="D6" s="614" t="s">
        <v>1182</v>
      </c>
      <c r="E6" s="613" t="s">
        <v>569</v>
      </c>
      <c r="F6" s="614" t="s">
        <v>1185</v>
      </c>
      <c r="G6" s="613" t="s">
        <v>570</v>
      </c>
      <c r="H6" s="613" t="s">
        <v>574</v>
      </c>
      <c r="I6" s="613" t="s">
        <v>575</v>
      </c>
      <c r="J6" s="613" t="s">
        <v>576</v>
      </c>
      <c r="K6" s="613" t="s">
        <v>577</v>
      </c>
      <c r="L6" s="615">
        <v>87.779999999999973</v>
      </c>
      <c r="M6" s="615">
        <v>8</v>
      </c>
      <c r="N6" s="616">
        <v>702.23999999999978</v>
      </c>
    </row>
    <row r="7" spans="1:14" ht="14.4" customHeight="1" x14ac:dyDescent="0.3">
      <c r="A7" s="611" t="s">
        <v>550</v>
      </c>
      <c r="B7" s="612" t="s">
        <v>551</v>
      </c>
      <c r="C7" s="613" t="s">
        <v>555</v>
      </c>
      <c r="D7" s="614" t="s">
        <v>1182</v>
      </c>
      <c r="E7" s="613" t="s">
        <v>569</v>
      </c>
      <c r="F7" s="614" t="s">
        <v>1185</v>
      </c>
      <c r="G7" s="613" t="s">
        <v>570</v>
      </c>
      <c r="H7" s="613" t="s">
        <v>578</v>
      </c>
      <c r="I7" s="613" t="s">
        <v>579</v>
      </c>
      <c r="J7" s="613" t="s">
        <v>580</v>
      </c>
      <c r="K7" s="613" t="s">
        <v>581</v>
      </c>
      <c r="L7" s="615">
        <v>79.059421114956763</v>
      </c>
      <c r="M7" s="615">
        <v>34</v>
      </c>
      <c r="N7" s="616">
        <v>2688.0203179085302</v>
      </c>
    </row>
    <row r="8" spans="1:14" ht="14.4" customHeight="1" x14ac:dyDescent="0.3">
      <c r="A8" s="611" t="s">
        <v>550</v>
      </c>
      <c r="B8" s="612" t="s">
        <v>551</v>
      </c>
      <c r="C8" s="613" t="s">
        <v>555</v>
      </c>
      <c r="D8" s="614" t="s">
        <v>1182</v>
      </c>
      <c r="E8" s="613" t="s">
        <v>569</v>
      </c>
      <c r="F8" s="614" t="s">
        <v>1185</v>
      </c>
      <c r="G8" s="613" t="s">
        <v>570</v>
      </c>
      <c r="H8" s="613" t="s">
        <v>582</v>
      </c>
      <c r="I8" s="613" t="s">
        <v>583</v>
      </c>
      <c r="J8" s="613" t="s">
        <v>584</v>
      </c>
      <c r="K8" s="613" t="s">
        <v>585</v>
      </c>
      <c r="L8" s="615">
        <v>59.896363636363631</v>
      </c>
      <c r="M8" s="615">
        <v>55</v>
      </c>
      <c r="N8" s="616">
        <v>3294.2999999999997</v>
      </c>
    </row>
    <row r="9" spans="1:14" ht="14.4" customHeight="1" x14ac:dyDescent="0.3">
      <c r="A9" s="611" t="s">
        <v>550</v>
      </c>
      <c r="B9" s="612" t="s">
        <v>551</v>
      </c>
      <c r="C9" s="613" t="s">
        <v>555</v>
      </c>
      <c r="D9" s="614" t="s">
        <v>1182</v>
      </c>
      <c r="E9" s="613" t="s">
        <v>569</v>
      </c>
      <c r="F9" s="614" t="s">
        <v>1185</v>
      </c>
      <c r="G9" s="613" t="s">
        <v>570</v>
      </c>
      <c r="H9" s="613" t="s">
        <v>586</v>
      </c>
      <c r="I9" s="613" t="s">
        <v>587</v>
      </c>
      <c r="J9" s="613" t="s">
        <v>588</v>
      </c>
      <c r="K9" s="613" t="s">
        <v>589</v>
      </c>
      <c r="L9" s="615">
        <v>56.429918588620673</v>
      </c>
      <c r="M9" s="615">
        <v>2</v>
      </c>
      <c r="N9" s="616">
        <v>112.85983717724135</v>
      </c>
    </row>
    <row r="10" spans="1:14" ht="14.4" customHeight="1" x14ac:dyDescent="0.3">
      <c r="A10" s="611" t="s">
        <v>550</v>
      </c>
      <c r="B10" s="612" t="s">
        <v>551</v>
      </c>
      <c r="C10" s="613" t="s">
        <v>555</v>
      </c>
      <c r="D10" s="614" t="s">
        <v>1182</v>
      </c>
      <c r="E10" s="613" t="s">
        <v>569</v>
      </c>
      <c r="F10" s="614" t="s">
        <v>1185</v>
      </c>
      <c r="G10" s="613" t="s">
        <v>570</v>
      </c>
      <c r="H10" s="613" t="s">
        <v>590</v>
      </c>
      <c r="I10" s="613" t="s">
        <v>591</v>
      </c>
      <c r="J10" s="613" t="s">
        <v>592</v>
      </c>
      <c r="K10" s="613" t="s">
        <v>589</v>
      </c>
      <c r="L10" s="615">
        <v>67.15000000000002</v>
      </c>
      <c r="M10" s="615">
        <v>1</v>
      </c>
      <c r="N10" s="616">
        <v>67.15000000000002</v>
      </c>
    </row>
    <row r="11" spans="1:14" ht="14.4" customHeight="1" x14ac:dyDescent="0.3">
      <c r="A11" s="611" t="s">
        <v>550</v>
      </c>
      <c r="B11" s="612" t="s">
        <v>551</v>
      </c>
      <c r="C11" s="613" t="s">
        <v>555</v>
      </c>
      <c r="D11" s="614" t="s">
        <v>1182</v>
      </c>
      <c r="E11" s="613" t="s">
        <v>569</v>
      </c>
      <c r="F11" s="614" t="s">
        <v>1185</v>
      </c>
      <c r="G11" s="613" t="s">
        <v>570</v>
      </c>
      <c r="H11" s="613" t="s">
        <v>593</v>
      </c>
      <c r="I11" s="613" t="s">
        <v>594</v>
      </c>
      <c r="J11" s="613" t="s">
        <v>595</v>
      </c>
      <c r="K11" s="613" t="s">
        <v>596</v>
      </c>
      <c r="L11" s="615">
        <v>331.02747517946875</v>
      </c>
      <c r="M11" s="615">
        <v>2</v>
      </c>
      <c r="N11" s="616">
        <v>662.0549503589375</v>
      </c>
    </row>
    <row r="12" spans="1:14" ht="14.4" customHeight="1" x14ac:dyDescent="0.3">
      <c r="A12" s="611" t="s">
        <v>550</v>
      </c>
      <c r="B12" s="612" t="s">
        <v>551</v>
      </c>
      <c r="C12" s="613" t="s">
        <v>555</v>
      </c>
      <c r="D12" s="614" t="s">
        <v>1182</v>
      </c>
      <c r="E12" s="613" t="s">
        <v>569</v>
      </c>
      <c r="F12" s="614" t="s">
        <v>1185</v>
      </c>
      <c r="G12" s="613" t="s">
        <v>570</v>
      </c>
      <c r="H12" s="613" t="s">
        <v>597</v>
      </c>
      <c r="I12" s="613" t="s">
        <v>598</v>
      </c>
      <c r="J12" s="613" t="s">
        <v>599</v>
      </c>
      <c r="K12" s="613" t="s">
        <v>600</v>
      </c>
      <c r="L12" s="615">
        <v>38.36</v>
      </c>
      <c r="M12" s="615">
        <v>1</v>
      </c>
      <c r="N12" s="616">
        <v>38.36</v>
      </c>
    </row>
    <row r="13" spans="1:14" ht="14.4" customHeight="1" x14ac:dyDescent="0.3">
      <c r="A13" s="611" t="s">
        <v>550</v>
      </c>
      <c r="B13" s="612" t="s">
        <v>551</v>
      </c>
      <c r="C13" s="613" t="s">
        <v>555</v>
      </c>
      <c r="D13" s="614" t="s">
        <v>1182</v>
      </c>
      <c r="E13" s="613" t="s">
        <v>569</v>
      </c>
      <c r="F13" s="614" t="s">
        <v>1185</v>
      </c>
      <c r="G13" s="613" t="s">
        <v>570</v>
      </c>
      <c r="H13" s="613" t="s">
        <v>601</v>
      </c>
      <c r="I13" s="613" t="s">
        <v>210</v>
      </c>
      <c r="J13" s="613" t="s">
        <v>602</v>
      </c>
      <c r="K13" s="613"/>
      <c r="L13" s="615">
        <v>97.320291337149456</v>
      </c>
      <c r="M13" s="615">
        <v>36</v>
      </c>
      <c r="N13" s="616">
        <v>3503.5304881373804</v>
      </c>
    </row>
    <row r="14" spans="1:14" ht="14.4" customHeight="1" x14ac:dyDescent="0.3">
      <c r="A14" s="611" t="s">
        <v>550</v>
      </c>
      <c r="B14" s="612" t="s">
        <v>551</v>
      </c>
      <c r="C14" s="613" t="s">
        <v>555</v>
      </c>
      <c r="D14" s="614" t="s">
        <v>1182</v>
      </c>
      <c r="E14" s="613" t="s">
        <v>569</v>
      </c>
      <c r="F14" s="614" t="s">
        <v>1185</v>
      </c>
      <c r="G14" s="613" t="s">
        <v>570</v>
      </c>
      <c r="H14" s="613" t="s">
        <v>603</v>
      </c>
      <c r="I14" s="613" t="s">
        <v>210</v>
      </c>
      <c r="J14" s="613" t="s">
        <v>604</v>
      </c>
      <c r="K14" s="613"/>
      <c r="L14" s="615">
        <v>218.20000000000002</v>
      </c>
      <c r="M14" s="615">
        <v>1</v>
      </c>
      <c r="N14" s="616">
        <v>218.20000000000002</v>
      </c>
    </row>
    <row r="15" spans="1:14" ht="14.4" customHeight="1" x14ac:dyDescent="0.3">
      <c r="A15" s="611" t="s">
        <v>550</v>
      </c>
      <c r="B15" s="612" t="s">
        <v>551</v>
      </c>
      <c r="C15" s="613" t="s">
        <v>555</v>
      </c>
      <c r="D15" s="614" t="s">
        <v>1182</v>
      </c>
      <c r="E15" s="613" t="s">
        <v>569</v>
      </c>
      <c r="F15" s="614" t="s">
        <v>1185</v>
      </c>
      <c r="G15" s="613" t="s">
        <v>570</v>
      </c>
      <c r="H15" s="613" t="s">
        <v>605</v>
      </c>
      <c r="I15" s="613" t="s">
        <v>606</v>
      </c>
      <c r="J15" s="613" t="s">
        <v>607</v>
      </c>
      <c r="K15" s="613" t="s">
        <v>608</v>
      </c>
      <c r="L15" s="615">
        <v>33.882857142857141</v>
      </c>
      <c r="M15" s="615">
        <v>7</v>
      </c>
      <c r="N15" s="616">
        <v>237.18</v>
      </c>
    </row>
    <row r="16" spans="1:14" ht="14.4" customHeight="1" x14ac:dyDescent="0.3">
      <c r="A16" s="611" t="s">
        <v>550</v>
      </c>
      <c r="B16" s="612" t="s">
        <v>551</v>
      </c>
      <c r="C16" s="613" t="s">
        <v>555</v>
      </c>
      <c r="D16" s="614" t="s">
        <v>1182</v>
      </c>
      <c r="E16" s="613" t="s">
        <v>569</v>
      </c>
      <c r="F16" s="614" t="s">
        <v>1185</v>
      </c>
      <c r="G16" s="613" t="s">
        <v>570</v>
      </c>
      <c r="H16" s="613" t="s">
        <v>609</v>
      </c>
      <c r="I16" s="613" t="s">
        <v>210</v>
      </c>
      <c r="J16" s="613" t="s">
        <v>610</v>
      </c>
      <c r="K16" s="613"/>
      <c r="L16" s="615">
        <v>35.651890763161575</v>
      </c>
      <c r="M16" s="615">
        <v>60</v>
      </c>
      <c r="N16" s="616">
        <v>2139.1134457896947</v>
      </c>
    </row>
    <row r="17" spans="1:14" ht="14.4" customHeight="1" x14ac:dyDescent="0.3">
      <c r="A17" s="611" t="s">
        <v>550</v>
      </c>
      <c r="B17" s="612" t="s">
        <v>551</v>
      </c>
      <c r="C17" s="613" t="s">
        <v>555</v>
      </c>
      <c r="D17" s="614" t="s">
        <v>1182</v>
      </c>
      <c r="E17" s="613" t="s">
        <v>569</v>
      </c>
      <c r="F17" s="614" t="s">
        <v>1185</v>
      </c>
      <c r="G17" s="613" t="s">
        <v>570</v>
      </c>
      <c r="H17" s="613" t="s">
        <v>611</v>
      </c>
      <c r="I17" s="613" t="s">
        <v>612</v>
      </c>
      <c r="J17" s="613" t="s">
        <v>580</v>
      </c>
      <c r="K17" s="613" t="s">
        <v>613</v>
      </c>
      <c r="L17" s="615">
        <v>40.909999999999997</v>
      </c>
      <c r="M17" s="615">
        <v>2</v>
      </c>
      <c r="N17" s="616">
        <v>81.819999999999993</v>
      </c>
    </row>
    <row r="18" spans="1:14" ht="14.4" customHeight="1" x14ac:dyDescent="0.3">
      <c r="A18" s="611" t="s">
        <v>550</v>
      </c>
      <c r="B18" s="612" t="s">
        <v>551</v>
      </c>
      <c r="C18" s="613" t="s">
        <v>555</v>
      </c>
      <c r="D18" s="614" t="s">
        <v>1182</v>
      </c>
      <c r="E18" s="613" t="s">
        <v>569</v>
      </c>
      <c r="F18" s="614" t="s">
        <v>1185</v>
      </c>
      <c r="G18" s="613" t="s">
        <v>570</v>
      </c>
      <c r="H18" s="613" t="s">
        <v>614</v>
      </c>
      <c r="I18" s="613" t="s">
        <v>615</v>
      </c>
      <c r="J18" s="613" t="s">
        <v>616</v>
      </c>
      <c r="K18" s="613" t="s">
        <v>617</v>
      </c>
      <c r="L18" s="615">
        <v>57.720254700122752</v>
      </c>
      <c r="M18" s="615">
        <v>1</v>
      </c>
      <c r="N18" s="616">
        <v>57.720254700122752</v>
      </c>
    </row>
    <row r="19" spans="1:14" ht="14.4" customHeight="1" x14ac:dyDescent="0.3">
      <c r="A19" s="611" t="s">
        <v>550</v>
      </c>
      <c r="B19" s="612" t="s">
        <v>551</v>
      </c>
      <c r="C19" s="613" t="s">
        <v>555</v>
      </c>
      <c r="D19" s="614" t="s">
        <v>1182</v>
      </c>
      <c r="E19" s="613" t="s">
        <v>569</v>
      </c>
      <c r="F19" s="614" t="s">
        <v>1185</v>
      </c>
      <c r="G19" s="613" t="s">
        <v>570</v>
      </c>
      <c r="H19" s="613" t="s">
        <v>618</v>
      </c>
      <c r="I19" s="613" t="s">
        <v>619</v>
      </c>
      <c r="J19" s="613" t="s">
        <v>620</v>
      </c>
      <c r="K19" s="613" t="s">
        <v>621</v>
      </c>
      <c r="L19" s="615">
        <v>74.87</v>
      </c>
      <c r="M19" s="615">
        <v>1</v>
      </c>
      <c r="N19" s="616">
        <v>74.87</v>
      </c>
    </row>
    <row r="20" spans="1:14" ht="14.4" customHeight="1" x14ac:dyDescent="0.3">
      <c r="A20" s="611" t="s">
        <v>550</v>
      </c>
      <c r="B20" s="612" t="s">
        <v>551</v>
      </c>
      <c r="C20" s="613" t="s">
        <v>555</v>
      </c>
      <c r="D20" s="614" t="s">
        <v>1182</v>
      </c>
      <c r="E20" s="613" t="s">
        <v>569</v>
      </c>
      <c r="F20" s="614" t="s">
        <v>1185</v>
      </c>
      <c r="G20" s="613" t="s">
        <v>570</v>
      </c>
      <c r="H20" s="613" t="s">
        <v>622</v>
      </c>
      <c r="I20" s="613" t="s">
        <v>210</v>
      </c>
      <c r="J20" s="613" t="s">
        <v>623</v>
      </c>
      <c r="K20" s="613"/>
      <c r="L20" s="615">
        <v>233.88720505651824</v>
      </c>
      <c r="M20" s="615">
        <v>6</v>
      </c>
      <c r="N20" s="616">
        <v>1403.3232303391094</v>
      </c>
    </row>
    <row r="21" spans="1:14" ht="14.4" customHeight="1" x14ac:dyDescent="0.3">
      <c r="A21" s="611" t="s">
        <v>550</v>
      </c>
      <c r="B21" s="612" t="s">
        <v>551</v>
      </c>
      <c r="C21" s="613" t="s">
        <v>555</v>
      </c>
      <c r="D21" s="614" t="s">
        <v>1182</v>
      </c>
      <c r="E21" s="613" t="s">
        <v>569</v>
      </c>
      <c r="F21" s="614" t="s">
        <v>1185</v>
      </c>
      <c r="G21" s="613" t="s">
        <v>570</v>
      </c>
      <c r="H21" s="613" t="s">
        <v>624</v>
      </c>
      <c r="I21" s="613" t="s">
        <v>624</v>
      </c>
      <c r="J21" s="613" t="s">
        <v>625</v>
      </c>
      <c r="K21" s="613" t="s">
        <v>626</v>
      </c>
      <c r="L21" s="615">
        <v>75.638993740836383</v>
      </c>
      <c r="M21" s="615">
        <v>9</v>
      </c>
      <c r="N21" s="616">
        <v>680.75094366752751</v>
      </c>
    </row>
    <row r="22" spans="1:14" ht="14.4" customHeight="1" x14ac:dyDescent="0.3">
      <c r="A22" s="611" t="s">
        <v>550</v>
      </c>
      <c r="B22" s="612" t="s">
        <v>551</v>
      </c>
      <c r="C22" s="613" t="s">
        <v>555</v>
      </c>
      <c r="D22" s="614" t="s">
        <v>1182</v>
      </c>
      <c r="E22" s="613" t="s">
        <v>569</v>
      </c>
      <c r="F22" s="614" t="s">
        <v>1185</v>
      </c>
      <c r="G22" s="613" t="s">
        <v>570</v>
      </c>
      <c r="H22" s="613" t="s">
        <v>627</v>
      </c>
      <c r="I22" s="613" t="s">
        <v>628</v>
      </c>
      <c r="J22" s="613" t="s">
        <v>629</v>
      </c>
      <c r="K22" s="613" t="s">
        <v>630</v>
      </c>
      <c r="L22" s="615">
        <v>65.142626418337997</v>
      </c>
      <c r="M22" s="615">
        <v>127</v>
      </c>
      <c r="N22" s="616">
        <v>8273.1135551289262</v>
      </c>
    </row>
    <row r="23" spans="1:14" ht="14.4" customHeight="1" x14ac:dyDescent="0.3">
      <c r="A23" s="611" t="s">
        <v>550</v>
      </c>
      <c r="B23" s="612" t="s">
        <v>551</v>
      </c>
      <c r="C23" s="613" t="s">
        <v>555</v>
      </c>
      <c r="D23" s="614" t="s">
        <v>1182</v>
      </c>
      <c r="E23" s="613" t="s">
        <v>569</v>
      </c>
      <c r="F23" s="614" t="s">
        <v>1185</v>
      </c>
      <c r="G23" s="613" t="s">
        <v>570</v>
      </c>
      <c r="H23" s="613" t="s">
        <v>631</v>
      </c>
      <c r="I23" s="613" t="s">
        <v>210</v>
      </c>
      <c r="J23" s="613" t="s">
        <v>632</v>
      </c>
      <c r="K23" s="613" t="s">
        <v>633</v>
      </c>
      <c r="L23" s="615">
        <v>23.699999999999985</v>
      </c>
      <c r="M23" s="615">
        <v>222</v>
      </c>
      <c r="N23" s="616">
        <v>5261.3999999999969</v>
      </c>
    </row>
    <row r="24" spans="1:14" ht="14.4" customHeight="1" x14ac:dyDescent="0.3">
      <c r="A24" s="611" t="s">
        <v>550</v>
      </c>
      <c r="B24" s="612" t="s">
        <v>551</v>
      </c>
      <c r="C24" s="613" t="s">
        <v>555</v>
      </c>
      <c r="D24" s="614" t="s">
        <v>1182</v>
      </c>
      <c r="E24" s="613" t="s">
        <v>569</v>
      </c>
      <c r="F24" s="614" t="s">
        <v>1185</v>
      </c>
      <c r="G24" s="613" t="s">
        <v>570</v>
      </c>
      <c r="H24" s="613" t="s">
        <v>634</v>
      </c>
      <c r="I24" s="613" t="s">
        <v>210</v>
      </c>
      <c r="J24" s="613" t="s">
        <v>635</v>
      </c>
      <c r="K24" s="613" t="s">
        <v>633</v>
      </c>
      <c r="L24" s="615">
        <v>24.037194261613511</v>
      </c>
      <c r="M24" s="615">
        <v>6</v>
      </c>
      <c r="N24" s="616">
        <v>144.22316556968107</v>
      </c>
    </row>
    <row r="25" spans="1:14" ht="14.4" customHeight="1" x14ac:dyDescent="0.3">
      <c r="A25" s="611" t="s">
        <v>550</v>
      </c>
      <c r="B25" s="612" t="s">
        <v>551</v>
      </c>
      <c r="C25" s="613" t="s">
        <v>555</v>
      </c>
      <c r="D25" s="614" t="s">
        <v>1182</v>
      </c>
      <c r="E25" s="613" t="s">
        <v>569</v>
      </c>
      <c r="F25" s="614" t="s">
        <v>1185</v>
      </c>
      <c r="G25" s="613" t="s">
        <v>570</v>
      </c>
      <c r="H25" s="613" t="s">
        <v>636</v>
      </c>
      <c r="I25" s="613" t="s">
        <v>210</v>
      </c>
      <c r="J25" s="613" t="s">
        <v>637</v>
      </c>
      <c r="K25" s="613" t="s">
        <v>638</v>
      </c>
      <c r="L25" s="615">
        <v>199.67000000000004</v>
      </c>
      <c r="M25" s="615">
        <v>1</v>
      </c>
      <c r="N25" s="616">
        <v>199.67000000000004</v>
      </c>
    </row>
    <row r="26" spans="1:14" ht="14.4" customHeight="1" x14ac:dyDescent="0.3">
      <c r="A26" s="611" t="s">
        <v>550</v>
      </c>
      <c r="B26" s="612" t="s">
        <v>551</v>
      </c>
      <c r="C26" s="613" t="s">
        <v>555</v>
      </c>
      <c r="D26" s="614" t="s">
        <v>1182</v>
      </c>
      <c r="E26" s="613" t="s">
        <v>569</v>
      </c>
      <c r="F26" s="614" t="s">
        <v>1185</v>
      </c>
      <c r="G26" s="613" t="s">
        <v>570</v>
      </c>
      <c r="H26" s="613" t="s">
        <v>639</v>
      </c>
      <c r="I26" s="613" t="s">
        <v>210</v>
      </c>
      <c r="J26" s="613" t="s">
        <v>640</v>
      </c>
      <c r="K26" s="613"/>
      <c r="L26" s="615">
        <v>38.998548499359025</v>
      </c>
      <c r="M26" s="615">
        <v>3</v>
      </c>
      <c r="N26" s="616">
        <v>116.99564549807707</v>
      </c>
    </row>
    <row r="27" spans="1:14" ht="14.4" customHeight="1" x14ac:dyDescent="0.3">
      <c r="A27" s="611" t="s">
        <v>550</v>
      </c>
      <c r="B27" s="612" t="s">
        <v>551</v>
      </c>
      <c r="C27" s="613" t="s">
        <v>555</v>
      </c>
      <c r="D27" s="614" t="s">
        <v>1182</v>
      </c>
      <c r="E27" s="613" t="s">
        <v>569</v>
      </c>
      <c r="F27" s="614" t="s">
        <v>1185</v>
      </c>
      <c r="G27" s="613" t="s">
        <v>570</v>
      </c>
      <c r="H27" s="613" t="s">
        <v>641</v>
      </c>
      <c r="I27" s="613" t="s">
        <v>210</v>
      </c>
      <c r="J27" s="613" t="s">
        <v>642</v>
      </c>
      <c r="K27" s="613"/>
      <c r="L27" s="615">
        <v>103.03478421488552</v>
      </c>
      <c r="M27" s="615">
        <v>1</v>
      </c>
      <c r="N27" s="616">
        <v>103.03478421488552</v>
      </c>
    </row>
    <row r="28" spans="1:14" ht="14.4" customHeight="1" x14ac:dyDescent="0.3">
      <c r="A28" s="611" t="s">
        <v>550</v>
      </c>
      <c r="B28" s="612" t="s">
        <v>551</v>
      </c>
      <c r="C28" s="613" t="s">
        <v>555</v>
      </c>
      <c r="D28" s="614" t="s">
        <v>1182</v>
      </c>
      <c r="E28" s="613" t="s">
        <v>569</v>
      </c>
      <c r="F28" s="614" t="s">
        <v>1185</v>
      </c>
      <c r="G28" s="613" t="s">
        <v>570</v>
      </c>
      <c r="H28" s="613" t="s">
        <v>643</v>
      </c>
      <c r="I28" s="613" t="s">
        <v>644</v>
      </c>
      <c r="J28" s="613" t="s">
        <v>645</v>
      </c>
      <c r="K28" s="613" t="s">
        <v>646</v>
      </c>
      <c r="L28" s="615">
        <v>45.47</v>
      </c>
      <c r="M28" s="615">
        <v>1</v>
      </c>
      <c r="N28" s="616">
        <v>45.47</v>
      </c>
    </row>
    <row r="29" spans="1:14" ht="14.4" customHeight="1" x14ac:dyDescent="0.3">
      <c r="A29" s="611" t="s">
        <v>550</v>
      </c>
      <c r="B29" s="612" t="s">
        <v>551</v>
      </c>
      <c r="C29" s="613" t="s">
        <v>555</v>
      </c>
      <c r="D29" s="614" t="s">
        <v>1182</v>
      </c>
      <c r="E29" s="613" t="s">
        <v>569</v>
      </c>
      <c r="F29" s="614" t="s">
        <v>1185</v>
      </c>
      <c r="G29" s="613" t="s">
        <v>570</v>
      </c>
      <c r="H29" s="613" t="s">
        <v>647</v>
      </c>
      <c r="I29" s="613" t="s">
        <v>648</v>
      </c>
      <c r="J29" s="613" t="s">
        <v>649</v>
      </c>
      <c r="K29" s="613" t="s">
        <v>650</v>
      </c>
      <c r="L29" s="615">
        <v>50.78</v>
      </c>
      <c r="M29" s="615">
        <v>2</v>
      </c>
      <c r="N29" s="616">
        <v>101.56</v>
      </c>
    </row>
    <row r="30" spans="1:14" ht="14.4" customHeight="1" x14ac:dyDescent="0.3">
      <c r="A30" s="611" t="s">
        <v>550</v>
      </c>
      <c r="B30" s="612" t="s">
        <v>551</v>
      </c>
      <c r="C30" s="613" t="s">
        <v>555</v>
      </c>
      <c r="D30" s="614" t="s">
        <v>1182</v>
      </c>
      <c r="E30" s="613" t="s">
        <v>569</v>
      </c>
      <c r="F30" s="614" t="s">
        <v>1185</v>
      </c>
      <c r="G30" s="613" t="s">
        <v>570</v>
      </c>
      <c r="H30" s="613" t="s">
        <v>651</v>
      </c>
      <c r="I30" s="613" t="s">
        <v>652</v>
      </c>
      <c r="J30" s="613" t="s">
        <v>653</v>
      </c>
      <c r="K30" s="613" t="s">
        <v>654</v>
      </c>
      <c r="L30" s="615">
        <v>56.93273933186439</v>
      </c>
      <c r="M30" s="615">
        <v>3</v>
      </c>
      <c r="N30" s="616">
        <v>170.79821799559318</v>
      </c>
    </row>
    <row r="31" spans="1:14" ht="14.4" customHeight="1" x14ac:dyDescent="0.3">
      <c r="A31" s="611" t="s">
        <v>550</v>
      </c>
      <c r="B31" s="612" t="s">
        <v>551</v>
      </c>
      <c r="C31" s="613" t="s">
        <v>555</v>
      </c>
      <c r="D31" s="614" t="s">
        <v>1182</v>
      </c>
      <c r="E31" s="613" t="s">
        <v>569</v>
      </c>
      <c r="F31" s="614" t="s">
        <v>1185</v>
      </c>
      <c r="G31" s="613" t="s">
        <v>570</v>
      </c>
      <c r="H31" s="613" t="s">
        <v>655</v>
      </c>
      <c r="I31" s="613" t="s">
        <v>656</v>
      </c>
      <c r="J31" s="613" t="s">
        <v>657</v>
      </c>
      <c r="K31" s="613" t="s">
        <v>658</v>
      </c>
      <c r="L31" s="615">
        <v>694.96641265998551</v>
      </c>
      <c r="M31" s="615">
        <v>1</v>
      </c>
      <c r="N31" s="616">
        <v>694.96641265998551</v>
      </c>
    </row>
    <row r="32" spans="1:14" ht="14.4" customHeight="1" x14ac:dyDescent="0.3">
      <c r="A32" s="611" t="s">
        <v>550</v>
      </c>
      <c r="B32" s="612" t="s">
        <v>551</v>
      </c>
      <c r="C32" s="613" t="s">
        <v>555</v>
      </c>
      <c r="D32" s="614" t="s">
        <v>1182</v>
      </c>
      <c r="E32" s="613" t="s">
        <v>569</v>
      </c>
      <c r="F32" s="614" t="s">
        <v>1185</v>
      </c>
      <c r="G32" s="613" t="s">
        <v>570</v>
      </c>
      <c r="H32" s="613" t="s">
        <v>659</v>
      </c>
      <c r="I32" s="613" t="s">
        <v>660</v>
      </c>
      <c r="J32" s="613" t="s">
        <v>661</v>
      </c>
      <c r="K32" s="613" t="s">
        <v>662</v>
      </c>
      <c r="L32" s="615">
        <v>107.88047288132485</v>
      </c>
      <c r="M32" s="615">
        <v>17</v>
      </c>
      <c r="N32" s="616">
        <v>1833.9680389825223</v>
      </c>
    </row>
    <row r="33" spans="1:14" ht="14.4" customHeight="1" x14ac:dyDescent="0.3">
      <c r="A33" s="611" t="s">
        <v>550</v>
      </c>
      <c r="B33" s="612" t="s">
        <v>551</v>
      </c>
      <c r="C33" s="613" t="s">
        <v>555</v>
      </c>
      <c r="D33" s="614" t="s">
        <v>1182</v>
      </c>
      <c r="E33" s="613" t="s">
        <v>569</v>
      </c>
      <c r="F33" s="614" t="s">
        <v>1185</v>
      </c>
      <c r="G33" s="613" t="s">
        <v>570</v>
      </c>
      <c r="H33" s="613" t="s">
        <v>663</v>
      </c>
      <c r="I33" s="613" t="s">
        <v>210</v>
      </c>
      <c r="J33" s="613" t="s">
        <v>664</v>
      </c>
      <c r="K33" s="613"/>
      <c r="L33" s="615">
        <v>89.122288476801288</v>
      </c>
      <c r="M33" s="615">
        <v>40</v>
      </c>
      <c r="N33" s="616">
        <v>3564.8915390720513</v>
      </c>
    </row>
    <row r="34" spans="1:14" ht="14.4" customHeight="1" x14ac:dyDescent="0.3">
      <c r="A34" s="611" t="s">
        <v>550</v>
      </c>
      <c r="B34" s="612" t="s">
        <v>551</v>
      </c>
      <c r="C34" s="613" t="s">
        <v>555</v>
      </c>
      <c r="D34" s="614" t="s">
        <v>1182</v>
      </c>
      <c r="E34" s="613" t="s">
        <v>569</v>
      </c>
      <c r="F34" s="614" t="s">
        <v>1185</v>
      </c>
      <c r="G34" s="613" t="s">
        <v>570</v>
      </c>
      <c r="H34" s="613" t="s">
        <v>665</v>
      </c>
      <c r="I34" s="613" t="s">
        <v>210</v>
      </c>
      <c r="J34" s="613" t="s">
        <v>666</v>
      </c>
      <c r="K34" s="613"/>
      <c r="L34" s="615">
        <v>55.679325466595152</v>
      </c>
      <c r="M34" s="615">
        <v>100</v>
      </c>
      <c r="N34" s="616">
        <v>5567.9325466595155</v>
      </c>
    </row>
    <row r="35" spans="1:14" ht="14.4" customHeight="1" x14ac:dyDescent="0.3">
      <c r="A35" s="611" t="s">
        <v>550</v>
      </c>
      <c r="B35" s="612" t="s">
        <v>551</v>
      </c>
      <c r="C35" s="613" t="s">
        <v>555</v>
      </c>
      <c r="D35" s="614" t="s">
        <v>1182</v>
      </c>
      <c r="E35" s="613" t="s">
        <v>569</v>
      </c>
      <c r="F35" s="614" t="s">
        <v>1185</v>
      </c>
      <c r="G35" s="613" t="s">
        <v>570</v>
      </c>
      <c r="H35" s="613" t="s">
        <v>667</v>
      </c>
      <c r="I35" s="613" t="s">
        <v>668</v>
      </c>
      <c r="J35" s="613" t="s">
        <v>669</v>
      </c>
      <c r="K35" s="613" t="s">
        <v>670</v>
      </c>
      <c r="L35" s="615">
        <v>1988.349736357841</v>
      </c>
      <c r="M35" s="615">
        <v>1</v>
      </c>
      <c r="N35" s="616">
        <v>1988.349736357841</v>
      </c>
    </row>
    <row r="36" spans="1:14" ht="14.4" customHeight="1" x14ac:dyDescent="0.3">
      <c r="A36" s="611" t="s">
        <v>550</v>
      </c>
      <c r="B36" s="612" t="s">
        <v>551</v>
      </c>
      <c r="C36" s="613" t="s">
        <v>555</v>
      </c>
      <c r="D36" s="614" t="s">
        <v>1182</v>
      </c>
      <c r="E36" s="613" t="s">
        <v>569</v>
      </c>
      <c r="F36" s="614" t="s">
        <v>1185</v>
      </c>
      <c r="G36" s="613" t="s">
        <v>570</v>
      </c>
      <c r="H36" s="613" t="s">
        <v>671</v>
      </c>
      <c r="I36" s="613" t="s">
        <v>210</v>
      </c>
      <c r="J36" s="613" t="s">
        <v>672</v>
      </c>
      <c r="K36" s="613"/>
      <c r="L36" s="615">
        <v>86.392063426423078</v>
      </c>
      <c r="M36" s="615">
        <v>239</v>
      </c>
      <c r="N36" s="616">
        <v>20647.703158915116</v>
      </c>
    </row>
    <row r="37" spans="1:14" ht="14.4" customHeight="1" x14ac:dyDescent="0.3">
      <c r="A37" s="611" t="s">
        <v>550</v>
      </c>
      <c r="B37" s="612" t="s">
        <v>551</v>
      </c>
      <c r="C37" s="613" t="s">
        <v>555</v>
      </c>
      <c r="D37" s="614" t="s">
        <v>1182</v>
      </c>
      <c r="E37" s="613" t="s">
        <v>569</v>
      </c>
      <c r="F37" s="614" t="s">
        <v>1185</v>
      </c>
      <c r="G37" s="613" t="s">
        <v>570</v>
      </c>
      <c r="H37" s="613" t="s">
        <v>673</v>
      </c>
      <c r="I37" s="613" t="s">
        <v>210</v>
      </c>
      <c r="J37" s="613" t="s">
        <v>674</v>
      </c>
      <c r="K37" s="613"/>
      <c r="L37" s="615">
        <v>153.63554519420393</v>
      </c>
      <c r="M37" s="615">
        <v>4</v>
      </c>
      <c r="N37" s="616">
        <v>614.54218077681571</v>
      </c>
    </row>
    <row r="38" spans="1:14" ht="14.4" customHeight="1" x14ac:dyDescent="0.3">
      <c r="A38" s="611" t="s">
        <v>550</v>
      </c>
      <c r="B38" s="612" t="s">
        <v>551</v>
      </c>
      <c r="C38" s="613" t="s">
        <v>555</v>
      </c>
      <c r="D38" s="614" t="s">
        <v>1182</v>
      </c>
      <c r="E38" s="613" t="s">
        <v>569</v>
      </c>
      <c r="F38" s="614" t="s">
        <v>1185</v>
      </c>
      <c r="G38" s="613" t="s">
        <v>570</v>
      </c>
      <c r="H38" s="613" t="s">
        <v>675</v>
      </c>
      <c r="I38" s="613" t="s">
        <v>210</v>
      </c>
      <c r="J38" s="613" t="s">
        <v>676</v>
      </c>
      <c r="K38" s="613"/>
      <c r="L38" s="615">
        <v>48.458452461439542</v>
      </c>
      <c r="M38" s="615">
        <v>715</v>
      </c>
      <c r="N38" s="616">
        <v>34647.793509929274</v>
      </c>
    </row>
    <row r="39" spans="1:14" ht="14.4" customHeight="1" x14ac:dyDescent="0.3">
      <c r="A39" s="611" t="s">
        <v>550</v>
      </c>
      <c r="B39" s="612" t="s">
        <v>551</v>
      </c>
      <c r="C39" s="613" t="s">
        <v>555</v>
      </c>
      <c r="D39" s="614" t="s">
        <v>1182</v>
      </c>
      <c r="E39" s="613" t="s">
        <v>569</v>
      </c>
      <c r="F39" s="614" t="s">
        <v>1185</v>
      </c>
      <c r="G39" s="613" t="s">
        <v>570</v>
      </c>
      <c r="H39" s="613" t="s">
        <v>677</v>
      </c>
      <c r="I39" s="613" t="s">
        <v>210</v>
      </c>
      <c r="J39" s="613" t="s">
        <v>678</v>
      </c>
      <c r="K39" s="613"/>
      <c r="L39" s="615">
        <v>55.318881052375389</v>
      </c>
      <c r="M39" s="615">
        <v>4</v>
      </c>
      <c r="N39" s="616">
        <v>221.27552420950155</v>
      </c>
    </row>
    <row r="40" spans="1:14" ht="14.4" customHeight="1" x14ac:dyDescent="0.3">
      <c r="A40" s="611" t="s">
        <v>550</v>
      </c>
      <c r="B40" s="612" t="s">
        <v>551</v>
      </c>
      <c r="C40" s="613" t="s">
        <v>555</v>
      </c>
      <c r="D40" s="614" t="s">
        <v>1182</v>
      </c>
      <c r="E40" s="613" t="s">
        <v>569</v>
      </c>
      <c r="F40" s="614" t="s">
        <v>1185</v>
      </c>
      <c r="G40" s="613" t="s">
        <v>570</v>
      </c>
      <c r="H40" s="613" t="s">
        <v>679</v>
      </c>
      <c r="I40" s="613" t="s">
        <v>210</v>
      </c>
      <c r="J40" s="613" t="s">
        <v>680</v>
      </c>
      <c r="K40" s="613"/>
      <c r="L40" s="615">
        <v>109.31258720461571</v>
      </c>
      <c r="M40" s="615">
        <v>69</v>
      </c>
      <c r="N40" s="616">
        <v>7542.5685171184841</v>
      </c>
    </row>
    <row r="41" spans="1:14" ht="14.4" customHeight="1" x14ac:dyDescent="0.3">
      <c r="A41" s="611" t="s">
        <v>550</v>
      </c>
      <c r="B41" s="612" t="s">
        <v>551</v>
      </c>
      <c r="C41" s="613" t="s">
        <v>555</v>
      </c>
      <c r="D41" s="614" t="s">
        <v>1182</v>
      </c>
      <c r="E41" s="613" t="s">
        <v>569</v>
      </c>
      <c r="F41" s="614" t="s">
        <v>1185</v>
      </c>
      <c r="G41" s="613" t="s">
        <v>570</v>
      </c>
      <c r="H41" s="613" t="s">
        <v>681</v>
      </c>
      <c r="I41" s="613" t="s">
        <v>210</v>
      </c>
      <c r="J41" s="613" t="s">
        <v>682</v>
      </c>
      <c r="K41" s="613"/>
      <c r="L41" s="615">
        <v>111.83924339298363</v>
      </c>
      <c r="M41" s="615">
        <v>2</v>
      </c>
      <c r="N41" s="616">
        <v>223.67848678596727</v>
      </c>
    </row>
    <row r="42" spans="1:14" ht="14.4" customHeight="1" x14ac:dyDescent="0.3">
      <c r="A42" s="611" t="s">
        <v>550</v>
      </c>
      <c r="B42" s="612" t="s">
        <v>551</v>
      </c>
      <c r="C42" s="613" t="s">
        <v>555</v>
      </c>
      <c r="D42" s="614" t="s">
        <v>1182</v>
      </c>
      <c r="E42" s="613" t="s">
        <v>569</v>
      </c>
      <c r="F42" s="614" t="s">
        <v>1185</v>
      </c>
      <c r="G42" s="613" t="s">
        <v>570</v>
      </c>
      <c r="H42" s="613" t="s">
        <v>683</v>
      </c>
      <c r="I42" s="613" t="s">
        <v>210</v>
      </c>
      <c r="J42" s="613" t="s">
        <v>684</v>
      </c>
      <c r="K42" s="613" t="s">
        <v>685</v>
      </c>
      <c r="L42" s="615">
        <v>454.1249416857807</v>
      </c>
      <c r="M42" s="615">
        <v>1</v>
      </c>
      <c r="N42" s="616">
        <v>454.1249416857807</v>
      </c>
    </row>
    <row r="43" spans="1:14" ht="14.4" customHeight="1" x14ac:dyDescent="0.3">
      <c r="A43" s="611" t="s">
        <v>550</v>
      </c>
      <c r="B43" s="612" t="s">
        <v>551</v>
      </c>
      <c r="C43" s="613" t="s">
        <v>555</v>
      </c>
      <c r="D43" s="614" t="s">
        <v>1182</v>
      </c>
      <c r="E43" s="613" t="s">
        <v>569</v>
      </c>
      <c r="F43" s="614" t="s">
        <v>1185</v>
      </c>
      <c r="G43" s="613" t="s">
        <v>570</v>
      </c>
      <c r="H43" s="613" t="s">
        <v>686</v>
      </c>
      <c r="I43" s="613" t="s">
        <v>687</v>
      </c>
      <c r="J43" s="613" t="s">
        <v>688</v>
      </c>
      <c r="K43" s="613" t="s">
        <v>689</v>
      </c>
      <c r="L43" s="615">
        <v>84.81</v>
      </c>
      <c r="M43" s="615">
        <v>1</v>
      </c>
      <c r="N43" s="616">
        <v>84.81</v>
      </c>
    </row>
    <row r="44" spans="1:14" ht="14.4" customHeight="1" x14ac:dyDescent="0.3">
      <c r="A44" s="611" t="s">
        <v>550</v>
      </c>
      <c r="B44" s="612" t="s">
        <v>551</v>
      </c>
      <c r="C44" s="613" t="s">
        <v>555</v>
      </c>
      <c r="D44" s="614" t="s">
        <v>1182</v>
      </c>
      <c r="E44" s="613" t="s">
        <v>569</v>
      </c>
      <c r="F44" s="614" t="s">
        <v>1185</v>
      </c>
      <c r="G44" s="613" t="s">
        <v>570</v>
      </c>
      <c r="H44" s="613" t="s">
        <v>690</v>
      </c>
      <c r="I44" s="613" t="s">
        <v>691</v>
      </c>
      <c r="J44" s="613" t="s">
        <v>692</v>
      </c>
      <c r="K44" s="613" t="s">
        <v>693</v>
      </c>
      <c r="L44" s="615">
        <v>118.53999999999995</v>
      </c>
      <c r="M44" s="615">
        <v>4</v>
      </c>
      <c r="N44" s="616">
        <v>474.1599999999998</v>
      </c>
    </row>
    <row r="45" spans="1:14" ht="14.4" customHeight="1" x14ac:dyDescent="0.3">
      <c r="A45" s="611" t="s">
        <v>550</v>
      </c>
      <c r="B45" s="612" t="s">
        <v>551</v>
      </c>
      <c r="C45" s="613" t="s">
        <v>555</v>
      </c>
      <c r="D45" s="614" t="s">
        <v>1182</v>
      </c>
      <c r="E45" s="613" t="s">
        <v>569</v>
      </c>
      <c r="F45" s="614" t="s">
        <v>1185</v>
      </c>
      <c r="G45" s="613" t="s">
        <v>570</v>
      </c>
      <c r="H45" s="613" t="s">
        <v>694</v>
      </c>
      <c r="I45" s="613" t="s">
        <v>210</v>
      </c>
      <c r="J45" s="613" t="s">
        <v>695</v>
      </c>
      <c r="K45" s="613"/>
      <c r="L45" s="615">
        <v>448.21012661741753</v>
      </c>
      <c r="M45" s="615">
        <v>1</v>
      </c>
      <c r="N45" s="616">
        <v>448.21012661741753</v>
      </c>
    </row>
    <row r="46" spans="1:14" ht="14.4" customHeight="1" x14ac:dyDescent="0.3">
      <c r="A46" s="611" t="s">
        <v>550</v>
      </c>
      <c r="B46" s="612" t="s">
        <v>551</v>
      </c>
      <c r="C46" s="613" t="s">
        <v>555</v>
      </c>
      <c r="D46" s="614" t="s">
        <v>1182</v>
      </c>
      <c r="E46" s="613" t="s">
        <v>569</v>
      </c>
      <c r="F46" s="614" t="s">
        <v>1185</v>
      </c>
      <c r="G46" s="613" t="s">
        <v>570</v>
      </c>
      <c r="H46" s="613" t="s">
        <v>696</v>
      </c>
      <c r="I46" s="613" t="s">
        <v>696</v>
      </c>
      <c r="J46" s="613" t="s">
        <v>584</v>
      </c>
      <c r="K46" s="613" t="s">
        <v>697</v>
      </c>
      <c r="L46" s="615">
        <v>59.763444503152414</v>
      </c>
      <c r="M46" s="615">
        <v>371</v>
      </c>
      <c r="N46" s="616">
        <v>22172.237910669544</v>
      </c>
    </row>
    <row r="47" spans="1:14" ht="14.4" customHeight="1" x14ac:dyDescent="0.3">
      <c r="A47" s="611" t="s">
        <v>550</v>
      </c>
      <c r="B47" s="612" t="s">
        <v>551</v>
      </c>
      <c r="C47" s="613" t="s">
        <v>555</v>
      </c>
      <c r="D47" s="614" t="s">
        <v>1182</v>
      </c>
      <c r="E47" s="613" t="s">
        <v>569</v>
      </c>
      <c r="F47" s="614" t="s">
        <v>1185</v>
      </c>
      <c r="G47" s="613" t="s">
        <v>570</v>
      </c>
      <c r="H47" s="613" t="s">
        <v>698</v>
      </c>
      <c r="I47" s="613" t="s">
        <v>210</v>
      </c>
      <c r="J47" s="613" t="s">
        <v>699</v>
      </c>
      <c r="K47" s="613"/>
      <c r="L47" s="615">
        <v>43.139999999999986</v>
      </c>
      <c r="M47" s="615">
        <v>1</v>
      </c>
      <c r="N47" s="616">
        <v>43.139999999999986</v>
      </c>
    </row>
    <row r="48" spans="1:14" ht="14.4" customHeight="1" x14ac:dyDescent="0.3">
      <c r="A48" s="611" t="s">
        <v>550</v>
      </c>
      <c r="B48" s="612" t="s">
        <v>551</v>
      </c>
      <c r="C48" s="613" t="s">
        <v>555</v>
      </c>
      <c r="D48" s="614" t="s">
        <v>1182</v>
      </c>
      <c r="E48" s="613" t="s">
        <v>569</v>
      </c>
      <c r="F48" s="614" t="s">
        <v>1185</v>
      </c>
      <c r="G48" s="613" t="s">
        <v>570</v>
      </c>
      <c r="H48" s="613" t="s">
        <v>700</v>
      </c>
      <c r="I48" s="613" t="s">
        <v>210</v>
      </c>
      <c r="J48" s="613" t="s">
        <v>701</v>
      </c>
      <c r="K48" s="613"/>
      <c r="L48" s="615">
        <v>37.700000000000003</v>
      </c>
      <c r="M48" s="615">
        <v>1</v>
      </c>
      <c r="N48" s="616">
        <v>37.700000000000003</v>
      </c>
    </row>
    <row r="49" spans="1:14" ht="14.4" customHeight="1" x14ac:dyDescent="0.3">
      <c r="A49" s="611" t="s">
        <v>550</v>
      </c>
      <c r="B49" s="612" t="s">
        <v>551</v>
      </c>
      <c r="C49" s="613" t="s">
        <v>555</v>
      </c>
      <c r="D49" s="614" t="s">
        <v>1182</v>
      </c>
      <c r="E49" s="613" t="s">
        <v>569</v>
      </c>
      <c r="F49" s="614" t="s">
        <v>1185</v>
      </c>
      <c r="G49" s="613" t="s">
        <v>570</v>
      </c>
      <c r="H49" s="613" t="s">
        <v>702</v>
      </c>
      <c r="I49" s="613" t="s">
        <v>210</v>
      </c>
      <c r="J49" s="613" t="s">
        <v>703</v>
      </c>
      <c r="K49" s="613"/>
      <c r="L49" s="615">
        <v>148.74231404442958</v>
      </c>
      <c r="M49" s="615">
        <v>12</v>
      </c>
      <c r="N49" s="616">
        <v>1784.9077685331549</v>
      </c>
    </row>
    <row r="50" spans="1:14" ht="14.4" customHeight="1" x14ac:dyDescent="0.3">
      <c r="A50" s="611" t="s">
        <v>550</v>
      </c>
      <c r="B50" s="612" t="s">
        <v>551</v>
      </c>
      <c r="C50" s="613" t="s">
        <v>555</v>
      </c>
      <c r="D50" s="614" t="s">
        <v>1182</v>
      </c>
      <c r="E50" s="613" t="s">
        <v>704</v>
      </c>
      <c r="F50" s="614" t="s">
        <v>1186</v>
      </c>
      <c r="G50" s="613" t="s">
        <v>570</v>
      </c>
      <c r="H50" s="613" t="s">
        <v>705</v>
      </c>
      <c r="I50" s="613" t="s">
        <v>210</v>
      </c>
      <c r="J50" s="613" t="s">
        <v>706</v>
      </c>
      <c r="K50" s="613"/>
      <c r="L50" s="615">
        <v>431.39012186583915</v>
      </c>
      <c r="M50" s="615">
        <v>2</v>
      </c>
      <c r="N50" s="616">
        <v>862.7802437316783</v>
      </c>
    </row>
    <row r="51" spans="1:14" ht="14.4" customHeight="1" x14ac:dyDescent="0.3">
      <c r="A51" s="611" t="s">
        <v>550</v>
      </c>
      <c r="B51" s="612" t="s">
        <v>551</v>
      </c>
      <c r="C51" s="613" t="s">
        <v>555</v>
      </c>
      <c r="D51" s="614" t="s">
        <v>1182</v>
      </c>
      <c r="E51" s="613" t="s">
        <v>704</v>
      </c>
      <c r="F51" s="614" t="s">
        <v>1186</v>
      </c>
      <c r="G51" s="613" t="s">
        <v>570</v>
      </c>
      <c r="H51" s="613" t="s">
        <v>707</v>
      </c>
      <c r="I51" s="613" t="s">
        <v>210</v>
      </c>
      <c r="J51" s="613" t="s">
        <v>708</v>
      </c>
      <c r="K51" s="613"/>
      <c r="L51" s="615">
        <v>285.09008053671175</v>
      </c>
      <c r="M51" s="615">
        <v>2</v>
      </c>
      <c r="N51" s="616">
        <v>570.18016107342351</v>
      </c>
    </row>
    <row r="52" spans="1:14" ht="14.4" customHeight="1" x14ac:dyDescent="0.3">
      <c r="A52" s="611" t="s">
        <v>550</v>
      </c>
      <c r="B52" s="612" t="s">
        <v>551</v>
      </c>
      <c r="C52" s="613" t="s">
        <v>555</v>
      </c>
      <c r="D52" s="614" t="s">
        <v>1182</v>
      </c>
      <c r="E52" s="613" t="s">
        <v>709</v>
      </c>
      <c r="F52" s="614" t="s">
        <v>1187</v>
      </c>
      <c r="G52" s="613" t="s">
        <v>570</v>
      </c>
      <c r="H52" s="613" t="s">
        <v>710</v>
      </c>
      <c r="I52" s="613" t="s">
        <v>711</v>
      </c>
      <c r="J52" s="613" t="s">
        <v>712</v>
      </c>
      <c r="K52" s="613" t="s">
        <v>713</v>
      </c>
      <c r="L52" s="615">
        <v>39.929961029879529</v>
      </c>
      <c r="M52" s="615">
        <v>8</v>
      </c>
      <c r="N52" s="616">
        <v>319.43968823903623</v>
      </c>
    </row>
    <row r="53" spans="1:14" ht="14.4" customHeight="1" x14ac:dyDescent="0.3">
      <c r="A53" s="611" t="s">
        <v>550</v>
      </c>
      <c r="B53" s="612" t="s">
        <v>551</v>
      </c>
      <c r="C53" s="613" t="s">
        <v>555</v>
      </c>
      <c r="D53" s="614" t="s">
        <v>1182</v>
      </c>
      <c r="E53" s="613" t="s">
        <v>709</v>
      </c>
      <c r="F53" s="614" t="s">
        <v>1187</v>
      </c>
      <c r="G53" s="613" t="s">
        <v>570</v>
      </c>
      <c r="H53" s="613" t="s">
        <v>714</v>
      </c>
      <c r="I53" s="613" t="s">
        <v>715</v>
      </c>
      <c r="J53" s="613" t="s">
        <v>716</v>
      </c>
      <c r="K53" s="613" t="s">
        <v>717</v>
      </c>
      <c r="L53" s="615">
        <v>86.089896592557309</v>
      </c>
      <c r="M53" s="615">
        <v>3</v>
      </c>
      <c r="N53" s="616">
        <v>258.26968977767194</v>
      </c>
    </row>
    <row r="54" spans="1:14" ht="14.4" customHeight="1" x14ac:dyDescent="0.3">
      <c r="A54" s="611" t="s">
        <v>550</v>
      </c>
      <c r="B54" s="612" t="s">
        <v>551</v>
      </c>
      <c r="C54" s="613" t="s">
        <v>555</v>
      </c>
      <c r="D54" s="614" t="s">
        <v>1182</v>
      </c>
      <c r="E54" s="613" t="s">
        <v>709</v>
      </c>
      <c r="F54" s="614" t="s">
        <v>1187</v>
      </c>
      <c r="G54" s="613" t="s">
        <v>570</v>
      </c>
      <c r="H54" s="613" t="s">
        <v>718</v>
      </c>
      <c r="I54" s="613" t="s">
        <v>718</v>
      </c>
      <c r="J54" s="613" t="s">
        <v>719</v>
      </c>
      <c r="K54" s="613" t="s">
        <v>720</v>
      </c>
      <c r="L54" s="615">
        <v>46</v>
      </c>
      <c r="M54" s="615">
        <v>3</v>
      </c>
      <c r="N54" s="616">
        <v>138</v>
      </c>
    </row>
    <row r="55" spans="1:14" ht="14.4" customHeight="1" x14ac:dyDescent="0.3">
      <c r="A55" s="611" t="s">
        <v>550</v>
      </c>
      <c r="B55" s="612" t="s">
        <v>551</v>
      </c>
      <c r="C55" s="613" t="s">
        <v>555</v>
      </c>
      <c r="D55" s="614" t="s">
        <v>1182</v>
      </c>
      <c r="E55" s="613" t="s">
        <v>709</v>
      </c>
      <c r="F55" s="614" t="s">
        <v>1187</v>
      </c>
      <c r="G55" s="613" t="s">
        <v>570</v>
      </c>
      <c r="H55" s="613" t="s">
        <v>721</v>
      </c>
      <c r="I55" s="613" t="s">
        <v>722</v>
      </c>
      <c r="J55" s="613" t="s">
        <v>723</v>
      </c>
      <c r="K55" s="613" t="s">
        <v>724</v>
      </c>
      <c r="L55" s="615">
        <v>139.75688882794196</v>
      </c>
      <c r="M55" s="615">
        <v>13</v>
      </c>
      <c r="N55" s="616">
        <v>1816.8395547632454</v>
      </c>
    </row>
    <row r="56" spans="1:14" ht="14.4" customHeight="1" x14ac:dyDescent="0.3">
      <c r="A56" s="611" t="s">
        <v>550</v>
      </c>
      <c r="B56" s="612" t="s">
        <v>551</v>
      </c>
      <c r="C56" s="613" t="s">
        <v>555</v>
      </c>
      <c r="D56" s="614" t="s">
        <v>1182</v>
      </c>
      <c r="E56" s="613" t="s">
        <v>709</v>
      </c>
      <c r="F56" s="614" t="s">
        <v>1187</v>
      </c>
      <c r="G56" s="613" t="s">
        <v>570</v>
      </c>
      <c r="H56" s="613" t="s">
        <v>725</v>
      </c>
      <c r="I56" s="613" t="s">
        <v>726</v>
      </c>
      <c r="J56" s="613" t="s">
        <v>727</v>
      </c>
      <c r="K56" s="613" t="s">
        <v>728</v>
      </c>
      <c r="L56" s="615">
        <v>63.839982935247427</v>
      </c>
      <c r="M56" s="615">
        <v>6</v>
      </c>
      <c r="N56" s="616">
        <v>383.03989761148455</v>
      </c>
    </row>
    <row r="57" spans="1:14" ht="14.4" customHeight="1" x14ac:dyDescent="0.3">
      <c r="A57" s="611" t="s">
        <v>550</v>
      </c>
      <c r="B57" s="612" t="s">
        <v>551</v>
      </c>
      <c r="C57" s="613" t="s">
        <v>555</v>
      </c>
      <c r="D57" s="614" t="s">
        <v>1182</v>
      </c>
      <c r="E57" s="613" t="s">
        <v>709</v>
      </c>
      <c r="F57" s="614" t="s">
        <v>1187</v>
      </c>
      <c r="G57" s="613" t="s">
        <v>570</v>
      </c>
      <c r="H57" s="613" t="s">
        <v>729</v>
      </c>
      <c r="I57" s="613" t="s">
        <v>730</v>
      </c>
      <c r="J57" s="613" t="s">
        <v>731</v>
      </c>
      <c r="K57" s="613" t="s">
        <v>732</v>
      </c>
      <c r="L57" s="615">
        <v>74.486270251713734</v>
      </c>
      <c r="M57" s="615">
        <v>3</v>
      </c>
      <c r="N57" s="616">
        <v>223.4588107551412</v>
      </c>
    </row>
    <row r="58" spans="1:14" ht="14.4" customHeight="1" x14ac:dyDescent="0.3">
      <c r="A58" s="611" t="s">
        <v>550</v>
      </c>
      <c r="B58" s="612" t="s">
        <v>551</v>
      </c>
      <c r="C58" s="613" t="s">
        <v>555</v>
      </c>
      <c r="D58" s="614" t="s">
        <v>1182</v>
      </c>
      <c r="E58" s="613" t="s">
        <v>709</v>
      </c>
      <c r="F58" s="614" t="s">
        <v>1187</v>
      </c>
      <c r="G58" s="613" t="s">
        <v>570</v>
      </c>
      <c r="H58" s="613" t="s">
        <v>733</v>
      </c>
      <c r="I58" s="613" t="s">
        <v>734</v>
      </c>
      <c r="J58" s="613" t="s">
        <v>735</v>
      </c>
      <c r="K58" s="613" t="s">
        <v>736</v>
      </c>
      <c r="L58" s="615">
        <v>24.624273934000151</v>
      </c>
      <c r="M58" s="615">
        <v>7</v>
      </c>
      <c r="N58" s="616">
        <v>172.36991753800106</v>
      </c>
    </row>
    <row r="59" spans="1:14" ht="14.4" customHeight="1" x14ac:dyDescent="0.3">
      <c r="A59" s="611" t="s">
        <v>550</v>
      </c>
      <c r="B59" s="612" t="s">
        <v>551</v>
      </c>
      <c r="C59" s="613" t="s">
        <v>555</v>
      </c>
      <c r="D59" s="614" t="s">
        <v>1182</v>
      </c>
      <c r="E59" s="613" t="s">
        <v>709</v>
      </c>
      <c r="F59" s="614" t="s">
        <v>1187</v>
      </c>
      <c r="G59" s="613" t="s">
        <v>570</v>
      </c>
      <c r="H59" s="613" t="s">
        <v>737</v>
      </c>
      <c r="I59" s="613" t="s">
        <v>738</v>
      </c>
      <c r="J59" s="613" t="s">
        <v>739</v>
      </c>
      <c r="K59" s="613" t="s">
        <v>740</v>
      </c>
      <c r="L59" s="615">
        <v>51.405642418123598</v>
      </c>
      <c r="M59" s="615">
        <v>87</v>
      </c>
      <c r="N59" s="616">
        <v>4472.2908903767529</v>
      </c>
    </row>
    <row r="60" spans="1:14" ht="14.4" customHeight="1" x14ac:dyDescent="0.3">
      <c r="A60" s="611" t="s">
        <v>550</v>
      </c>
      <c r="B60" s="612" t="s">
        <v>551</v>
      </c>
      <c r="C60" s="613" t="s">
        <v>555</v>
      </c>
      <c r="D60" s="614" t="s">
        <v>1182</v>
      </c>
      <c r="E60" s="613" t="s">
        <v>741</v>
      </c>
      <c r="F60" s="614" t="s">
        <v>1188</v>
      </c>
      <c r="G60" s="613" t="s">
        <v>570</v>
      </c>
      <c r="H60" s="613" t="s">
        <v>742</v>
      </c>
      <c r="I60" s="613" t="s">
        <v>743</v>
      </c>
      <c r="J60" s="613" t="s">
        <v>744</v>
      </c>
      <c r="K60" s="613" t="s">
        <v>745</v>
      </c>
      <c r="L60" s="615">
        <v>91.714999999999989</v>
      </c>
      <c r="M60" s="615">
        <v>2</v>
      </c>
      <c r="N60" s="616">
        <v>183.42999999999998</v>
      </c>
    </row>
    <row r="61" spans="1:14" ht="14.4" customHeight="1" x14ac:dyDescent="0.3">
      <c r="A61" s="611" t="s">
        <v>550</v>
      </c>
      <c r="B61" s="612" t="s">
        <v>551</v>
      </c>
      <c r="C61" s="613" t="s">
        <v>555</v>
      </c>
      <c r="D61" s="614" t="s">
        <v>1182</v>
      </c>
      <c r="E61" s="613" t="s">
        <v>741</v>
      </c>
      <c r="F61" s="614" t="s">
        <v>1188</v>
      </c>
      <c r="G61" s="613" t="s">
        <v>570</v>
      </c>
      <c r="H61" s="613" t="s">
        <v>746</v>
      </c>
      <c r="I61" s="613" t="s">
        <v>747</v>
      </c>
      <c r="J61" s="613" t="s">
        <v>748</v>
      </c>
      <c r="K61" s="613" t="s">
        <v>749</v>
      </c>
      <c r="L61" s="615">
        <v>92.133632241045049</v>
      </c>
      <c r="M61" s="615">
        <v>19</v>
      </c>
      <c r="N61" s="616">
        <v>1750.5390125798558</v>
      </c>
    </row>
    <row r="62" spans="1:14" ht="14.4" customHeight="1" x14ac:dyDescent="0.3">
      <c r="A62" s="611" t="s">
        <v>550</v>
      </c>
      <c r="B62" s="612" t="s">
        <v>551</v>
      </c>
      <c r="C62" s="613" t="s">
        <v>560</v>
      </c>
      <c r="D62" s="614" t="s">
        <v>1183</v>
      </c>
      <c r="E62" s="613" t="s">
        <v>569</v>
      </c>
      <c r="F62" s="614" t="s">
        <v>1185</v>
      </c>
      <c r="G62" s="613"/>
      <c r="H62" s="613" t="s">
        <v>750</v>
      </c>
      <c r="I62" s="613" t="s">
        <v>750</v>
      </c>
      <c r="J62" s="613" t="s">
        <v>751</v>
      </c>
      <c r="K62" s="613" t="s">
        <v>752</v>
      </c>
      <c r="L62" s="615">
        <v>49.800000000000018</v>
      </c>
      <c r="M62" s="615">
        <v>1</v>
      </c>
      <c r="N62" s="616">
        <v>49.800000000000018</v>
      </c>
    </row>
    <row r="63" spans="1:14" ht="14.4" customHeight="1" x14ac:dyDescent="0.3">
      <c r="A63" s="611" t="s">
        <v>550</v>
      </c>
      <c r="B63" s="612" t="s">
        <v>551</v>
      </c>
      <c r="C63" s="613" t="s">
        <v>560</v>
      </c>
      <c r="D63" s="614" t="s">
        <v>1183</v>
      </c>
      <c r="E63" s="613" t="s">
        <v>569</v>
      </c>
      <c r="F63" s="614" t="s">
        <v>1185</v>
      </c>
      <c r="G63" s="613" t="s">
        <v>570</v>
      </c>
      <c r="H63" s="613" t="s">
        <v>571</v>
      </c>
      <c r="I63" s="613" t="s">
        <v>571</v>
      </c>
      <c r="J63" s="613" t="s">
        <v>572</v>
      </c>
      <c r="K63" s="613" t="s">
        <v>573</v>
      </c>
      <c r="L63" s="615">
        <v>179.39999999999998</v>
      </c>
      <c r="M63" s="615">
        <v>9</v>
      </c>
      <c r="N63" s="616">
        <v>1614.6</v>
      </c>
    </row>
    <row r="64" spans="1:14" ht="14.4" customHeight="1" x14ac:dyDescent="0.3">
      <c r="A64" s="611" t="s">
        <v>550</v>
      </c>
      <c r="B64" s="612" t="s">
        <v>551</v>
      </c>
      <c r="C64" s="613" t="s">
        <v>560</v>
      </c>
      <c r="D64" s="614" t="s">
        <v>1183</v>
      </c>
      <c r="E64" s="613" t="s">
        <v>569</v>
      </c>
      <c r="F64" s="614" t="s">
        <v>1185</v>
      </c>
      <c r="G64" s="613" t="s">
        <v>570</v>
      </c>
      <c r="H64" s="613" t="s">
        <v>753</v>
      </c>
      <c r="I64" s="613" t="s">
        <v>753</v>
      </c>
      <c r="J64" s="613" t="s">
        <v>754</v>
      </c>
      <c r="K64" s="613" t="s">
        <v>755</v>
      </c>
      <c r="L64" s="615">
        <v>242.08806183582698</v>
      </c>
      <c r="M64" s="615">
        <v>14</v>
      </c>
      <c r="N64" s="616">
        <v>3389.2328657015778</v>
      </c>
    </row>
    <row r="65" spans="1:14" ht="14.4" customHeight="1" x14ac:dyDescent="0.3">
      <c r="A65" s="611" t="s">
        <v>550</v>
      </c>
      <c r="B65" s="612" t="s">
        <v>551</v>
      </c>
      <c r="C65" s="613" t="s">
        <v>560</v>
      </c>
      <c r="D65" s="614" t="s">
        <v>1183</v>
      </c>
      <c r="E65" s="613" t="s">
        <v>569</v>
      </c>
      <c r="F65" s="614" t="s">
        <v>1185</v>
      </c>
      <c r="G65" s="613" t="s">
        <v>570</v>
      </c>
      <c r="H65" s="613" t="s">
        <v>574</v>
      </c>
      <c r="I65" s="613" t="s">
        <v>575</v>
      </c>
      <c r="J65" s="613" t="s">
        <v>576</v>
      </c>
      <c r="K65" s="613" t="s">
        <v>577</v>
      </c>
      <c r="L65" s="615">
        <v>87.780085115918439</v>
      </c>
      <c r="M65" s="615">
        <v>4</v>
      </c>
      <c r="N65" s="616">
        <v>351.12034046367376</v>
      </c>
    </row>
    <row r="66" spans="1:14" ht="14.4" customHeight="1" x14ac:dyDescent="0.3">
      <c r="A66" s="611" t="s">
        <v>550</v>
      </c>
      <c r="B66" s="612" t="s">
        <v>551</v>
      </c>
      <c r="C66" s="613" t="s">
        <v>560</v>
      </c>
      <c r="D66" s="614" t="s">
        <v>1183</v>
      </c>
      <c r="E66" s="613" t="s">
        <v>569</v>
      </c>
      <c r="F66" s="614" t="s">
        <v>1185</v>
      </c>
      <c r="G66" s="613" t="s">
        <v>570</v>
      </c>
      <c r="H66" s="613" t="s">
        <v>578</v>
      </c>
      <c r="I66" s="613" t="s">
        <v>579</v>
      </c>
      <c r="J66" s="613" t="s">
        <v>580</v>
      </c>
      <c r="K66" s="613" t="s">
        <v>581</v>
      </c>
      <c r="L66" s="615">
        <v>78.851334137857961</v>
      </c>
      <c r="M66" s="615">
        <v>8</v>
      </c>
      <c r="N66" s="616">
        <v>630.81067310286369</v>
      </c>
    </row>
    <row r="67" spans="1:14" ht="14.4" customHeight="1" x14ac:dyDescent="0.3">
      <c r="A67" s="611" t="s">
        <v>550</v>
      </c>
      <c r="B67" s="612" t="s">
        <v>551</v>
      </c>
      <c r="C67" s="613" t="s">
        <v>560</v>
      </c>
      <c r="D67" s="614" t="s">
        <v>1183</v>
      </c>
      <c r="E67" s="613" t="s">
        <v>569</v>
      </c>
      <c r="F67" s="614" t="s">
        <v>1185</v>
      </c>
      <c r="G67" s="613" t="s">
        <v>570</v>
      </c>
      <c r="H67" s="613" t="s">
        <v>582</v>
      </c>
      <c r="I67" s="613" t="s">
        <v>583</v>
      </c>
      <c r="J67" s="613" t="s">
        <v>584</v>
      </c>
      <c r="K67" s="613" t="s">
        <v>585</v>
      </c>
      <c r="L67" s="615">
        <v>59.399999999999991</v>
      </c>
      <c r="M67" s="615">
        <v>18</v>
      </c>
      <c r="N67" s="616">
        <v>1069.1999999999998</v>
      </c>
    </row>
    <row r="68" spans="1:14" ht="14.4" customHeight="1" x14ac:dyDescent="0.3">
      <c r="A68" s="611" t="s">
        <v>550</v>
      </c>
      <c r="B68" s="612" t="s">
        <v>551</v>
      </c>
      <c r="C68" s="613" t="s">
        <v>560</v>
      </c>
      <c r="D68" s="614" t="s">
        <v>1183</v>
      </c>
      <c r="E68" s="613" t="s">
        <v>569</v>
      </c>
      <c r="F68" s="614" t="s">
        <v>1185</v>
      </c>
      <c r="G68" s="613" t="s">
        <v>570</v>
      </c>
      <c r="H68" s="613" t="s">
        <v>756</v>
      </c>
      <c r="I68" s="613" t="s">
        <v>757</v>
      </c>
      <c r="J68" s="613" t="s">
        <v>584</v>
      </c>
      <c r="K68" s="613" t="s">
        <v>758</v>
      </c>
      <c r="L68" s="615">
        <v>65.030000000000015</v>
      </c>
      <c r="M68" s="615">
        <v>1</v>
      </c>
      <c r="N68" s="616">
        <v>65.030000000000015</v>
      </c>
    </row>
    <row r="69" spans="1:14" ht="14.4" customHeight="1" x14ac:dyDescent="0.3">
      <c r="A69" s="611" t="s">
        <v>550</v>
      </c>
      <c r="B69" s="612" t="s">
        <v>551</v>
      </c>
      <c r="C69" s="613" t="s">
        <v>560</v>
      </c>
      <c r="D69" s="614" t="s">
        <v>1183</v>
      </c>
      <c r="E69" s="613" t="s">
        <v>569</v>
      </c>
      <c r="F69" s="614" t="s">
        <v>1185</v>
      </c>
      <c r="G69" s="613" t="s">
        <v>570</v>
      </c>
      <c r="H69" s="613" t="s">
        <v>590</v>
      </c>
      <c r="I69" s="613" t="s">
        <v>591</v>
      </c>
      <c r="J69" s="613" t="s">
        <v>592</v>
      </c>
      <c r="K69" s="613" t="s">
        <v>589</v>
      </c>
      <c r="L69" s="615">
        <v>67.236598246125581</v>
      </c>
      <c r="M69" s="615">
        <v>3</v>
      </c>
      <c r="N69" s="616">
        <v>201.70979473837673</v>
      </c>
    </row>
    <row r="70" spans="1:14" ht="14.4" customHeight="1" x14ac:dyDescent="0.3">
      <c r="A70" s="611" t="s">
        <v>550</v>
      </c>
      <c r="B70" s="612" t="s">
        <v>551</v>
      </c>
      <c r="C70" s="613" t="s">
        <v>560</v>
      </c>
      <c r="D70" s="614" t="s">
        <v>1183</v>
      </c>
      <c r="E70" s="613" t="s">
        <v>569</v>
      </c>
      <c r="F70" s="614" t="s">
        <v>1185</v>
      </c>
      <c r="G70" s="613" t="s">
        <v>570</v>
      </c>
      <c r="H70" s="613" t="s">
        <v>759</v>
      </c>
      <c r="I70" s="613" t="s">
        <v>760</v>
      </c>
      <c r="J70" s="613" t="s">
        <v>761</v>
      </c>
      <c r="K70" s="613" t="s">
        <v>762</v>
      </c>
      <c r="L70" s="615">
        <v>73.989999999999995</v>
      </c>
      <c r="M70" s="615">
        <v>2</v>
      </c>
      <c r="N70" s="616">
        <v>147.97999999999999</v>
      </c>
    </row>
    <row r="71" spans="1:14" ht="14.4" customHeight="1" x14ac:dyDescent="0.3">
      <c r="A71" s="611" t="s">
        <v>550</v>
      </c>
      <c r="B71" s="612" t="s">
        <v>551</v>
      </c>
      <c r="C71" s="613" t="s">
        <v>560</v>
      </c>
      <c r="D71" s="614" t="s">
        <v>1183</v>
      </c>
      <c r="E71" s="613" t="s">
        <v>569</v>
      </c>
      <c r="F71" s="614" t="s">
        <v>1185</v>
      </c>
      <c r="G71" s="613" t="s">
        <v>570</v>
      </c>
      <c r="H71" s="613" t="s">
        <v>763</v>
      </c>
      <c r="I71" s="613" t="s">
        <v>764</v>
      </c>
      <c r="J71" s="613" t="s">
        <v>765</v>
      </c>
      <c r="K71" s="613" t="s">
        <v>766</v>
      </c>
      <c r="L71" s="615">
        <v>157.10000000000002</v>
      </c>
      <c r="M71" s="615">
        <v>1</v>
      </c>
      <c r="N71" s="616">
        <v>157.10000000000002</v>
      </c>
    </row>
    <row r="72" spans="1:14" ht="14.4" customHeight="1" x14ac:dyDescent="0.3">
      <c r="A72" s="611" t="s">
        <v>550</v>
      </c>
      <c r="B72" s="612" t="s">
        <v>551</v>
      </c>
      <c r="C72" s="613" t="s">
        <v>560</v>
      </c>
      <c r="D72" s="614" t="s">
        <v>1183</v>
      </c>
      <c r="E72" s="613" t="s">
        <v>569</v>
      </c>
      <c r="F72" s="614" t="s">
        <v>1185</v>
      </c>
      <c r="G72" s="613" t="s">
        <v>570</v>
      </c>
      <c r="H72" s="613" t="s">
        <v>601</v>
      </c>
      <c r="I72" s="613" t="s">
        <v>210</v>
      </c>
      <c r="J72" s="613" t="s">
        <v>602</v>
      </c>
      <c r="K72" s="613"/>
      <c r="L72" s="615">
        <v>97.320328670332671</v>
      </c>
      <c r="M72" s="615">
        <v>20</v>
      </c>
      <c r="N72" s="616">
        <v>1946.4065734066535</v>
      </c>
    </row>
    <row r="73" spans="1:14" ht="14.4" customHeight="1" x14ac:dyDescent="0.3">
      <c r="A73" s="611" t="s">
        <v>550</v>
      </c>
      <c r="B73" s="612" t="s">
        <v>551</v>
      </c>
      <c r="C73" s="613" t="s">
        <v>560</v>
      </c>
      <c r="D73" s="614" t="s">
        <v>1183</v>
      </c>
      <c r="E73" s="613" t="s">
        <v>569</v>
      </c>
      <c r="F73" s="614" t="s">
        <v>1185</v>
      </c>
      <c r="G73" s="613" t="s">
        <v>570</v>
      </c>
      <c r="H73" s="613" t="s">
        <v>767</v>
      </c>
      <c r="I73" s="613" t="s">
        <v>768</v>
      </c>
      <c r="J73" s="613" t="s">
        <v>607</v>
      </c>
      <c r="K73" s="613" t="s">
        <v>769</v>
      </c>
      <c r="L73" s="615">
        <v>59.21</v>
      </c>
      <c r="M73" s="615">
        <v>1</v>
      </c>
      <c r="N73" s="616">
        <v>59.21</v>
      </c>
    </row>
    <row r="74" spans="1:14" ht="14.4" customHeight="1" x14ac:dyDescent="0.3">
      <c r="A74" s="611" t="s">
        <v>550</v>
      </c>
      <c r="B74" s="612" t="s">
        <v>551</v>
      </c>
      <c r="C74" s="613" t="s">
        <v>560</v>
      </c>
      <c r="D74" s="614" t="s">
        <v>1183</v>
      </c>
      <c r="E74" s="613" t="s">
        <v>569</v>
      </c>
      <c r="F74" s="614" t="s">
        <v>1185</v>
      </c>
      <c r="G74" s="613" t="s">
        <v>570</v>
      </c>
      <c r="H74" s="613" t="s">
        <v>770</v>
      </c>
      <c r="I74" s="613" t="s">
        <v>771</v>
      </c>
      <c r="J74" s="613" t="s">
        <v>772</v>
      </c>
      <c r="K74" s="613" t="s">
        <v>773</v>
      </c>
      <c r="L74" s="615">
        <v>218.17804436351699</v>
      </c>
      <c r="M74" s="615">
        <v>3</v>
      </c>
      <c r="N74" s="616">
        <v>654.53413309055099</v>
      </c>
    </row>
    <row r="75" spans="1:14" ht="14.4" customHeight="1" x14ac:dyDescent="0.3">
      <c r="A75" s="611" t="s">
        <v>550</v>
      </c>
      <c r="B75" s="612" t="s">
        <v>551</v>
      </c>
      <c r="C75" s="613" t="s">
        <v>560</v>
      </c>
      <c r="D75" s="614" t="s">
        <v>1183</v>
      </c>
      <c r="E75" s="613" t="s">
        <v>569</v>
      </c>
      <c r="F75" s="614" t="s">
        <v>1185</v>
      </c>
      <c r="G75" s="613" t="s">
        <v>570</v>
      </c>
      <c r="H75" s="613" t="s">
        <v>609</v>
      </c>
      <c r="I75" s="613" t="s">
        <v>210</v>
      </c>
      <c r="J75" s="613" t="s">
        <v>610</v>
      </c>
      <c r="K75" s="613"/>
      <c r="L75" s="615">
        <v>35.651917915142803</v>
      </c>
      <c r="M75" s="615">
        <v>404</v>
      </c>
      <c r="N75" s="616">
        <v>14403.374837717693</v>
      </c>
    </row>
    <row r="76" spans="1:14" ht="14.4" customHeight="1" x14ac:dyDescent="0.3">
      <c r="A76" s="611" t="s">
        <v>550</v>
      </c>
      <c r="B76" s="612" t="s">
        <v>551</v>
      </c>
      <c r="C76" s="613" t="s">
        <v>560</v>
      </c>
      <c r="D76" s="614" t="s">
        <v>1183</v>
      </c>
      <c r="E76" s="613" t="s">
        <v>569</v>
      </c>
      <c r="F76" s="614" t="s">
        <v>1185</v>
      </c>
      <c r="G76" s="613" t="s">
        <v>570</v>
      </c>
      <c r="H76" s="613" t="s">
        <v>611</v>
      </c>
      <c r="I76" s="613" t="s">
        <v>612</v>
      </c>
      <c r="J76" s="613" t="s">
        <v>580</v>
      </c>
      <c r="K76" s="613" t="s">
        <v>613</v>
      </c>
      <c r="L76" s="615">
        <v>44.089999999999989</v>
      </c>
      <c r="M76" s="615">
        <v>1</v>
      </c>
      <c r="N76" s="616">
        <v>44.089999999999989</v>
      </c>
    </row>
    <row r="77" spans="1:14" ht="14.4" customHeight="1" x14ac:dyDescent="0.3">
      <c r="A77" s="611" t="s">
        <v>550</v>
      </c>
      <c r="B77" s="612" t="s">
        <v>551</v>
      </c>
      <c r="C77" s="613" t="s">
        <v>560</v>
      </c>
      <c r="D77" s="614" t="s">
        <v>1183</v>
      </c>
      <c r="E77" s="613" t="s">
        <v>569</v>
      </c>
      <c r="F77" s="614" t="s">
        <v>1185</v>
      </c>
      <c r="G77" s="613" t="s">
        <v>570</v>
      </c>
      <c r="H77" s="613" t="s">
        <v>618</v>
      </c>
      <c r="I77" s="613" t="s">
        <v>619</v>
      </c>
      <c r="J77" s="613" t="s">
        <v>620</v>
      </c>
      <c r="K77" s="613" t="s">
        <v>621</v>
      </c>
      <c r="L77" s="615">
        <v>75.010000000000005</v>
      </c>
      <c r="M77" s="615">
        <v>1</v>
      </c>
      <c r="N77" s="616">
        <v>75.010000000000005</v>
      </c>
    </row>
    <row r="78" spans="1:14" ht="14.4" customHeight="1" x14ac:dyDescent="0.3">
      <c r="A78" s="611" t="s">
        <v>550</v>
      </c>
      <c r="B78" s="612" t="s">
        <v>551</v>
      </c>
      <c r="C78" s="613" t="s">
        <v>560</v>
      </c>
      <c r="D78" s="614" t="s">
        <v>1183</v>
      </c>
      <c r="E78" s="613" t="s">
        <v>569</v>
      </c>
      <c r="F78" s="614" t="s">
        <v>1185</v>
      </c>
      <c r="G78" s="613" t="s">
        <v>570</v>
      </c>
      <c r="H78" s="613" t="s">
        <v>774</v>
      </c>
      <c r="I78" s="613" t="s">
        <v>775</v>
      </c>
      <c r="J78" s="613" t="s">
        <v>776</v>
      </c>
      <c r="K78" s="613" t="s">
        <v>777</v>
      </c>
      <c r="L78" s="615">
        <v>50.999971824130597</v>
      </c>
      <c r="M78" s="615">
        <v>3</v>
      </c>
      <c r="N78" s="616">
        <v>152.99991547239179</v>
      </c>
    </row>
    <row r="79" spans="1:14" ht="14.4" customHeight="1" x14ac:dyDescent="0.3">
      <c r="A79" s="611" t="s">
        <v>550</v>
      </c>
      <c r="B79" s="612" t="s">
        <v>551</v>
      </c>
      <c r="C79" s="613" t="s">
        <v>560</v>
      </c>
      <c r="D79" s="614" t="s">
        <v>1183</v>
      </c>
      <c r="E79" s="613" t="s">
        <v>569</v>
      </c>
      <c r="F79" s="614" t="s">
        <v>1185</v>
      </c>
      <c r="G79" s="613" t="s">
        <v>570</v>
      </c>
      <c r="H79" s="613" t="s">
        <v>778</v>
      </c>
      <c r="I79" s="613" t="s">
        <v>778</v>
      </c>
      <c r="J79" s="613" t="s">
        <v>754</v>
      </c>
      <c r="K79" s="613" t="s">
        <v>779</v>
      </c>
      <c r="L79" s="615">
        <v>0</v>
      </c>
      <c r="M79" s="615">
        <v>0</v>
      </c>
      <c r="N79" s="616">
        <v>0</v>
      </c>
    </row>
    <row r="80" spans="1:14" ht="14.4" customHeight="1" x14ac:dyDescent="0.3">
      <c r="A80" s="611" t="s">
        <v>550</v>
      </c>
      <c r="B80" s="612" t="s">
        <v>551</v>
      </c>
      <c r="C80" s="613" t="s">
        <v>560</v>
      </c>
      <c r="D80" s="614" t="s">
        <v>1183</v>
      </c>
      <c r="E80" s="613" t="s">
        <v>569</v>
      </c>
      <c r="F80" s="614" t="s">
        <v>1185</v>
      </c>
      <c r="G80" s="613" t="s">
        <v>570</v>
      </c>
      <c r="H80" s="613" t="s">
        <v>622</v>
      </c>
      <c r="I80" s="613" t="s">
        <v>210</v>
      </c>
      <c r="J80" s="613" t="s">
        <v>623</v>
      </c>
      <c r="K80" s="613"/>
      <c r="L80" s="615">
        <v>353.98439090703482</v>
      </c>
      <c r="M80" s="615">
        <v>4</v>
      </c>
      <c r="N80" s="616">
        <v>1415.9375636281393</v>
      </c>
    </row>
    <row r="81" spans="1:14" ht="14.4" customHeight="1" x14ac:dyDescent="0.3">
      <c r="A81" s="611" t="s">
        <v>550</v>
      </c>
      <c r="B81" s="612" t="s">
        <v>551</v>
      </c>
      <c r="C81" s="613" t="s">
        <v>560</v>
      </c>
      <c r="D81" s="614" t="s">
        <v>1183</v>
      </c>
      <c r="E81" s="613" t="s">
        <v>569</v>
      </c>
      <c r="F81" s="614" t="s">
        <v>1185</v>
      </c>
      <c r="G81" s="613" t="s">
        <v>570</v>
      </c>
      <c r="H81" s="613" t="s">
        <v>624</v>
      </c>
      <c r="I81" s="613" t="s">
        <v>624</v>
      </c>
      <c r="J81" s="613" t="s">
        <v>625</v>
      </c>
      <c r="K81" s="613" t="s">
        <v>626</v>
      </c>
      <c r="L81" s="615">
        <v>75.65974457134287</v>
      </c>
      <c r="M81" s="615">
        <v>38</v>
      </c>
      <c r="N81" s="616">
        <v>2875.0702937110291</v>
      </c>
    </row>
    <row r="82" spans="1:14" ht="14.4" customHeight="1" x14ac:dyDescent="0.3">
      <c r="A82" s="611" t="s">
        <v>550</v>
      </c>
      <c r="B82" s="612" t="s">
        <v>551</v>
      </c>
      <c r="C82" s="613" t="s">
        <v>560</v>
      </c>
      <c r="D82" s="614" t="s">
        <v>1183</v>
      </c>
      <c r="E82" s="613" t="s">
        <v>569</v>
      </c>
      <c r="F82" s="614" t="s">
        <v>1185</v>
      </c>
      <c r="G82" s="613" t="s">
        <v>570</v>
      </c>
      <c r="H82" s="613" t="s">
        <v>627</v>
      </c>
      <c r="I82" s="613" t="s">
        <v>628</v>
      </c>
      <c r="J82" s="613" t="s">
        <v>629</v>
      </c>
      <c r="K82" s="613" t="s">
        <v>630</v>
      </c>
      <c r="L82" s="615">
        <v>65.291353513641184</v>
      </c>
      <c r="M82" s="615">
        <v>72</v>
      </c>
      <c r="N82" s="616">
        <v>4700.9774529821652</v>
      </c>
    </row>
    <row r="83" spans="1:14" ht="14.4" customHeight="1" x14ac:dyDescent="0.3">
      <c r="A83" s="611" t="s">
        <v>550</v>
      </c>
      <c r="B83" s="612" t="s">
        <v>551</v>
      </c>
      <c r="C83" s="613" t="s">
        <v>560</v>
      </c>
      <c r="D83" s="614" t="s">
        <v>1183</v>
      </c>
      <c r="E83" s="613" t="s">
        <v>569</v>
      </c>
      <c r="F83" s="614" t="s">
        <v>1185</v>
      </c>
      <c r="G83" s="613" t="s">
        <v>570</v>
      </c>
      <c r="H83" s="613" t="s">
        <v>631</v>
      </c>
      <c r="I83" s="613" t="s">
        <v>210</v>
      </c>
      <c r="J83" s="613" t="s">
        <v>632</v>
      </c>
      <c r="K83" s="613" t="s">
        <v>633</v>
      </c>
      <c r="L83" s="615">
        <v>23.7</v>
      </c>
      <c r="M83" s="615">
        <v>534</v>
      </c>
      <c r="N83" s="616">
        <v>12655.8</v>
      </c>
    </row>
    <row r="84" spans="1:14" ht="14.4" customHeight="1" x14ac:dyDescent="0.3">
      <c r="A84" s="611" t="s">
        <v>550</v>
      </c>
      <c r="B84" s="612" t="s">
        <v>551</v>
      </c>
      <c r="C84" s="613" t="s">
        <v>560</v>
      </c>
      <c r="D84" s="614" t="s">
        <v>1183</v>
      </c>
      <c r="E84" s="613" t="s">
        <v>569</v>
      </c>
      <c r="F84" s="614" t="s">
        <v>1185</v>
      </c>
      <c r="G84" s="613" t="s">
        <v>570</v>
      </c>
      <c r="H84" s="613" t="s">
        <v>634</v>
      </c>
      <c r="I84" s="613" t="s">
        <v>210</v>
      </c>
      <c r="J84" s="613" t="s">
        <v>635</v>
      </c>
      <c r="K84" s="613" t="s">
        <v>633</v>
      </c>
      <c r="L84" s="615">
        <v>24.037194261613507</v>
      </c>
      <c r="M84" s="615">
        <v>42</v>
      </c>
      <c r="N84" s="616">
        <v>1009.5621589877674</v>
      </c>
    </row>
    <row r="85" spans="1:14" ht="14.4" customHeight="1" x14ac:dyDescent="0.3">
      <c r="A85" s="611" t="s">
        <v>550</v>
      </c>
      <c r="B85" s="612" t="s">
        <v>551</v>
      </c>
      <c r="C85" s="613" t="s">
        <v>560</v>
      </c>
      <c r="D85" s="614" t="s">
        <v>1183</v>
      </c>
      <c r="E85" s="613" t="s">
        <v>569</v>
      </c>
      <c r="F85" s="614" t="s">
        <v>1185</v>
      </c>
      <c r="G85" s="613" t="s">
        <v>570</v>
      </c>
      <c r="H85" s="613" t="s">
        <v>780</v>
      </c>
      <c r="I85" s="613" t="s">
        <v>781</v>
      </c>
      <c r="J85" s="613" t="s">
        <v>782</v>
      </c>
      <c r="K85" s="613" t="s">
        <v>783</v>
      </c>
      <c r="L85" s="615">
        <v>34.620833414715939</v>
      </c>
      <c r="M85" s="615">
        <v>12</v>
      </c>
      <c r="N85" s="616">
        <v>415.45000097659124</v>
      </c>
    </row>
    <row r="86" spans="1:14" ht="14.4" customHeight="1" x14ac:dyDescent="0.3">
      <c r="A86" s="611" t="s">
        <v>550</v>
      </c>
      <c r="B86" s="612" t="s">
        <v>551</v>
      </c>
      <c r="C86" s="613" t="s">
        <v>560</v>
      </c>
      <c r="D86" s="614" t="s">
        <v>1183</v>
      </c>
      <c r="E86" s="613" t="s">
        <v>569</v>
      </c>
      <c r="F86" s="614" t="s">
        <v>1185</v>
      </c>
      <c r="G86" s="613" t="s">
        <v>570</v>
      </c>
      <c r="H86" s="613" t="s">
        <v>636</v>
      </c>
      <c r="I86" s="613" t="s">
        <v>210</v>
      </c>
      <c r="J86" s="613" t="s">
        <v>637</v>
      </c>
      <c r="K86" s="613" t="s">
        <v>638</v>
      </c>
      <c r="L86" s="615">
        <v>199.67000000000004</v>
      </c>
      <c r="M86" s="615">
        <v>2</v>
      </c>
      <c r="N86" s="616">
        <v>399.34000000000009</v>
      </c>
    </row>
    <row r="87" spans="1:14" ht="14.4" customHeight="1" x14ac:dyDescent="0.3">
      <c r="A87" s="611" t="s">
        <v>550</v>
      </c>
      <c r="B87" s="612" t="s">
        <v>551</v>
      </c>
      <c r="C87" s="613" t="s">
        <v>560</v>
      </c>
      <c r="D87" s="614" t="s">
        <v>1183</v>
      </c>
      <c r="E87" s="613" t="s">
        <v>569</v>
      </c>
      <c r="F87" s="614" t="s">
        <v>1185</v>
      </c>
      <c r="G87" s="613" t="s">
        <v>570</v>
      </c>
      <c r="H87" s="613" t="s">
        <v>784</v>
      </c>
      <c r="I87" s="613" t="s">
        <v>785</v>
      </c>
      <c r="J87" s="613" t="s">
        <v>786</v>
      </c>
      <c r="K87" s="613" t="s">
        <v>787</v>
      </c>
      <c r="L87" s="615">
        <v>74.100876192810958</v>
      </c>
      <c r="M87" s="615">
        <v>8</v>
      </c>
      <c r="N87" s="616">
        <v>592.80700954248766</v>
      </c>
    </row>
    <row r="88" spans="1:14" ht="14.4" customHeight="1" x14ac:dyDescent="0.3">
      <c r="A88" s="611" t="s">
        <v>550</v>
      </c>
      <c r="B88" s="612" t="s">
        <v>551</v>
      </c>
      <c r="C88" s="613" t="s">
        <v>560</v>
      </c>
      <c r="D88" s="614" t="s">
        <v>1183</v>
      </c>
      <c r="E88" s="613" t="s">
        <v>569</v>
      </c>
      <c r="F88" s="614" t="s">
        <v>1185</v>
      </c>
      <c r="G88" s="613" t="s">
        <v>570</v>
      </c>
      <c r="H88" s="613" t="s">
        <v>788</v>
      </c>
      <c r="I88" s="613" t="s">
        <v>789</v>
      </c>
      <c r="J88" s="613" t="s">
        <v>661</v>
      </c>
      <c r="K88" s="613" t="s">
        <v>790</v>
      </c>
      <c r="L88" s="615">
        <v>160.200100970329</v>
      </c>
      <c r="M88" s="615">
        <v>2</v>
      </c>
      <c r="N88" s="616">
        <v>320.40020194065801</v>
      </c>
    </row>
    <row r="89" spans="1:14" ht="14.4" customHeight="1" x14ac:dyDescent="0.3">
      <c r="A89" s="611" t="s">
        <v>550</v>
      </c>
      <c r="B89" s="612" t="s">
        <v>551</v>
      </c>
      <c r="C89" s="613" t="s">
        <v>560</v>
      </c>
      <c r="D89" s="614" t="s">
        <v>1183</v>
      </c>
      <c r="E89" s="613" t="s">
        <v>569</v>
      </c>
      <c r="F89" s="614" t="s">
        <v>1185</v>
      </c>
      <c r="G89" s="613" t="s">
        <v>570</v>
      </c>
      <c r="H89" s="613" t="s">
        <v>791</v>
      </c>
      <c r="I89" s="613" t="s">
        <v>792</v>
      </c>
      <c r="J89" s="613" t="s">
        <v>793</v>
      </c>
      <c r="K89" s="613"/>
      <c r="L89" s="615">
        <v>301.06190449214364</v>
      </c>
      <c r="M89" s="615">
        <v>11</v>
      </c>
      <c r="N89" s="616">
        <v>3311.68094941358</v>
      </c>
    </row>
    <row r="90" spans="1:14" ht="14.4" customHeight="1" x14ac:dyDescent="0.3">
      <c r="A90" s="611" t="s">
        <v>550</v>
      </c>
      <c r="B90" s="612" t="s">
        <v>551</v>
      </c>
      <c r="C90" s="613" t="s">
        <v>560</v>
      </c>
      <c r="D90" s="614" t="s">
        <v>1183</v>
      </c>
      <c r="E90" s="613" t="s">
        <v>569</v>
      </c>
      <c r="F90" s="614" t="s">
        <v>1185</v>
      </c>
      <c r="G90" s="613" t="s">
        <v>570</v>
      </c>
      <c r="H90" s="613" t="s">
        <v>794</v>
      </c>
      <c r="I90" s="613" t="s">
        <v>210</v>
      </c>
      <c r="J90" s="613" t="s">
        <v>795</v>
      </c>
      <c r="K90" s="613"/>
      <c r="L90" s="615">
        <v>204.5511793174914</v>
      </c>
      <c r="M90" s="615">
        <v>4</v>
      </c>
      <c r="N90" s="616">
        <v>818.20471726996561</v>
      </c>
    </row>
    <row r="91" spans="1:14" ht="14.4" customHeight="1" x14ac:dyDescent="0.3">
      <c r="A91" s="611" t="s">
        <v>550</v>
      </c>
      <c r="B91" s="612" t="s">
        <v>551</v>
      </c>
      <c r="C91" s="613" t="s">
        <v>560</v>
      </c>
      <c r="D91" s="614" t="s">
        <v>1183</v>
      </c>
      <c r="E91" s="613" t="s">
        <v>569</v>
      </c>
      <c r="F91" s="614" t="s">
        <v>1185</v>
      </c>
      <c r="G91" s="613" t="s">
        <v>570</v>
      </c>
      <c r="H91" s="613" t="s">
        <v>796</v>
      </c>
      <c r="I91" s="613" t="s">
        <v>797</v>
      </c>
      <c r="J91" s="613" t="s">
        <v>798</v>
      </c>
      <c r="K91" s="613" t="s">
        <v>799</v>
      </c>
      <c r="L91" s="615">
        <v>72.2</v>
      </c>
      <c r="M91" s="615">
        <v>1</v>
      </c>
      <c r="N91" s="616">
        <v>72.2</v>
      </c>
    </row>
    <row r="92" spans="1:14" ht="14.4" customHeight="1" x14ac:dyDescent="0.3">
      <c r="A92" s="611" t="s">
        <v>550</v>
      </c>
      <c r="B92" s="612" t="s">
        <v>551</v>
      </c>
      <c r="C92" s="613" t="s">
        <v>560</v>
      </c>
      <c r="D92" s="614" t="s">
        <v>1183</v>
      </c>
      <c r="E92" s="613" t="s">
        <v>569</v>
      </c>
      <c r="F92" s="614" t="s">
        <v>1185</v>
      </c>
      <c r="G92" s="613" t="s">
        <v>570</v>
      </c>
      <c r="H92" s="613" t="s">
        <v>800</v>
      </c>
      <c r="I92" s="613" t="s">
        <v>801</v>
      </c>
      <c r="J92" s="613" t="s">
        <v>802</v>
      </c>
      <c r="K92" s="613" t="s">
        <v>803</v>
      </c>
      <c r="L92" s="615">
        <v>334.40853520002071</v>
      </c>
      <c r="M92" s="615">
        <v>5</v>
      </c>
      <c r="N92" s="616">
        <v>1672.0426760001035</v>
      </c>
    </row>
    <row r="93" spans="1:14" ht="14.4" customHeight="1" x14ac:dyDescent="0.3">
      <c r="A93" s="611" t="s">
        <v>550</v>
      </c>
      <c r="B93" s="612" t="s">
        <v>551</v>
      </c>
      <c r="C93" s="613" t="s">
        <v>560</v>
      </c>
      <c r="D93" s="614" t="s">
        <v>1183</v>
      </c>
      <c r="E93" s="613" t="s">
        <v>569</v>
      </c>
      <c r="F93" s="614" t="s">
        <v>1185</v>
      </c>
      <c r="G93" s="613" t="s">
        <v>570</v>
      </c>
      <c r="H93" s="613" t="s">
        <v>804</v>
      </c>
      <c r="I93" s="613" t="s">
        <v>210</v>
      </c>
      <c r="J93" s="613" t="s">
        <v>805</v>
      </c>
      <c r="K93" s="613"/>
      <c r="L93" s="615">
        <v>51.979697220053893</v>
      </c>
      <c r="M93" s="615">
        <v>2</v>
      </c>
      <c r="N93" s="616">
        <v>103.95939444010779</v>
      </c>
    </row>
    <row r="94" spans="1:14" ht="14.4" customHeight="1" x14ac:dyDescent="0.3">
      <c r="A94" s="611" t="s">
        <v>550</v>
      </c>
      <c r="B94" s="612" t="s">
        <v>551</v>
      </c>
      <c r="C94" s="613" t="s">
        <v>560</v>
      </c>
      <c r="D94" s="614" t="s">
        <v>1183</v>
      </c>
      <c r="E94" s="613" t="s">
        <v>569</v>
      </c>
      <c r="F94" s="614" t="s">
        <v>1185</v>
      </c>
      <c r="G94" s="613" t="s">
        <v>570</v>
      </c>
      <c r="H94" s="613" t="s">
        <v>647</v>
      </c>
      <c r="I94" s="613" t="s">
        <v>648</v>
      </c>
      <c r="J94" s="613" t="s">
        <v>649</v>
      </c>
      <c r="K94" s="613" t="s">
        <v>650</v>
      </c>
      <c r="L94" s="615">
        <v>50.963999999999999</v>
      </c>
      <c r="M94" s="615">
        <v>5</v>
      </c>
      <c r="N94" s="616">
        <v>254.82</v>
      </c>
    </row>
    <row r="95" spans="1:14" ht="14.4" customHeight="1" x14ac:dyDescent="0.3">
      <c r="A95" s="611" t="s">
        <v>550</v>
      </c>
      <c r="B95" s="612" t="s">
        <v>551</v>
      </c>
      <c r="C95" s="613" t="s">
        <v>560</v>
      </c>
      <c r="D95" s="614" t="s">
        <v>1183</v>
      </c>
      <c r="E95" s="613" t="s">
        <v>569</v>
      </c>
      <c r="F95" s="614" t="s">
        <v>1185</v>
      </c>
      <c r="G95" s="613" t="s">
        <v>570</v>
      </c>
      <c r="H95" s="613" t="s">
        <v>806</v>
      </c>
      <c r="I95" s="613" t="s">
        <v>210</v>
      </c>
      <c r="J95" s="613" t="s">
        <v>807</v>
      </c>
      <c r="K95" s="613"/>
      <c r="L95" s="615">
        <v>49.56027087519729</v>
      </c>
      <c r="M95" s="615">
        <v>20</v>
      </c>
      <c r="N95" s="616">
        <v>991.2054175039458</v>
      </c>
    </row>
    <row r="96" spans="1:14" ht="14.4" customHeight="1" x14ac:dyDescent="0.3">
      <c r="A96" s="611" t="s">
        <v>550</v>
      </c>
      <c r="B96" s="612" t="s">
        <v>551</v>
      </c>
      <c r="C96" s="613" t="s">
        <v>560</v>
      </c>
      <c r="D96" s="614" t="s">
        <v>1183</v>
      </c>
      <c r="E96" s="613" t="s">
        <v>569</v>
      </c>
      <c r="F96" s="614" t="s">
        <v>1185</v>
      </c>
      <c r="G96" s="613" t="s">
        <v>570</v>
      </c>
      <c r="H96" s="613" t="s">
        <v>665</v>
      </c>
      <c r="I96" s="613" t="s">
        <v>210</v>
      </c>
      <c r="J96" s="613" t="s">
        <v>666</v>
      </c>
      <c r="K96" s="613"/>
      <c r="L96" s="615">
        <v>59.598179164804193</v>
      </c>
      <c r="M96" s="615">
        <v>10</v>
      </c>
      <c r="N96" s="616">
        <v>595.98179164804196</v>
      </c>
    </row>
    <row r="97" spans="1:14" ht="14.4" customHeight="1" x14ac:dyDescent="0.3">
      <c r="A97" s="611" t="s">
        <v>550</v>
      </c>
      <c r="B97" s="612" t="s">
        <v>551</v>
      </c>
      <c r="C97" s="613" t="s">
        <v>560</v>
      </c>
      <c r="D97" s="614" t="s">
        <v>1183</v>
      </c>
      <c r="E97" s="613" t="s">
        <v>569</v>
      </c>
      <c r="F97" s="614" t="s">
        <v>1185</v>
      </c>
      <c r="G97" s="613" t="s">
        <v>570</v>
      </c>
      <c r="H97" s="613" t="s">
        <v>675</v>
      </c>
      <c r="I97" s="613" t="s">
        <v>210</v>
      </c>
      <c r="J97" s="613" t="s">
        <v>676</v>
      </c>
      <c r="K97" s="613"/>
      <c r="L97" s="615">
        <v>48.717616176938016</v>
      </c>
      <c r="M97" s="615">
        <v>40</v>
      </c>
      <c r="N97" s="616">
        <v>1948.7046470775206</v>
      </c>
    </row>
    <row r="98" spans="1:14" ht="14.4" customHeight="1" x14ac:dyDescent="0.3">
      <c r="A98" s="611" t="s">
        <v>550</v>
      </c>
      <c r="B98" s="612" t="s">
        <v>551</v>
      </c>
      <c r="C98" s="613" t="s">
        <v>560</v>
      </c>
      <c r="D98" s="614" t="s">
        <v>1183</v>
      </c>
      <c r="E98" s="613" t="s">
        <v>569</v>
      </c>
      <c r="F98" s="614" t="s">
        <v>1185</v>
      </c>
      <c r="G98" s="613" t="s">
        <v>570</v>
      </c>
      <c r="H98" s="613" t="s">
        <v>677</v>
      </c>
      <c r="I98" s="613" t="s">
        <v>210</v>
      </c>
      <c r="J98" s="613" t="s">
        <v>678</v>
      </c>
      <c r="K98" s="613"/>
      <c r="L98" s="615">
        <v>54.644924736375458</v>
      </c>
      <c r="M98" s="615">
        <v>4</v>
      </c>
      <c r="N98" s="616">
        <v>218.57969894550183</v>
      </c>
    </row>
    <row r="99" spans="1:14" ht="14.4" customHeight="1" x14ac:dyDescent="0.3">
      <c r="A99" s="611" t="s">
        <v>550</v>
      </c>
      <c r="B99" s="612" t="s">
        <v>551</v>
      </c>
      <c r="C99" s="613" t="s">
        <v>560</v>
      </c>
      <c r="D99" s="614" t="s">
        <v>1183</v>
      </c>
      <c r="E99" s="613" t="s">
        <v>569</v>
      </c>
      <c r="F99" s="614" t="s">
        <v>1185</v>
      </c>
      <c r="G99" s="613" t="s">
        <v>570</v>
      </c>
      <c r="H99" s="613" t="s">
        <v>679</v>
      </c>
      <c r="I99" s="613" t="s">
        <v>210</v>
      </c>
      <c r="J99" s="613" t="s">
        <v>680</v>
      </c>
      <c r="K99" s="613"/>
      <c r="L99" s="615">
        <v>101.5778962958851</v>
      </c>
      <c r="M99" s="615">
        <v>37</v>
      </c>
      <c r="N99" s="616">
        <v>3758.3821629477484</v>
      </c>
    </row>
    <row r="100" spans="1:14" ht="14.4" customHeight="1" x14ac:dyDescent="0.3">
      <c r="A100" s="611" t="s">
        <v>550</v>
      </c>
      <c r="B100" s="612" t="s">
        <v>551</v>
      </c>
      <c r="C100" s="613" t="s">
        <v>560</v>
      </c>
      <c r="D100" s="614" t="s">
        <v>1183</v>
      </c>
      <c r="E100" s="613" t="s">
        <v>569</v>
      </c>
      <c r="F100" s="614" t="s">
        <v>1185</v>
      </c>
      <c r="G100" s="613" t="s">
        <v>570</v>
      </c>
      <c r="H100" s="613" t="s">
        <v>808</v>
      </c>
      <c r="I100" s="613" t="s">
        <v>809</v>
      </c>
      <c r="J100" s="613" t="s">
        <v>810</v>
      </c>
      <c r="K100" s="613" t="s">
        <v>811</v>
      </c>
      <c r="L100" s="615">
        <v>81.665064776485565</v>
      </c>
      <c r="M100" s="615">
        <v>6</v>
      </c>
      <c r="N100" s="616">
        <v>489.99038865891339</v>
      </c>
    </row>
    <row r="101" spans="1:14" ht="14.4" customHeight="1" x14ac:dyDescent="0.3">
      <c r="A101" s="611" t="s">
        <v>550</v>
      </c>
      <c r="B101" s="612" t="s">
        <v>551</v>
      </c>
      <c r="C101" s="613" t="s">
        <v>560</v>
      </c>
      <c r="D101" s="614" t="s">
        <v>1183</v>
      </c>
      <c r="E101" s="613" t="s">
        <v>569</v>
      </c>
      <c r="F101" s="614" t="s">
        <v>1185</v>
      </c>
      <c r="G101" s="613" t="s">
        <v>570</v>
      </c>
      <c r="H101" s="613" t="s">
        <v>812</v>
      </c>
      <c r="I101" s="613" t="s">
        <v>813</v>
      </c>
      <c r="J101" s="613" t="s">
        <v>814</v>
      </c>
      <c r="K101" s="613" t="s">
        <v>815</v>
      </c>
      <c r="L101" s="615">
        <v>77.38002749328129</v>
      </c>
      <c r="M101" s="615">
        <v>6</v>
      </c>
      <c r="N101" s="616">
        <v>464.28016495968774</v>
      </c>
    </row>
    <row r="102" spans="1:14" ht="14.4" customHeight="1" x14ac:dyDescent="0.3">
      <c r="A102" s="611" t="s">
        <v>550</v>
      </c>
      <c r="B102" s="612" t="s">
        <v>551</v>
      </c>
      <c r="C102" s="613" t="s">
        <v>560</v>
      </c>
      <c r="D102" s="614" t="s">
        <v>1183</v>
      </c>
      <c r="E102" s="613" t="s">
        <v>569</v>
      </c>
      <c r="F102" s="614" t="s">
        <v>1185</v>
      </c>
      <c r="G102" s="613" t="s">
        <v>570</v>
      </c>
      <c r="H102" s="613" t="s">
        <v>816</v>
      </c>
      <c r="I102" s="613" t="s">
        <v>210</v>
      </c>
      <c r="J102" s="613" t="s">
        <v>817</v>
      </c>
      <c r="K102" s="613"/>
      <c r="L102" s="615">
        <v>366.85094871915112</v>
      </c>
      <c r="M102" s="615">
        <v>8</v>
      </c>
      <c r="N102" s="616">
        <v>2934.807589753209</v>
      </c>
    </row>
    <row r="103" spans="1:14" ht="14.4" customHeight="1" x14ac:dyDescent="0.3">
      <c r="A103" s="611" t="s">
        <v>550</v>
      </c>
      <c r="B103" s="612" t="s">
        <v>551</v>
      </c>
      <c r="C103" s="613" t="s">
        <v>560</v>
      </c>
      <c r="D103" s="614" t="s">
        <v>1183</v>
      </c>
      <c r="E103" s="613" t="s">
        <v>569</v>
      </c>
      <c r="F103" s="614" t="s">
        <v>1185</v>
      </c>
      <c r="G103" s="613" t="s">
        <v>570</v>
      </c>
      <c r="H103" s="613" t="s">
        <v>818</v>
      </c>
      <c r="I103" s="613" t="s">
        <v>210</v>
      </c>
      <c r="J103" s="613" t="s">
        <v>819</v>
      </c>
      <c r="K103" s="613"/>
      <c r="L103" s="615">
        <v>144.32307538635987</v>
      </c>
      <c r="M103" s="615">
        <v>42</v>
      </c>
      <c r="N103" s="616">
        <v>6061.5691662271147</v>
      </c>
    </row>
    <row r="104" spans="1:14" ht="14.4" customHeight="1" x14ac:dyDescent="0.3">
      <c r="A104" s="611" t="s">
        <v>550</v>
      </c>
      <c r="B104" s="612" t="s">
        <v>551</v>
      </c>
      <c r="C104" s="613" t="s">
        <v>560</v>
      </c>
      <c r="D104" s="614" t="s">
        <v>1183</v>
      </c>
      <c r="E104" s="613" t="s">
        <v>569</v>
      </c>
      <c r="F104" s="614" t="s">
        <v>1185</v>
      </c>
      <c r="G104" s="613" t="s">
        <v>570</v>
      </c>
      <c r="H104" s="613" t="s">
        <v>820</v>
      </c>
      <c r="I104" s="613" t="s">
        <v>210</v>
      </c>
      <c r="J104" s="613" t="s">
        <v>821</v>
      </c>
      <c r="K104" s="613"/>
      <c r="L104" s="615">
        <v>185.6565300043315</v>
      </c>
      <c r="M104" s="615">
        <v>11</v>
      </c>
      <c r="N104" s="616">
        <v>2042.2218300476466</v>
      </c>
    </row>
    <row r="105" spans="1:14" ht="14.4" customHeight="1" x14ac:dyDescent="0.3">
      <c r="A105" s="611" t="s">
        <v>550</v>
      </c>
      <c r="B105" s="612" t="s">
        <v>551</v>
      </c>
      <c r="C105" s="613" t="s">
        <v>560</v>
      </c>
      <c r="D105" s="614" t="s">
        <v>1183</v>
      </c>
      <c r="E105" s="613" t="s">
        <v>569</v>
      </c>
      <c r="F105" s="614" t="s">
        <v>1185</v>
      </c>
      <c r="G105" s="613" t="s">
        <v>570</v>
      </c>
      <c r="H105" s="613" t="s">
        <v>822</v>
      </c>
      <c r="I105" s="613" t="s">
        <v>210</v>
      </c>
      <c r="J105" s="613" t="s">
        <v>823</v>
      </c>
      <c r="K105" s="613"/>
      <c r="L105" s="615">
        <v>142.54348509108692</v>
      </c>
      <c r="M105" s="615">
        <v>26</v>
      </c>
      <c r="N105" s="616">
        <v>3706.1306123682602</v>
      </c>
    </row>
    <row r="106" spans="1:14" ht="14.4" customHeight="1" x14ac:dyDescent="0.3">
      <c r="A106" s="611" t="s">
        <v>550</v>
      </c>
      <c r="B106" s="612" t="s">
        <v>551</v>
      </c>
      <c r="C106" s="613" t="s">
        <v>560</v>
      </c>
      <c r="D106" s="614" t="s">
        <v>1183</v>
      </c>
      <c r="E106" s="613" t="s">
        <v>569</v>
      </c>
      <c r="F106" s="614" t="s">
        <v>1185</v>
      </c>
      <c r="G106" s="613" t="s">
        <v>570</v>
      </c>
      <c r="H106" s="613" t="s">
        <v>681</v>
      </c>
      <c r="I106" s="613" t="s">
        <v>210</v>
      </c>
      <c r="J106" s="613" t="s">
        <v>682</v>
      </c>
      <c r="K106" s="613"/>
      <c r="L106" s="615">
        <v>108.52481546274032</v>
      </c>
      <c r="M106" s="615">
        <v>19</v>
      </c>
      <c r="N106" s="616">
        <v>2061.9714937920662</v>
      </c>
    </row>
    <row r="107" spans="1:14" ht="14.4" customHeight="1" x14ac:dyDescent="0.3">
      <c r="A107" s="611" t="s">
        <v>550</v>
      </c>
      <c r="B107" s="612" t="s">
        <v>551</v>
      </c>
      <c r="C107" s="613" t="s">
        <v>560</v>
      </c>
      <c r="D107" s="614" t="s">
        <v>1183</v>
      </c>
      <c r="E107" s="613" t="s">
        <v>569</v>
      </c>
      <c r="F107" s="614" t="s">
        <v>1185</v>
      </c>
      <c r="G107" s="613" t="s">
        <v>570</v>
      </c>
      <c r="H107" s="613" t="s">
        <v>824</v>
      </c>
      <c r="I107" s="613" t="s">
        <v>210</v>
      </c>
      <c r="J107" s="613" t="s">
        <v>825</v>
      </c>
      <c r="K107" s="613" t="s">
        <v>826</v>
      </c>
      <c r="L107" s="615">
        <v>85.873532243960113</v>
      </c>
      <c r="M107" s="615">
        <v>1</v>
      </c>
      <c r="N107" s="616">
        <v>85.873532243960113</v>
      </c>
    </row>
    <row r="108" spans="1:14" ht="14.4" customHeight="1" x14ac:dyDescent="0.3">
      <c r="A108" s="611" t="s">
        <v>550</v>
      </c>
      <c r="B108" s="612" t="s">
        <v>551</v>
      </c>
      <c r="C108" s="613" t="s">
        <v>560</v>
      </c>
      <c r="D108" s="614" t="s">
        <v>1183</v>
      </c>
      <c r="E108" s="613" t="s">
        <v>569</v>
      </c>
      <c r="F108" s="614" t="s">
        <v>1185</v>
      </c>
      <c r="G108" s="613" t="s">
        <v>570</v>
      </c>
      <c r="H108" s="613" t="s">
        <v>827</v>
      </c>
      <c r="I108" s="613" t="s">
        <v>828</v>
      </c>
      <c r="J108" s="613" t="s">
        <v>829</v>
      </c>
      <c r="K108" s="613" t="s">
        <v>830</v>
      </c>
      <c r="L108" s="615">
        <v>18.879850418119531</v>
      </c>
      <c r="M108" s="615">
        <v>4</v>
      </c>
      <c r="N108" s="616">
        <v>75.519401672478125</v>
      </c>
    </row>
    <row r="109" spans="1:14" ht="14.4" customHeight="1" x14ac:dyDescent="0.3">
      <c r="A109" s="611" t="s">
        <v>550</v>
      </c>
      <c r="B109" s="612" t="s">
        <v>551</v>
      </c>
      <c r="C109" s="613" t="s">
        <v>560</v>
      </c>
      <c r="D109" s="614" t="s">
        <v>1183</v>
      </c>
      <c r="E109" s="613" t="s">
        <v>569</v>
      </c>
      <c r="F109" s="614" t="s">
        <v>1185</v>
      </c>
      <c r="G109" s="613" t="s">
        <v>570</v>
      </c>
      <c r="H109" s="613" t="s">
        <v>831</v>
      </c>
      <c r="I109" s="613" t="s">
        <v>832</v>
      </c>
      <c r="J109" s="613" t="s">
        <v>833</v>
      </c>
      <c r="K109" s="613" t="s">
        <v>834</v>
      </c>
      <c r="L109" s="615">
        <v>105.03</v>
      </c>
      <c r="M109" s="615">
        <v>1</v>
      </c>
      <c r="N109" s="616">
        <v>105.03</v>
      </c>
    </row>
    <row r="110" spans="1:14" ht="14.4" customHeight="1" x14ac:dyDescent="0.3">
      <c r="A110" s="611" t="s">
        <v>550</v>
      </c>
      <c r="B110" s="612" t="s">
        <v>551</v>
      </c>
      <c r="C110" s="613" t="s">
        <v>560</v>
      </c>
      <c r="D110" s="614" t="s">
        <v>1183</v>
      </c>
      <c r="E110" s="613" t="s">
        <v>569</v>
      </c>
      <c r="F110" s="614" t="s">
        <v>1185</v>
      </c>
      <c r="G110" s="613" t="s">
        <v>570</v>
      </c>
      <c r="H110" s="613" t="s">
        <v>835</v>
      </c>
      <c r="I110" s="613" t="s">
        <v>210</v>
      </c>
      <c r="J110" s="613" t="s">
        <v>836</v>
      </c>
      <c r="K110" s="613"/>
      <c r="L110" s="615">
        <v>161.81000000000003</v>
      </c>
      <c r="M110" s="615">
        <v>1</v>
      </c>
      <c r="N110" s="616">
        <v>161.81000000000003</v>
      </c>
    </row>
    <row r="111" spans="1:14" ht="14.4" customHeight="1" x14ac:dyDescent="0.3">
      <c r="A111" s="611" t="s">
        <v>550</v>
      </c>
      <c r="B111" s="612" t="s">
        <v>551</v>
      </c>
      <c r="C111" s="613" t="s">
        <v>560</v>
      </c>
      <c r="D111" s="614" t="s">
        <v>1183</v>
      </c>
      <c r="E111" s="613" t="s">
        <v>569</v>
      </c>
      <c r="F111" s="614" t="s">
        <v>1185</v>
      </c>
      <c r="G111" s="613" t="s">
        <v>570</v>
      </c>
      <c r="H111" s="613" t="s">
        <v>694</v>
      </c>
      <c r="I111" s="613" t="s">
        <v>210</v>
      </c>
      <c r="J111" s="613" t="s">
        <v>695</v>
      </c>
      <c r="K111" s="613"/>
      <c r="L111" s="615">
        <v>448.20999999999987</v>
      </c>
      <c r="M111" s="615">
        <v>2</v>
      </c>
      <c r="N111" s="616">
        <v>896.41999999999973</v>
      </c>
    </row>
    <row r="112" spans="1:14" ht="14.4" customHeight="1" x14ac:dyDescent="0.3">
      <c r="A112" s="611" t="s">
        <v>550</v>
      </c>
      <c r="B112" s="612" t="s">
        <v>551</v>
      </c>
      <c r="C112" s="613" t="s">
        <v>560</v>
      </c>
      <c r="D112" s="614" t="s">
        <v>1183</v>
      </c>
      <c r="E112" s="613" t="s">
        <v>569</v>
      </c>
      <c r="F112" s="614" t="s">
        <v>1185</v>
      </c>
      <c r="G112" s="613" t="s">
        <v>570</v>
      </c>
      <c r="H112" s="613" t="s">
        <v>696</v>
      </c>
      <c r="I112" s="613" t="s">
        <v>696</v>
      </c>
      <c r="J112" s="613" t="s">
        <v>584</v>
      </c>
      <c r="K112" s="613" t="s">
        <v>697</v>
      </c>
      <c r="L112" s="615">
        <v>59.843316176232747</v>
      </c>
      <c r="M112" s="615">
        <v>177</v>
      </c>
      <c r="N112" s="616">
        <v>10592.266963193197</v>
      </c>
    </row>
    <row r="113" spans="1:14" ht="14.4" customHeight="1" x14ac:dyDescent="0.3">
      <c r="A113" s="611" t="s">
        <v>550</v>
      </c>
      <c r="B113" s="612" t="s">
        <v>551</v>
      </c>
      <c r="C113" s="613" t="s">
        <v>560</v>
      </c>
      <c r="D113" s="614" t="s">
        <v>1183</v>
      </c>
      <c r="E113" s="613" t="s">
        <v>569</v>
      </c>
      <c r="F113" s="614" t="s">
        <v>1185</v>
      </c>
      <c r="G113" s="613" t="s">
        <v>570</v>
      </c>
      <c r="H113" s="613" t="s">
        <v>837</v>
      </c>
      <c r="I113" s="613" t="s">
        <v>210</v>
      </c>
      <c r="J113" s="613" t="s">
        <v>838</v>
      </c>
      <c r="K113" s="613"/>
      <c r="L113" s="615">
        <v>62.949969811345042</v>
      </c>
      <c r="M113" s="615">
        <v>1</v>
      </c>
      <c r="N113" s="616">
        <v>62.949969811345042</v>
      </c>
    </row>
    <row r="114" spans="1:14" ht="14.4" customHeight="1" x14ac:dyDescent="0.3">
      <c r="A114" s="611" t="s">
        <v>550</v>
      </c>
      <c r="B114" s="612" t="s">
        <v>551</v>
      </c>
      <c r="C114" s="613" t="s">
        <v>560</v>
      </c>
      <c r="D114" s="614" t="s">
        <v>1183</v>
      </c>
      <c r="E114" s="613" t="s">
        <v>569</v>
      </c>
      <c r="F114" s="614" t="s">
        <v>1185</v>
      </c>
      <c r="G114" s="613" t="s">
        <v>570</v>
      </c>
      <c r="H114" s="613" t="s">
        <v>839</v>
      </c>
      <c r="I114" s="613" t="s">
        <v>210</v>
      </c>
      <c r="J114" s="613" t="s">
        <v>840</v>
      </c>
      <c r="K114" s="613"/>
      <c r="L114" s="615">
        <v>140</v>
      </c>
      <c r="M114" s="615">
        <v>6</v>
      </c>
      <c r="N114" s="616">
        <v>840</v>
      </c>
    </row>
    <row r="115" spans="1:14" ht="14.4" customHeight="1" x14ac:dyDescent="0.3">
      <c r="A115" s="611" t="s">
        <v>550</v>
      </c>
      <c r="B115" s="612" t="s">
        <v>551</v>
      </c>
      <c r="C115" s="613" t="s">
        <v>560</v>
      </c>
      <c r="D115" s="614" t="s">
        <v>1183</v>
      </c>
      <c r="E115" s="613" t="s">
        <v>569</v>
      </c>
      <c r="F115" s="614" t="s">
        <v>1185</v>
      </c>
      <c r="G115" s="613" t="s">
        <v>570</v>
      </c>
      <c r="H115" s="613" t="s">
        <v>841</v>
      </c>
      <c r="I115" s="613" t="s">
        <v>842</v>
      </c>
      <c r="J115" s="613" t="s">
        <v>843</v>
      </c>
      <c r="K115" s="613" t="s">
        <v>844</v>
      </c>
      <c r="L115" s="615">
        <v>8.9700000000000006</v>
      </c>
      <c r="M115" s="615">
        <v>40</v>
      </c>
      <c r="N115" s="616">
        <v>358.8</v>
      </c>
    </row>
    <row r="116" spans="1:14" ht="14.4" customHeight="1" x14ac:dyDescent="0.3">
      <c r="A116" s="611" t="s">
        <v>550</v>
      </c>
      <c r="B116" s="612" t="s">
        <v>551</v>
      </c>
      <c r="C116" s="613" t="s">
        <v>560</v>
      </c>
      <c r="D116" s="614" t="s">
        <v>1183</v>
      </c>
      <c r="E116" s="613" t="s">
        <v>569</v>
      </c>
      <c r="F116" s="614" t="s">
        <v>1185</v>
      </c>
      <c r="G116" s="613" t="s">
        <v>845</v>
      </c>
      <c r="H116" s="613" t="s">
        <v>846</v>
      </c>
      <c r="I116" s="613" t="s">
        <v>847</v>
      </c>
      <c r="J116" s="613" t="s">
        <v>848</v>
      </c>
      <c r="K116" s="613" t="s">
        <v>849</v>
      </c>
      <c r="L116" s="615">
        <v>184.14999999999998</v>
      </c>
      <c r="M116" s="615">
        <v>1</v>
      </c>
      <c r="N116" s="616">
        <v>184.14999999999998</v>
      </c>
    </row>
    <row r="117" spans="1:14" ht="14.4" customHeight="1" x14ac:dyDescent="0.3">
      <c r="A117" s="611" t="s">
        <v>550</v>
      </c>
      <c r="B117" s="612" t="s">
        <v>551</v>
      </c>
      <c r="C117" s="613" t="s">
        <v>560</v>
      </c>
      <c r="D117" s="614" t="s">
        <v>1183</v>
      </c>
      <c r="E117" s="613" t="s">
        <v>569</v>
      </c>
      <c r="F117" s="614" t="s">
        <v>1185</v>
      </c>
      <c r="G117" s="613" t="s">
        <v>845</v>
      </c>
      <c r="H117" s="613" t="s">
        <v>850</v>
      </c>
      <c r="I117" s="613" t="s">
        <v>851</v>
      </c>
      <c r="J117" s="613" t="s">
        <v>852</v>
      </c>
      <c r="K117" s="613"/>
      <c r="L117" s="615">
        <v>668.15</v>
      </c>
      <c r="M117" s="615">
        <v>1</v>
      </c>
      <c r="N117" s="616">
        <v>668.15</v>
      </c>
    </row>
    <row r="118" spans="1:14" ht="14.4" customHeight="1" x14ac:dyDescent="0.3">
      <c r="A118" s="611" t="s">
        <v>550</v>
      </c>
      <c r="B118" s="612" t="s">
        <v>551</v>
      </c>
      <c r="C118" s="613" t="s">
        <v>560</v>
      </c>
      <c r="D118" s="614" t="s">
        <v>1183</v>
      </c>
      <c r="E118" s="613" t="s">
        <v>704</v>
      </c>
      <c r="F118" s="614" t="s">
        <v>1186</v>
      </c>
      <c r="G118" s="613" t="s">
        <v>570</v>
      </c>
      <c r="H118" s="613" t="s">
        <v>853</v>
      </c>
      <c r="I118" s="613" t="s">
        <v>854</v>
      </c>
      <c r="J118" s="613" t="s">
        <v>855</v>
      </c>
      <c r="K118" s="613" t="s">
        <v>856</v>
      </c>
      <c r="L118" s="615">
        <v>1735.07</v>
      </c>
      <c r="M118" s="615">
        <v>1</v>
      </c>
      <c r="N118" s="616">
        <v>1735.07</v>
      </c>
    </row>
    <row r="119" spans="1:14" ht="14.4" customHeight="1" x14ac:dyDescent="0.3">
      <c r="A119" s="611" t="s">
        <v>550</v>
      </c>
      <c r="B119" s="612" t="s">
        <v>551</v>
      </c>
      <c r="C119" s="613" t="s">
        <v>560</v>
      </c>
      <c r="D119" s="614" t="s">
        <v>1183</v>
      </c>
      <c r="E119" s="613" t="s">
        <v>704</v>
      </c>
      <c r="F119" s="614" t="s">
        <v>1186</v>
      </c>
      <c r="G119" s="613" t="s">
        <v>570</v>
      </c>
      <c r="H119" s="613" t="s">
        <v>857</v>
      </c>
      <c r="I119" s="613" t="s">
        <v>210</v>
      </c>
      <c r="J119" s="613" t="s">
        <v>858</v>
      </c>
      <c r="K119" s="613"/>
      <c r="L119" s="615">
        <v>314.86</v>
      </c>
      <c r="M119" s="615">
        <v>2</v>
      </c>
      <c r="N119" s="616">
        <v>629.72</v>
      </c>
    </row>
    <row r="120" spans="1:14" ht="14.4" customHeight="1" x14ac:dyDescent="0.3">
      <c r="A120" s="611" t="s">
        <v>550</v>
      </c>
      <c r="B120" s="612" t="s">
        <v>551</v>
      </c>
      <c r="C120" s="613" t="s">
        <v>560</v>
      </c>
      <c r="D120" s="614" t="s">
        <v>1183</v>
      </c>
      <c r="E120" s="613" t="s">
        <v>704</v>
      </c>
      <c r="F120" s="614" t="s">
        <v>1186</v>
      </c>
      <c r="G120" s="613" t="s">
        <v>570</v>
      </c>
      <c r="H120" s="613" t="s">
        <v>707</v>
      </c>
      <c r="I120" s="613" t="s">
        <v>210</v>
      </c>
      <c r="J120" s="613" t="s">
        <v>708</v>
      </c>
      <c r="K120" s="613"/>
      <c r="L120" s="615">
        <v>285.08999999999997</v>
      </c>
      <c r="M120" s="615">
        <v>10</v>
      </c>
      <c r="N120" s="616">
        <v>2850.8999999999996</v>
      </c>
    </row>
    <row r="121" spans="1:14" ht="14.4" customHeight="1" x14ac:dyDescent="0.3">
      <c r="A121" s="611" t="s">
        <v>550</v>
      </c>
      <c r="B121" s="612" t="s">
        <v>551</v>
      </c>
      <c r="C121" s="613" t="s">
        <v>560</v>
      </c>
      <c r="D121" s="614" t="s">
        <v>1183</v>
      </c>
      <c r="E121" s="613" t="s">
        <v>704</v>
      </c>
      <c r="F121" s="614" t="s">
        <v>1186</v>
      </c>
      <c r="G121" s="613" t="s">
        <v>570</v>
      </c>
      <c r="H121" s="613" t="s">
        <v>859</v>
      </c>
      <c r="I121" s="613" t="s">
        <v>210</v>
      </c>
      <c r="J121" s="613" t="s">
        <v>860</v>
      </c>
      <c r="K121" s="613"/>
      <c r="L121" s="615">
        <v>502.59999999999991</v>
      </c>
      <c r="M121" s="615">
        <v>5</v>
      </c>
      <c r="N121" s="616">
        <v>2512.9999999999995</v>
      </c>
    </row>
    <row r="122" spans="1:14" ht="14.4" customHeight="1" x14ac:dyDescent="0.3">
      <c r="A122" s="611" t="s">
        <v>550</v>
      </c>
      <c r="B122" s="612" t="s">
        <v>551</v>
      </c>
      <c r="C122" s="613" t="s">
        <v>560</v>
      </c>
      <c r="D122" s="614" t="s">
        <v>1183</v>
      </c>
      <c r="E122" s="613" t="s">
        <v>704</v>
      </c>
      <c r="F122" s="614" t="s">
        <v>1186</v>
      </c>
      <c r="G122" s="613" t="s">
        <v>845</v>
      </c>
      <c r="H122" s="613" t="s">
        <v>861</v>
      </c>
      <c r="I122" s="613" t="s">
        <v>862</v>
      </c>
      <c r="J122" s="613" t="s">
        <v>863</v>
      </c>
      <c r="K122" s="613" t="s">
        <v>864</v>
      </c>
      <c r="L122" s="615">
        <v>198.25938323990368</v>
      </c>
      <c r="M122" s="615">
        <v>1</v>
      </c>
      <c r="N122" s="616">
        <v>198.25938323990368</v>
      </c>
    </row>
    <row r="123" spans="1:14" ht="14.4" customHeight="1" x14ac:dyDescent="0.3">
      <c r="A123" s="611" t="s">
        <v>550</v>
      </c>
      <c r="B123" s="612" t="s">
        <v>551</v>
      </c>
      <c r="C123" s="613" t="s">
        <v>560</v>
      </c>
      <c r="D123" s="614" t="s">
        <v>1183</v>
      </c>
      <c r="E123" s="613" t="s">
        <v>709</v>
      </c>
      <c r="F123" s="614" t="s">
        <v>1187</v>
      </c>
      <c r="G123" s="613" t="s">
        <v>570</v>
      </c>
      <c r="H123" s="613" t="s">
        <v>718</v>
      </c>
      <c r="I123" s="613" t="s">
        <v>718</v>
      </c>
      <c r="J123" s="613" t="s">
        <v>719</v>
      </c>
      <c r="K123" s="613" t="s">
        <v>720</v>
      </c>
      <c r="L123" s="615">
        <v>46</v>
      </c>
      <c r="M123" s="615">
        <v>2</v>
      </c>
      <c r="N123" s="616">
        <v>92</v>
      </c>
    </row>
    <row r="124" spans="1:14" ht="14.4" customHeight="1" x14ac:dyDescent="0.3">
      <c r="A124" s="611" t="s">
        <v>550</v>
      </c>
      <c r="B124" s="612" t="s">
        <v>551</v>
      </c>
      <c r="C124" s="613" t="s">
        <v>560</v>
      </c>
      <c r="D124" s="614" t="s">
        <v>1183</v>
      </c>
      <c r="E124" s="613" t="s">
        <v>709</v>
      </c>
      <c r="F124" s="614" t="s">
        <v>1187</v>
      </c>
      <c r="G124" s="613" t="s">
        <v>570</v>
      </c>
      <c r="H124" s="613" t="s">
        <v>721</v>
      </c>
      <c r="I124" s="613" t="s">
        <v>722</v>
      </c>
      <c r="J124" s="613" t="s">
        <v>723</v>
      </c>
      <c r="K124" s="613" t="s">
        <v>724</v>
      </c>
      <c r="L124" s="615">
        <v>143.40202455144583</v>
      </c>
      <c r="M124" s="615">
        <v>19.7</v>
      </c>
      <c r="N124" s="616">
        <v>2825.0198836634827</v>
      </c>
    </row>
    <row r="125" spans="1:14" ht="14.4" customHeight="1" x14ac:dyDescent="0.3">
      <c r="A125" s="611" t="s">
        <v>550</v>
      </c>
      <c r="B125" s="612" t="s">
        <v>551</v>
      </c>
      <c r="C125" s="613" t="s">
        <v>560</v>
      </c>
      <c r="D125" s="614" t="s">
        <v>1183</v>
      </c>
      <c r="E125" s="613" t="s">
        <v>709</v>
      </c>
      <c r="F125" s="614" t="s">
        <v>1187</v>
      </c>
      <c r="G125" s="613" t="s">
        <v>570</v>
      </c>
      <c r="H125" s="613" t="s">
        <v>725</v>
      </c>
      <c r="I125" s="613" t="s">
        <v>726</v>
      </c>
      <c r="J125" s="613" t="s">
        <v>727</v>
      </c>
      <c r="K125" s="613" t="s">
        <v>728</v>
      </c>
      <c r="L125" s="615">
        <v>63.839948052072543</v>
      </c>
      <c r="M125" s="615">
        <v>8</v>
      </c>
      <c r="N125" s="616">
        <v>510.71958441658035</v>
      </c>
    </row>
    <row r="126" spans="1:14" ht="14.4" customHeight="1" x14ac:dyDescent="0.3">
      <c r="A126" s="611" t="s">
        <v>550</v>
      </c>
      <c r="B126" s="612" t="s">
        <v>551</v>
      </c>
      <c r="C126" s="613" t="s">
        <v>560</v>
      </c>
      <c r="D126" s="614" t="s">
        <v>1183</v>
      </c>
      <c r="E126" s="613" t="s">
        <v>709</v>
      </c>
      <c r="F126" s="614" t="s">
        <v>1187</v>
      </c>
      <c r="G126" s="613" t="s">
        <v>570</v>
      </c>
      <c r="H126" s="613" t="s">
        <v>737</v>
      </c>
      <c r="I126" s="613" t="s">
        <v>738</v>
      </c>
      <c r="J126" s="613" t="s">
        <v>739</v>
      </c>
      <c r="K126" s="613" t="s">
        <v>740</v>
      </c>
      <c r="L126" s="615">
        <v>51.41731228846966</v>
      </c>
      <c r="M126" s="615">
        <v>19</v>
      </c>
      <c r="N126" s="616">
        <v>976.92893348092355</v>
      </c>
    </row>
    <row r="127" spans="1:14" ht="14.4" customHeight="1" x14ac:dyDescent="0.3">
      <c r="A127" s="611" t="s">
        <v>550</v>
      </c>
      <c r="B127" s="612" t="s">
        <v>551</v>
      </c>
      <c r="C127" s="613" t="s">
        <v>560</v>
      </c>
      <c r="D127" s="614" t="s">
        <v>1183</v>
      </c>
      <c r="E127" s="613" t="s">
        <v>709</v>
      </c>
      <c r="F127" s="614" t="s">
        <v>1187</v>
      </c>
      <c r="G127" s="613" t="s">
        <v>845</v>
      </c>
      <c r="H127" s="613" t="s">
        <v>865</v>
      </c>
      <c r="I127" s="613" t="s">
        <v>866</v>
      </c>
      <c r="J127" s="613" t="s">
        <v>867</v>
      </c>
      <c r="K127" s="613" t="s">
        <v>868</v>
      </c>
      <c r="L127" s="615">
        <v>449.10043331585609</v>
      </c>
      <c r="M127" s="615">
        <v>7</v>
      </c>
      <c r="N127" s="616">
        <v>3143.7030332109925</v>
      </c>
    </row>
    <row r="128" spans="1:14" ht="14.4" customHeight="1" x14ac:dyDescent="0.3">
      <c r="A128" s="611" t="s">
        <v>550</v>
      </c>
      <c r="B128" s="612" t="s">
        <v>551</v>
      </c>
      <c r="C128" s="613" t="s">
        <v>560</v>
      </c>
      <c r="D128" s="614" t="s">
        <v>1183</v>
      </c>
      <c r="E128" s="613" t="s">
        <v>709</v>
      </c>
      <c r="F128" s="614" t="s">
        <v>1187</v>
      </c>
      <c r="G128" s="613" t="s">
        <v>845</v>
      </c>
      <c r="H128" s="613" t="s">
        <v>869</v>
      </c>
      <c r="I128" s="613" t="s">
        <v>870</v>
      </c>
      <c r="J128" s="613" t="s">
        <v>871</v>
      </c>
      <c r="K128" s="613" t="s">
        <v>872</v>
      </c>
      <c r="L128" s="615">
        <v>106.97000000000003</v>
      </c>
      <c r="M128" s="615">
        <v>1</v>
      </c>
      <c r="N128" s="616">
        <v>106.97000000000003</v>
      </c>
    </row>
    <row r="129" spans="1:14" ht="14.4" customHeight="1" x14ac:dyDescent="0.3">
      <c r="A129" s="611" t="s">
        <v>550</v>
      </c>
      <c r="B129" s="612" t="s">
        <v>551</v>
      </c>
      <c r="C129" s="613" t="s">
        <v>560</v>
      </c>
      <c r="D129" s="614" t="s">
        <v>1183</v>
      </c>
      <c r="E129" s="613" t="s">
        <v>741</v>
      </c>
      <c r="F129" s="614" t="s">
        <v>1188</v>
      </c>
      <c r="G129" s="613" t="s">
        <v>570</v>
      </c>
      <c r="H129" s="613" t="s">
        <v>746</v>
      </c>
      <c r="I129" s="613" t="s">
        <v>747</v>
      </c>
      <c r="J129" s="613" t="s">
        <v>748</v>
      </c>
      <c r="K129" s="613" t="s">
        <v>749</v>
      </c>
      <c r="L129" s="615">
        <v>91.36196071432127</v>
      </c>
      <c r="M129" s="615">
        <v>10</v>
      </c>
      <c r="N129" s="616">
        <v>913.61960714321276</v>
      </c>
    </row>
    <row r="130" spans="1:14" ht="14.4" customHeight="1" x14ac:dyDescent="0.3">
      <c r="A130" s="611" t="s">
        <v>550</v>
      </c>
      <c r="B130" s="612" t="s">
        <v>551</v>
      </c>
      <c r="C130" s="613" t="s">
        <v>563</v>
      </c>
      <c r="D130" s="614" t="s">
        <v>1184</v>
      </c>
      <c r="E130" s="613" t="s">
        <v>569</v>
      </c>
      <c r="F130" s="614" t="s">
        <v>1185</v>
      </c>
      <c r="G130" s="613"/>
      <c r="H130" s="613" t="s">
        <v>873</v>
      </c>
      <c r="I130" s="613" t="s">
        <v>874</v>
      </c>
      <c r="J130" s="613" t="s">
        <v>875</v>
      </c>
      <c r="K130" s="613"/>
      <c r="L130" s="615">
        <v>75.830000000000013</v>
      </c>
      <c r="M130" s="615">
        <v>16</v>
      </c>
      <c r="N130" s="616">
        <v>1213.2800000000002</v>
      </c>
    </row>
    <row r="131" spans="1:14" ht="14.4" customHeight="1" x14ac:dyDescent="0.3">
      <c r="A131" s="611" t="s">
        <v>550</v>
      </c>
      <c r="B131" s="612" t="s">
        <v>551</v>
      </c>
      <c r="C131" s="613" t="s">
        <v>563</v>
      </c>
      <c r="D131" s="614" t="s">
        <v>1184</v>
      </c>
      <c r="E131" s="613" t="s">
        <v>569</v>
      </c>
      <c r="F131" s="614" t="s">
        <v>1185</v>
      </c>
      <c r="G131" s="613" t="s">
        <v>570</v>
      </c>
      <c r="H131" s="613" t="s">
        <v>571</v>
      </c>
      <c r="I131" s="613" t="s">
        <v>571</v>
      </c>
      <c r="J131" s="613" t="s">
        <v>572</v>
      </c>
      <c r="K131" s="613" t="s">
        <v>573</v>
      </c>
      <c r="L131" s="615">
        <v>183.19496371853887</v>
      </c>
      <c r="M131" s="615">
        <v>40</v>
      </c>
      <c r="N131" s="616">
        <v>7327.7985487415554</v>
      </c>
    </row>
    <row r="132" spans="1:14" ht="14.4" customHeight="1" x14ac:dyDescent="0.3">
      <c r="A132" s="611" t="s">
        <v>550</v>
      </c>
      <c r="B132" s="612" t="s">
        <v>551</v>
      </c>
      <c r="C132" s="613" t="s">
        <v>563</v>
      </c>
      <c r="D132" s="614" t="s">
        <v>1184</v>
      </c>
      <c r="E132" s="613" t="s">
        <v>569</v>
      </c>
      <c r="F132" s="614" t="s">
        <v>1185</v>
      </c>
      <c r="G132" s="613" t="s">
        <v>570</v>
      </c>
      <c r="H132" s="613" t="s">
        <v>876</v>
      </c>
      <c r="I132" s="613" t="s">
        <v>876</v>
      </c>
      <c r="J132" s="613" t="s">
        <v>877</v>
      </c>
      <c r="K132" s="613" t="s">
        <v>878</v>
      </c>
      <c r="L132" s="615">
        <v>181.5896282056965</v>
      </c>
      <c r="M132" s="615">
        <v>5</v>
      </c>
      <c r="N132" s="616">
        <v>907.9481410284825</v>
      </c>
    </row>
    <row r="133" spans="1:14" ht="14.4" customHeight="1" x14ac:dyDescent="0.3">
      <c r="A133" s="611" t="s">
        <v>550</v>
      </c>
      <c r="B133" s="612" t="s">
        <v>551</v>
      </c>
      <c r="C133" s="613" t="s">
        <v>563</v>
      </c>
      <c r="D133" s="614" t="s">
        <v>1184</v>
      </c>
      <c r="E133" s="613" t="s">
        <v>569</v>
      </c>
      <c r="F133" s="614" t="s">
        <v>1185</v>
      </c>
      <c r="G133" s="613" t="s">
        <v>570</v>
      </c>
      <c r="H133" s="613" t="s">
        <v>879</v>
      </c>
      <c r="I133" s="613" t="s">
        <v>879</v>
      </c>
      <c r="J133" s="613" t="s">
        <v>754</v>
      </c>
      <c r="K133" s="613" t="s">
        <v>880</v>
      </c>
      <c r="L133" s="615">
        <v>132.2496433873483</v>
      </c>
      <c r="M133" s="615">
        <v>3</v>
      </c>
      <c r="N133" s="616">
        <v>396.74893016204487</v>
      </c>
    </row>
    <row r="134" spans="1:14" ht="14.4" customHeight="1" x14ac:dyDescent="0.3">
      <c r="A134" s="611" t="s">
        <v>550</v>
      </c>
      <c r="B134" s="612" t="s">
        <v>551</v>
      </c>
      <c r="C134" s="613" t="s">
        <v>563</v>
      </c>
      <c r="D134" s="614" t="s">
        <v>1184</v>
      </c>
      <c r="E134" s="613" t="s">
        <v>569</v>
      </c>
      <c r="F134" s="614" t="s">
        <v>1185</v>
      </c>
      <c r="G134" s="613" t="s">
        <v>570</v>
      </c>
      <c r="H134" s="613" t="s">
        <v>753</v>
      </c>
      <c r="I134" s="613" t="s">
        <v>753</v>
      </c>
      <c r="J134" s="613" t="s">
        <v>754</v>
      </c>
      <c r="K134" s="613" t="s">
        <v>755</v>
      </c>
      <c r="L134" s="615">
        <v>232.2985731403156</v>
      </c>
      <c r="M134" s="615">
        <v>5</v>
      </c>
      <c r="N134" s="616">
        <v>1161.492865701578</v>
      </c>
    </row>
    <row r="135" spans="1:14" ht="14.4" customHeight="1" x14ac:dyDescent="0.3">
      <c r="A135" s="611" t="s">
        <v>550</v>
      </c>
      <c r="B135" s="612" t="s">
        <v>551</v>
      </c>
      <c r="C135" s="613" t="s">
        <v>563</v>
      </c>
      <c r="D135" s="614" t="s">
        <v>1184</v>
      </c>
      <c r="E135" s="613" t="s">
        <v>569</v>
      </c>
      <c r="F135" s="614" t="s">
        <v>1185</v>
      </c>
      <c r="G135" s="613" t="s">
        <v>570</v>
      </c>
      <c r="H135" s="613" t="s">
        <v>881</v>
      </c>
      <c r="I135" s="613" t="s">
        <v>881</v>
      </c>
      <c r="J135" s="613" t="s">
        <v>572</v>
      </c>
      <c r="K135" s="613" t="s">
        <v>882</v>
      </c>
      <c r="L135" s="615">
        <v>97.180000000000035</v>
      </c>
      <c r="M135" s="615">
        <v>20</v>
      </c>
      <c r="N135" s="616">
        <v>1943.6000000000006</v>
      </c>
    </row>
    <row r="136" spans="1:14" ht="14.4" customHeight="1" x14ac:dyDescent="0.3">
      <c r="A136" s="611" t="s">
        <v>550</v>
      </c>
      <c r="B136" s="612" t="s">
        <v>551</v>
      </c>
      <c r="C136" s="613" t="s">
        <v>563</v>
      </c>
      <c r="D136" s="614" t="s">
        <v>1184</v>
      </c>
      <c r="E136" s="613" t="s">
        <v>569</v>
      </c>
      <c r="F136" s="614" t="s">
        <v>1185</v>
      </c>
      <c r="G136" s="613" t="s">
        <v>570</v>
      </c>
      <c r="H136" s="613" t="s">
        <v>574</v>
      </c>
      <c r="I136" s="613" t="s">
        <v>575</v>
      </c>
      <c r="J136" s="613" t="s">
        <v>576</v>
      </c>
      <c r="K136" s="613" t="s">
        <v>577</v>
      </c>
      <c r="L136" s="615">
        <v>85.6399195911725</v>
      </c>
      <c r="M136" s="615">
        <v>12</v>
      </c>
      <c r="N136" s="616">
        <v>1027.6790350940701</v>
      </c>
    </row>
    <row r="137" spans="1:14" ht="14.4" customHeight="1" x14ac:dyDescent="0.3">
      <c r="A137" s="611" t="s">
        <v>550</v>
      </c>
      <c r="B137" s="612" t="s">
        <v>551</v>
      </c>
      <c r="C137" s="613" t="s">
        <v>563</v>
      </c>
      <c r="D137" s="614" t="s">
        <v>1184</v>
      </c>
      <c r="E137" s="613" t="s">
        <v>569</v>
      </c>
      <c r="F137" s="614" t="s">
        <v>1185</v>
      </c>
      <c r="G137" s="613" t="s">
        <v>570</v>
      </c>
      <c r="H137" s="613" t="s">
        <v>883</v>
      </c>
      <c r="I137" s="613" t="s">
        <v>884</v>
      </c>
      <c r="J137" s="613" t="s">
        <v>885</v>
      </c>
      <c r="K137" s="613" t="s">
        <v>886</v>
      </c>
      <c r="L137" s="615">
        <v>100.28863204051626</v>
      </c>
      <c r="M137" s="615">
        <v>82</v>
      </c>
      <c r="N137" s="616">
        <v>8223.6678273223333</v>
      </c>
    </row>
    <row r="138" spans="1:14" ht="14.4" customHeight="1" x14ac:dyDescent="0.3">
      <c r="A138" s="611" t="s">
        <v>550</v>
      </c>
      <c r="B138" s="612" t="s">
        <v>551</v>
      </c>
      <c r="C138" s="613" t="s">
        <v>563</v>
      </c>
      <c r="D138" s="614" t="s">
        <v>1184</v>
      </c>
      <c r="E138" s="613" t="s">
        <v>569</v>
      </c>
      <c r="F138" s="614" t="s">
        <v>1185</v>
      </c>
      <c r="G138" s="613" t="s">
        <v>570</v>
      </c>
      <c r="H138" s="613" t="s">
        <v>887</v>
      </c>
      <c r="I138" s="613" t="s">
        <v>888</v>
      </c>
      <c r="J138" s="613" t="s">
        <v>889</v>
      </c>
      <c r="K138" s="613" t="s">
        <v>890</v>
      </c>
      <c r="L138" s="615">
        <v>42.480000000000004</v>
      </c>
      <c r="M138" s="615">
        <v>7</v>
      </c>
      <c r="N138" s="616">
        <v>297.36</v>
      </c>
    </row>
    <row r="139" spans="1:14" ht="14.4" customHeight="1" x14ac:dyDescent="0.3">
      <c r="A139" s="611" t="s">
        <v>550</v>
      </c>
      <c r="B139" s="612" t="s">
        <v>551</v>
      </c>
      <c r="C139" s="613" t="s">
        <v>563</v>
      </c>
      <c r="D139" s="614" t="s">
        <v>1184</v>
      </c>
      <c r="E139" s="613" t="s">
        <v>569</v>
      </c>
      <c r="F139" s="614" t="s">
        <v>1185</v>
      </c>
      <c r="G139" s="613" t="s">
        <v>570</v>
      </c>
      <c r="H139" s="613" t="s">
        <v>578</v>
      </c>
      <c r="I139" s="613" t="s">
        <v>579</v>
      </c>
      <c r="J139" s="613" t="s">
        <v>580</v>
      </c>
      <c r="K139" s="613" t="s">
        <v>581</v>
      </c>
      <c r="L139" s="615">
        <v>78.580072686271279</v>
      </c>
      <c r="M139" s="615">
        <v>7</v>
      </c>
      <c r="N139" s="616">
        <v>550.06050880389898</v>
      </c>
    </row>
    <row r="140" spans="1:14" ht="14.4" customHeight="1" x14ac:dyDescent="0.3">
      <c r="A140" s="611" t="s">
        <v>550</v>
      </c>
      <c r="B140" s="612" t="s">
        <v>551</v>
      </c>
      <c r="C140" s="613" t="s">
        <v>563</v>
      </c>
      <c r="D140" s="614" t="s">
        <v>1184</v>
      </c>
      <c r="E140" s="613" t="s">
        <v>569</v>
      </c>
      <c r="F140" s="614" t="s">
        <v>1185</v>
      </c>
      <c r="G140" s="613" t="s">
        <v>570</v>
      </c>
      <c r="H140" s="613" t="s">
        <v>582</v>
      </c>
      <c r="I140" s="613" t="s">
        <v>583</v>
      </c>
      <c r="J140" s="613" t="s">
        <v>584</v>
      </c>
      <c r="K140" s="613" t="s">
        <v>585</v>
      </c>
      <c r="L140" s="615">
        <v>60.057142857142857</v>
      </c>
      <c r="M140" s="615">
        <v>7</v>
      </c>
      <c r="N140" s="616">
        <v>420.4</v>
      </c>
    </row>
    <row r="141" spans="1:14" ht="14.4" customHeight="1" x14ac:dyDescent="0.3">
      <c r="A141" s="611" t="s">
        <v>550</v>
      </c>
      <c r="B141" s="612" t="s">
        <v>551</v>
      </c>
      <c r="C141" s="613" t="s">
        <v>563</v>
      </c>
      <c r="D141" s="614" t="s">
        <v>1184</v>
      </c>
      <c r="E141" s="613" t="s">
        <v>569</v>
      </c>
      <c r="F141" s="614" t="s">
        <v>1185</v>
      </c>
      <c r="G141" s="613" t="s">
        <v>570</v>
      </c>
      <c r="H141" s="613" t="s">
        <v>756</v>
      </c>
      <c r="I141" s="613" t="s">
        <v>757</v>
      </c>
      <c r="J141" s="613" t="s">
        <v>584</v>
      </c>
      <c r="K141" s="613" t="s">
        <v>758</v>
      </c>
      <c r="L141" s="615">
        <v>64.909999999999968</v>
      </c>
      <c r="M141" s="615">
        <v>1</v>
      </c>
      <c r="N141" s="616">
        <v>64.909999999999968</v>
      </c>
    </row>
    <row r="142" spans="1:14" ht="14.4" customHeight="1" x14ac:dyDescent="0.3">
      <c r="A142" s="611" t="s">
        <v>550</v>
      </c>
      <c r="B142" s="612" t="s">
        <v>551</v>
      </c>
      <c r="C142" s="613" t="s">
        <v>563</v>
      </c>
      <c r="D142" s="614" t="s">
        <v>1184</v>
      </c>
      <c r="E142" s="613" t="s">
        <v>569</v>
      </c>
      <c r="F142" s="614" t="s">
        <v>1185</v>
      </c>
      <c r="G142" s="613" t="s">
        <v>570</v>
      </c>
      <c r="H142" s="613" t="s">
        <v>891</v>
      </c>
      <c r="I142" s="613" t="s">
        <v>892</v>
      </c>
      <c r="J142" s="613" t="s">
        <v>893</v>
      </c>
      <c r="K142" s="613" t="s">
        <v>589</v>
      </c>
      <c r="L142" s="615">
        <v>30.734638471562789</v>
      </c>
      <c r="M142" s="615">
        <v>11</v>
      </c>
      <c r="N142" s="616">
        <v>338.08102318719068</v>
      </c>
    </row>
    <row r="143" spans="1:14" ht="14.4" customHeight="1" x14ac:dyDescent="0.3">
      <c r="A143" s="611" t="s">
        <v>550</v>
      </c>
      <c r="B143" s="612" t="s">
        <v>551</v>
      </c>
      <c r="C143" s="613" t="s">
        <v>563</v>
      </c>
      <c r="D143" s="614" t="s">
        <v>1184</v>
      </c>
      <c r="E143" s="613" t="s">
        <v>569</v>
      </c>
      <c r="F143" s="614" t="s">
        <v>1185</v>
      </c>
      <c r="G143" s="613" t="s">
        <v>570</v>
      </c>
      <c r="H143" s="613" t="s">
        <v>894</v>
      </c>
      <c r="I143" s="613" t="s">
        <v>895</v>
      </c>
      <c r="J143" s="613" t="s">
        <v>896</v>
      </c>
      <c r="K143" s="613" t="s">
        <v>897</v>
      </c>
      <c r="L143" s="615">
        <v>28.562725087780638</v>
      </c>
      <c r="M143" s="615">
        <v>36</v>
      </c>
      <c r="N143" s="616">
        <v>1028.258103160103</v>
      </c>
    </row>
    <row r="144" spans="1:14" ht="14.4" customHeight="1" x14ac:dyDescent="0.3">
      <c r="A144" s="611" t="s">
        <v>550</v>
      </c>
      <c r="B144" s="612" t="s">
        <v>551</v>
      </c>
      <c r="C144" s="613" t="s">
        <v>563</v>
      </c>
      <c r="D144" s="614" t="s">
        <v>1184</v>
      </c>
      <c r="E144" s="613" t="s">
        <v>569</v>
      </c>
      <c r="F144" s="614" t="s">
        <v>1185</v>
      </c>
      <c r="G144" s="613" t="s">
        <v>570</v>
      </c>
      <c r="H144" s="613" t="s">
        <v>898</v>
      </c>
      <c r="I144" s="613" t="s">
        <v>899</v>
      </c>
      <c r="J144" s="613" t="s">
        <v>900</v>
      </c>
      <c r="K144" s="613" t="s">
        <v>901</v>
      </c>
      <c r="L144" s="615">
        <v>121.35769230769232</v>
      </c>
      <c r="M144" s="615">
        <v>13</v>
      </c>
      <c r="N144" s="616">
        <v>1577.65</v>
      </c>
    </row>
    <row r="145" spans="1:14" ht="14.4" customHeight="1" x14ac:dyDescent="0.3">
      <c r="A145" s="611" t="s">
        <v>550</v>
      </c>
      <c r="B145" s="612" t="s">
        <v>551</v>
      </c>
      <c r="C145" s="613" t="s">
        <v>563</v>
      </c>
      <c r="D145" s="614" t="s">
        <v>1184</v>
      </c>
      <c r="E145" s="613" t="s">
        <v>569</v>
      </c>
      <c r="F145" s="614" t="s">
        <v>1185</v>
      </c>
      <c r="G145" s="613" t="s">
        <v>570</v>
      </c>
      <c r="H145" s="613" t="s">
        <v>590</v>
      </c>
      <c r="I145" s="613" t="s">
        <v>591</v>
      </c>
      <c r="J145" s="613" t="s">
        <v>592</v>
      </c>
      <c r="K145" s="613" t="s">
        <v>589</v>
      </c>
      <c r="L145" s="615">
        <v>67.232809868424766</v>
      </c>
      <c r="M145" s="615">
        <v>7</v>
      </c>
      <c r="N145" s="616">
        <v>470.62966907897339</v>
      </c>
    </row>
    <row r="146" spans="1:14" ht="14.4" customHeight="1" x14ac:dyDescent="0.3">
      <c r="A146" s="611" t="s">
        <v>550</v>
      </c>
      <c r="B146" s="612" t="s">
        <v>551</v>
      </c>
      <c r="C146" s="613" t="s">
        <v>563</v>
      </c>
      <c r="D146" s="614" t="s">
        <v>1184</v>
      </c>
      <c r="E146" s="613" t="s">
        <v>569</v>
      </c>
      <c r="F146" s="614" t="s">
        <v>1185</v>
      </c>
      <c r="G146" s="613" t="s">
        <v>570</v>
      </c>
      <c r="H146" s="613" t="s">
        <v>902</v>
      </c>
      <c r="I146" s="613" t="s">
        <v>902</v>
      </c>
      <c r="J146" s="613" t="s">
        <v>903</v>
      </c>
      <c r="K146" s="613" t="s">
        <v>904</v>
      </c>
      <c r="L146" s="615">
        <v>38.218522401461044</v>
      </c>
      <c r="M146" s="615">
        <v>28</v>
      </c>
      <c r="N146" s="616">
        <v>1070.1186272409093</v>
      </c>
    </row>
    <row r="147" spans="1:14" ht="14.4" customHeight="1" x14ac:dyDescent="0.3">
      <c r="A147" s="611" t="s">
        <v>550</v>
      </c>
      <c r="B147" s="612" t="s">
        <v>551</v>
      </c>
      <c r="C147" s="613" t="s">
        <v>563</v>
      </c>
      <c r="D147" s="614" t="s">
        <v>1184</v>
      </c>
      <c r="E147" s="613" t="s">
        <v>569</v>
      </c>
      <c r="F147" s="614" t="s">
        <v>1185</v>
      </c>
      <c r="G147" s="613" t="s">
        <v>570</v>
      </c>
      <c r="H147" s="613" t="s">
        <v>905</v>
      </c>
      <c r="I147" s="613" t="s">
        <v>906</v>
      </c>
      <c r="J147" s="613" t="s">
        <v>907</v>
      </c>
      <c r="K147" s="613" t="s">
        <v>908</v>
      </c>
      <c r="L147" s="615">
        <v>339.78771474198146</v>
      </c>
      <c r="M147" s="615">
        <v>4</v>
      </c>
      <c r="N147" s="616">
        <v>1359.1508589679258</v>
      </c>
    </row>
    <row r="148" spans="1:14" ht="14.4" customHeight="1" x14ac:dyDescent="0.3">
      <c r="A148" s="611" t="s">
        <v>550</v>
      </c>
      <c r="B148" s="612" t="s">
        <v>551</v>
      </c>
      <c r="C148" s="613" t="s">
        <v>563</v>
      </c>
      <c r="D148" s="614" t="s">
        <v>1184</v>
      </c>
      <c r="E148" s="613" t="s">
        <v>569</v>
      </c>
      <c r="F148" s="614" t="s">
        <v>1185</v>
      </c>
      <c r="G148" s="613" t="s">
        <v>570</v>
      </c>
      <c r="H148" s="613" t="s">
        <v>593</v>
      </c>
      <c r="I148" s="613" t="s">
        <v>594</v>
      </c>
      <c r="J148" s="613" t="s">
        <v>595</v>
      </c>
      <c r="K148" s="613" t="s">
        <v>596</v>
      </c>
      <c r="L148" s="615">
        <v>331.02759599214772</v>
      </c>
      <c r="M148" s="615">
        <v>28</v>
      </c>
      <c r="N148" s="616">
        <v>9268.772687780136</v>
      </c>
    </row>
    <row r="149" spans="1:14" ht="14.4" customHeight="1" x14ac:dyDescent="0.3">
      <c r="A149" s="611" t="s">
        <v>550</v>
      </c>
      <c r="B149" s="612" t="s">
        <v>551</v>
      </c>
      <c r="C149" s="613" t="s">
        <v>563</v>
      </c>
      <c r="D149" s="614" t="s">
        <v>1184</v>
      </c>
      <c r="E149" s="613" t="s">
        <v>569</v>
      </c>
      <c r="F149" s="614" t="s">
        <v>1185</v>
      </c>
      <c r="G149" s="613" t="s">
        <v>570</v>
      </c>
      <c r="H149" s="613" t="s">
        <v>597</v>
      </c>
      <c r="I149" s="613" t="s">
        <v>598</v>
      </c>
      <c r="J149" s="613" t="s">
        <v>599</v>
      </c>
      <c r="K149" s="613" t="s">
        <v>600</v>
      </c>
      <c r="L149" s="615">
        <v>38.881641678337189</v>
      </c>
      <c r="M149" s="615">
        <v>12</v>
      </c>
      <c r="N149" s="616">
        <v>466.57970014004627</v>
      </c>
    </row>
    <row r="150" spans="1:14" ht="14.4" customHeight="1" x14ac:dyDescent="0.3">
      <c r="A150" s="611" t="s">
        <v>550</v>
      </c>
      <c r="B150" s="612" t="s">
        <v>551</v>
      </c>
      <c r="C150" s="613" t="s">
        <v>563</v>
      </c>
      <c r="D150" s="614" t="s">
        <v>1184</v>
      </c>
      <c r="E150" s="613" t="s">
        <v>569</v>
      </c>
      <c r="F150" s="614" t="s">
        <v>1185</v>
      </c>
      <c r="G150" s="613" t="s">
        <v>570</v>
      </c>
      <c r="H150" s="613" t="s">
        <v>759</v>
      </c>
      <c r="I150" s="613" t="s">
        <v>760</v>
      </c>
      <c r="J150" s="613" t="s">
        <v>761</v>
      </c>
      <c r="K150" s="613" t="s">
        <v>762</v>
      </c>
      <c r="L150" s="615">
        <v>75.212426411871746</v>
      </c>
      <c r="M150" s="615">
        <v>4</v>
      </c>
      <c r="N150" s="616">
        <v>300.84970564748699</v>
      </c>
    </row>
    <row r="151" spans="1:14" ht="14.4" customHeight="1" x14ac:dyDescent="0.3">
      <c r="A151" s="611" t="s">
        <v>550</v>
      </c>
      <c r="B151" s="612" t="s">
        <v>551</v>
      </c>
      <c r="C151" s="613" t="s">
        <v>563</v>
      </c>
      <c r="D151" s="614" t="s">
        <v>1184</v>
      </c>
      <c r="E151" s="613" t="s">
        <v>569</v>
      </c>
      <c r="F151" s="614" t="s">
        <v>1185</v>
      </c>
      <c r="G151" s="613" t="s">
        <v>570</v>
      </c>
      <c r="H151" s="613" t="s">
        <v>909</v>
      </c>
      <c r="I151" s="613" t="s">
        <v>910</v>
      </c>
      <c r="J151" s="613" t="s">
        <v>911</v>
      </c>
      <c r="K151" s="613" t="s">
        <v>912</v>
      </c>
      <c r="L151" s="615">
        <v>87.65</v>
      </c>
      <c r="M151" s="615">
        <v>2</v>
      </c>
      <c r="N151" s="616">
        <v>175.3</v>
      </c>
    </row>
    <row r="152" spans="1:14" ht="14.4" customHeight="1" x14ac:dyDescent="0.3">
      <c r="A152" s="611" t="s">
        <v>550</v>
      </c>
      <c r="B152" s="612" t="s">
        <v>551</v>
      </c>
      <c r="C152" s="613" t="s">
        <v>563</v>
      </c>
      <c r="D152" s="614" t="s">
        <v>1184</v>
      </c>
      <c r="E152" s="613" t="s">
        <v>569</v>
      </c>
      <c r="F152" s="614" t="s">
        <v>1185</v>
      </c>
      <c r="G152" s="613" t="s">
        <v>570</v>
      </c>
      <c r="H152" s="613" t="s">
        <v>913</v>
      </c>
      <c r="I152" s="613" t="s">
        <v>914</v>
      </c>
      <c r="J152" s="613" t="s">
        <v>915</v>
      </c>
      <c r="K152" s="613" t="s">
        <v>916</v>
      </c>
      <c r="L152" s="615">
        <v>68.299999999999983</v>
      </c>
      <c r="M152" s="615">
        <v>1</v>
      </c>
      <c r="N152" s="616">
        <v>68.299999999999983</v>
      </c>
    </row>
    <row r="153" spans="1:14" ht="14.4" customHeight="1" x14ac:dyDescent="0.3">
      <c r="A153" s="611" t="s">
        <v>550</v>
      </c>
      <c r="B153" s="612" t="s">
        <v>551</v>
      </c>
      <c r="C153" s="613" t="s">
        <v>563</v>
      </c>
      <c r="D153" s="614" t="s">
        <v>1184</v>
      </c>
      <c r="E153" s="613" t="s">
        <v>569</v>
      </c>
      <c r="F153" s="614" t="s">
        <v>1185</v>
      </c>
      <c r="G153" s="613" t="s">
        <v>570</v>
      </c>
      <c r="H153" s="613" t="s">
        <v>917</v>
      </c>
      <c r="I153" s="613" t="s">
        <v>918</v>
      </c>
      <c r="J153" s="613" t="s">
        <v>919</v>
      </c>
      <c r="K153" s="613" t="s">
        <v>920</v>
      </c>
      <c r="L153" s="615">
        <v>392.89013719819894</v>
      </c>
      <c r="M153" s="615">
        <v>7</v>
      </c>
      <c r="N153" s="616">
        <v>2750.2309603873928</v>
      </c>
    </row>
    <row r="154" spans="1:14" ht="14.4" customHeight="1" x14ac:dyDescent="0.3">
      <c r="A154" s="611" t="s">
        <v>550</v>
      </c>
      <c r="B154" s="612" t="s">
        <v>551</v>
      </c>
      <c r="C154" s="613" t="s">
        <v>563</v>
      </c>
      <c r="D154" s="614" t="s">
        <v>1184</v>
      </c>
      <c r="E154" s="613" t="s">
        <v>569</v>
      </c>
      <c r="F154" s="614" t="s">
        <v>1185</v>
      </c>
      <c r="G154" s="613" t="s">
        <v>570</v>
      </c>
      <c r="H154" s="613" t="s">
        <v>601</v>
      </c>
      <c r="I154" s="613" t="s">
        <v>210</v>
      </c>
      <c r="J154" s="613" t="s">
        <v>602</v>
      </c>
      <c r="K154" s="613"/>
      <c r="L154" s="615">
        <v>97.320304073986719</v>
      </c>
      <c r="M154" s="615">
        <v>53</v>
      </c>
      <c r="N154" s="616">
        <v>5157.9761159212958</v>
      </c>
    </row>
    <row r="155" spans="1:14" ht="14.4" customHeight="1" x14ac:dyDescent="0.3">
      <c r="A155" s="611" t="s">
        <v>550</v>
      </c>
      <c r="B155" s="612" t="s">
        <v>551</v>
      </c>
      <c r="C155" s="613" t="s">
        <v>563</v>
      </c>
      <c r="D155" s="614" t="s">
        <v>1184</v>
      </c>
      <c r="E155" s="613" t="s">
        <v>569</v>
      </c>
      <c r="F155" s="614" t="s">
        <v>1185</v>
      </c>
      <c r="G155" s="613" t="s">
        <v>570</v>
      </c>
      <c r="H155" s="613" t="s">
        <v>921</v>
      </c>
      <c r="I155" s="613" t="s">
        <v>922</v>
      </c>
      <c r="J155" s="613" t="s">
        <v>923</v>
      </c>
      <c r="K155" s="613"/>
      <c r="L155" s="615">
        <v>139.76333593000538</v>
      </c>
      <c r="M155" s="615">
        <v>37</v>
      </c>
      <c r="N155" s="616">
        <v>5171.2434294101995</v>
      </c>
    </row>
    <row r="156" spans="1:14" ht="14.4" customHeight="1" x14ac:dyDescent="0.3">
      <c r="A156" s="611" t="s">
        <v>550</v>
      </c>
      <c r="B156" s="612" t="s">
        <v>551</v>
      </c>
      <c r="C156" s="613" t="s">
        <v>563</v>
      </c>
      <c r="D156" s="614" t="s">
        <v>1184</v>
      </c>
      <c r="E156" s="613" t="s">
        <v>569</v>
      </c>
      <c r="F156" s="614" t="s">
        <v>1185</v>
      </c>
      <c r="G156" s="613" t="s">
        <v>570</v>
      </c>
      <c r="H156" s="613" t="s">
        <v>924</v>
      </c>
      <c r="I156" s="613" t="s">
        <v>925</v>
      </c>
      <c r="J156" s="613" t="s">
        <v>926</v>
      </c>
      <c r="K156" s="613" t="s">
        <v>927</v>
      </c>
      <c r="L156" s="615">
        <v>667.47</v>
      </c>
      <c r="M156" s="615">
        <v>1</v>
      </c>
      <c r="N156" s="616">
        <v>667.47</v>
      </c>
    </row>
    <row r="157" spans="1:14" ht="14.4" customHeight="1" x14ac:dyDescent="0.3">
      <c r="A157" s="611" t="s">
        <v>550</v>
      </c>
      <c r="B157" s="612" t="s">
        <v>551</v>
      </c>
      <c r="C157" s="613" t="s">
        <v>563</v>
      </c>
      <c r="D157" s="614" t="s">
        <v>1184</v>
      </c>
      <c r="E157" s="613" t="s">
        <v>569</v>
      </c>
      <c r="F157" s="614" t="s">
        <v>1185</v>
      </c>
      <c r="G157" s="613" t="s">
        <v>570</v>
      </c>
      <c r="H157" s="613" t="s">
        <v>767</v>
      </c>
      <c r="I157" s="613" t="s">
        <v>768</v>
      </c>
      <c r="J157" s="613" t="s">
        <v>607</v>
      </c>
      <c r="K157" s="613" t="s">
        <v>769</v>
      </c>
      <c r="L157" s="615">
        <v>68.222999999999999</v>
      </c>
      <c r="M157" s="615">
        <v>5</v>
      </c>
      <c r="N157" s="616">
        <v>341.11500000000001</v>
      </c>
    </row>
    <row r="158" spans="1:14" ht="14.4" customHeight="1" x14ac:dyDescent="0.3">
      <c r="A158" s="611" t="s">
        <v>550</v>
      </c>
      <c r="B158" s="612" t="s">
        <v>551</v>
      </c>
      <c r="C158" s="613" t="s">
        <v>563</v>
      </c>
      <c r="D158" s="614" t="s">
        <v>1184</v>
      </c>
      <c r="E158" s="613" t="s">
        <v>569</v>
      </c>
      <c r="F158" s="614" t="s">
        <v>1185</v>
      </c>
      <c r="G158" s="613" t="s">
        <v>570</v>
      </c>
      <c r="H158" s="613" t="s">
        <v>770</v>
      </c>
      <c r="I158" s="613" t="s">
        <v>771</v>
      </c>
      <c r="J158" s="613" t="s">
        <v>772</v>
      </c>
      <c r="K158" s="613" t="s">
        <v>773</v>
      </c>
      <c r="L158" s="615">
        <v>218.17798156072317</v>
      </c>
      <c r="M158" s="615">
        <v>14</v>
      </c>
      <c r="N158" s="616">
        <v>3054.4917418501245</v>
      </c>
    </row>
    <row r="159" spans="1:14" ht="14.4" customHeight="1" x14ac:dyDescent="0.3">
      <c r="A159" s="611" t="s">
        <v>550</v>
      </c>
      <c r="B159" s="612" t="s">
        <v>551</v>
      </c>
      <c r="C159" s="613" t="s">
        <v>563</v>
      </c>
      <c r="D159" s="614" t="s">
        <v>1184</v>
      </c>
      <c r="E159" s="613" t="s">
        <v>569</v>
      </c>
      <c r="F159" s="614" t="s">
        <v>1185</v>
      </c>
      <c r="G159" s="613" t="s">
        <v>570</v>
      </c>
      <c r="H159" s="613" t="s">
        <v>609</v>
      </c>
      <c r="I159" s="613" t="s">
        <v>210</v>
      </c>
      <c r="J159" s="613" t="s">
        <v>610</v>
      </c>
      <c r="K159" s="613"/>
      <c r="L159" s="615">
        <v>35.651910658470904</v>
      </c>
      <c r="M159" s="615">
        <v>2226</v>
      </c>
      <c r="N159" s="616">
        <v>79361.153125756231</v>
      </c>
    </row>
    <row r="160" spans="1:14" ht="14.4" customHeight="1" x14ac:dyDescent="0.3">
      <c r="A160" s="611" t="s">
        <v>550</v>
      </c>
      <c r="B160" s="612" t="s">
        <v>551</v>
      </c>
      <c r="C160" s="613" t="s">
        <v>563</v>
      </c>
      <c r="D160" s="614" t="s">
        <v>1184</v>
      </c>
      <c r="E160" s="613" t="s">
        <v>569</v>
      </c>
      <c r="F160" s="614" t="s">
        <v>1185</v>
      </c>
      <c r="G160" s="613" t="s">
        <v>570</v>
      </c>
      <c r="H160" s="613" t="s">
        <v>611</v>
      </c>
      <c r="I160" s="613" t="s">
        <v>612</v>
      </c>
      <c r="J160" s="613" t="s">
        <v>580</v>
      </c>
      <c r="K160" s="613" t="s">
        <v>613</v>
      </c>
      <c r="L160" s="615">
        <v>43.965860007993882</v>
      </c>
      <c r="M160" s="615">
        <v>12</v>
      </c>
      <c r="N160" s="616">
        <v>527.59032009592659</v>
      </c>
    </row>
    <row r="161" spans="1:14" ht="14.4" customHeight="1" x14ac:dyDescent="0.3">
      <c r="A161" s="611" t="s">
        <v>550</v>
      </c>
      <c r="B161" s="612" t="s">
        <v>551</v>
      </c>
      <c r="C161" s="613" t="s">
        <v>563</v>
      </c>
      <c r="D161" s="614" t="s">
        <v>1184</v>
      </c>
      <c r="E161" s="613" t="s">
        <v>569</v>
      </c>
      <c r="F161" s="614" t="s">
        <v>1185</v>
      </c>
      <c r="G161" s="613" t="s">
        <v>570</v>
      </c>
      <c r="H161" s="613" t="s">
        <v>928</v>
      </c>
      <c r="I161" s="613" t="s">
        <v>929</v>
      </c>
      <c r="J161" s="613" t="s">
        <v>930</v>
      </c>
      <c r="K161" s="613" t="s">
        <v>577</v>
      </c>
      <c r="L161" s="615">
        <v>124.64313004382083</v>
      </c>
      <c r="M161" s="615">
        <v>10</v>
      </c>
      <c r="N161" s="616">
        <v>1246.4313004382084</v>
      </c>
    </row>
    <row r="162" spans="1:14" ht="14.4" customHeight="1" x14ac:dyDescent="0.3">
      <c r="A162" s="611" t="s">
        <v>550</v>
      </c>
      <c r="B162" s="612" t="s">
        <v>551</v>
      </c>
      <c r="C162" s="613" t="s">
        <v>563</v>
      </c>
      <c r="D162" s="614" t="s">
        <v>1184</v>
      </c>
      <c r="E162" s="613" t="s">
        <v>569</v>
      </c>
      <c r="F162" s="614" t="s">
        <v>1185</v>
      </c>
      <c r="G162" s="613" t="s">
        <v>570</v>
      </c>
      <c r="H162" s="613" t="s">
        <v>931</v>
      </c>
      <c r="I162" s="613" t="s">
        <v>932</v>
      </c>
      <c r="J162" s="613" t="s">
        <v>933</v>
      </c>
      <c r="K162" s="613" t="s">
        <v>934</v>
      </c>
      <c r="L162" s="615">
        <v>375.57447029372184</v>
      </c>
      <c r="M162" s="615">
        <v>5</v>
      </c>
      <c r="N162" s="616">
        <v>1877.8723514686092</v>
      </c>
    </row>
    <row r="163" spans="1:14" ht="14.4" customHeight="1" x14ac:dyDescent="0.3">
      <c r="A163" s="611" t="s">
        <v>550</v>
      </c>
      <c r="B163" s="612" t="s">
        <v>551</v>
      </c>
      <c r="C163" s="613" t="s">
        <v>563</v>
      </c>
      <c r="D163" s="614" t="s">
        <v>1184</v>
      </c>
      <c r="E163" s="613" t="s">
        <v>569</v>
      </c>
      <c r="F163" s="614" t="s">
        <v>1185</v>
      </c>
      <c r="G163" s="613" t="s">
        <v>570</v>
      </c>
      <c r="H163" s="613" t="s">
        <v>618</v>
      </c>
      <c r="I163" s="613" t="s">
        <v>619</v>
      </c>
      <c r="J163" s="613" t="s">
        <v>620</v>
      </c>
      <c r="K163" s="613" t="s">
        <v>621</v>
      </c>
      <c r="L163" s="615">
        <v>74.999999999999986</v>
      </c>
      <c r="M163" s="615">
        <v>5</v>
      </c>
      <c r="N163" s="616">
        <v>374.99999999999994</v>
      </c>
    </row>
    <row r="164" spans="1:14" ht="14.4" customHeight="1" x14ac:dyDescent="0.3">
      <c r="A164" s="611" t="s">
        <v>550</v>
      </c>
      <c r="B164" s="612" t="s">
        <v>551</v>
      </c>
      <c r="C164" s="613" t="s">
        <v>563</v>
      </c>
      <c r="D164" s="614" t="s">
        <v>1184</v>
      </c>
      <c r="E164" s="613" t="s">
        <v>569</v>
      </c>
      <c r="F164" s="614" t="s">
        <v>1185</v>
      </c>
      <c r="G164" s="613" t="s">
        <v>570</v>
      </c>
      <c r="H164" s="613" t="s">
        <v>774</v>
      </c>
      <c r="I164" s="613" t="s">
        <v>775</v>
      </c>
      <c r="J164" s="613" t="s">
        <v>776</v>
      </c>
      <c r="K164" s="613" t="s">
        <v>777</v>
      </c>
      <c r="L164" s="615">
        <v>50.259975589437296</v>
      </c>
      <c r="M164" s="615">
        <v>6</v>
      </c>
      <c r="N164" s="616">
        <v>301.55985353662379</v>
      </c>
    </row>
    <row r="165" spans="1:14" ht="14.4" customHeight="1" x14ac:dyDescent="0.3">
      <c r="A165" s="611" t="s">
        <v>550</v>
      </c>
      <c r="B165" s="612" t="s">
        <v>551</v>
      </c>
      <c r="C165" s="613" t="s">
        <v>563</v>
      </c>
      <c r="D165" s="614" t="s">
        <v>1184</v>
      </c>
      <c r="E165" s="613" t="s">
        <v>569</v>
      </c>
      <c r="F165" s="614" t="s">
        <v>1185</v>
      </c>
      <c r="G165" s="613" t="s">
        <v>570</v>
      </c>
      <c r="H165" s="613" t="s">
        <v>935</v>
      </c>
      <c r="I165" s="613" t="s">
        <v>935</v>
      </c>
      <c r="J165" s="613" t="s">
        <v>936</v>
      </c>
      <c r="K165" s="613" t="s">
        <v>878</v>
      </c>
      <c r="L165" s="615">
        <v>301.64999999999998</v>
      </c>
      <c r="M165" s="615">
        <v>1</v>
      </c>
      <c r="N165" s="616">
        <v>301.64999999999998</v>
      </c>
    </row>
    <row r="166" spans="1:14" ht="14.4" customHeight="1" x14ac:dyDescent="0.3">
      <c r="A166" s="611" t="s">
        <v>550</v>
      </c>
      <c r="B166" s="612" t="s">
        <v>551</v>
      </c>
      <c r="C166" s="613" t="s">
        <v>563</v>
      </c>
      <c r="D166" s="614" t="s">
        <v>1184</v>
      </c>
      <c r="E166" s="613" t="s">
        <v>569</v>
      </c>
      <c r="F166" s="614" t="s">
        <v>1185</v>
      </c>
      <c r="G166" s="613" t="s">
        <v>570</v>
      </c>
      <c r="H166" s="613" t="s">
        <v>937</v>
      </c>
      <c r="I166" s="613" t="s">
        <v>938</v>
      </c>
      <c r="J166" s="613" t="s">
        <v>939</v>
      </c>
      <c r="K166" s="613" t="s">
        <v>758</v>
      </c>
      <c r="L166" s="615">
        <v>41.505723217799314</v>
      </c>
      <c r="M166" s="615">
        <v>7</v>
      </c>
      <c r="N166" s="616">
        <v>290.54006252459521</v>
      </c>
    </row>
    <row r="167" spans="1:14" ht="14.4" customHeight="1" x14ac:dyDescent="0.3">
      <c r="A167" s="611" t="s">
        <v>550</v>
      </c>
      <c r="B167" s="612" t="s">
        <v>551</v>
      </c>
      <c r="C167" s="613" t="s">
        <v>563</v>
      </c>
      <c r="D167" s="614" t="s">
        <v>1184</v>
      </c>
      <c r="E167" s="613" t="s">
        <v>569</v>
      </c>
      <c r="F167" s="614" t="s">
        <v>1185</v>
      </c>
      <c r="G167" s="613" t="s">
        <v>570</v>
      </c>
      <c r="H167" s="613" t="s">
        <v>940</v>
      </c>
      <c r="I167" s="613" t="s">
        <v>941</v>
      </c>
      <c r="J167" s="613" t="s">
        <v>629</v>
      </c>
      <c r="K167" s="613" t="s">
        <v>942</v>
      </c>
      <c r="L167" s="615">
        <v>266.57</v>
      </c>
      <c r="M167" s="615">
        <v>2</v>
      </c>
      <c r="N167" s="616">
        <v>533.14</v>
      </c>
    </row>
    <row r="168" spans="1:14" ht="14.4" customHeight="1" x14ac:dyDescent="0.3">
      <c r="A168" s="611" t="s">
        <v>550</v>
      </c>
      <c r="B168" s="612" t="s">
        <v>551</v>
      </c>
      <c r="C168" s="613" t="s">
        <v>563</v>
      </c>
      <c r="D168" s="614" t="s">
        <v>1184</v>
      </c>
      <c r="E168" s="613" t="s">
        <v>569</v>
      </c>
      <c r="F168" s="614" t="s">
        <v>1185</v>
      </c>
      <c r="G168" s="613" t="s">
        <v>570</v>
      </c>
      <c r="H168" s="613" t="s">
        <v>943</v>
      </c>
      <c r="I168" s="613" t="s">
        <v>944</v>
      </c>
      <c r="J168" s="613" t="s">
        <v>945</v>
      </c>
      <c r="K168" s="613" t="s">
        <v>946</v>
      </c>
      <c r="L168" s="615">
        <v>269.09999999999991</v>
      </c>
      <c r="M168" s="615">
        <v>4</v>
      </c>
      <c r="N168" s="616">
        <v>1076.3999999999996</v>
      </c>
    </row>
    <row r="169" spans="1:14" ht="14.4" customHeight="1" x14ac:dyDescent="0.3">
      <c r="A169" s="611" t="s">
        <v>550</v>
      </c>
      <c r="B169" s="612" t="s">
        <v>551</v>
      </c>
      <c r="C169" s="613" t="s">
        <v>563</v>
      </c>
      <c r="D169" s="614" t="s">
        <v>1184</v>
      </c>
      <c r="E169" s="613" t="s">
        <v>569</v>
      </c>
      <c r="F169" s="614" t="s">
        <v>1185</v>
      </c>
      <c r="G169" s="613" t="s">
        <v>570</v>
      </c>
      <c r="H169" s="613" t="s">
        <v>947</v>
      </c>
      <c r="I169" s="613" t="s">
        <v>948</v>
      </c>
      <c r="J169" s="613" t="s">
        <v>949</v>
      </c>
      <c r="K169" s="613" t="s">
        <v>950</v>
      </c>
      <c r="L169" s="615">
        <v>1097.2101948727368</v>
      </c>
      <c r="M169" s="615">
        <v>27</v>
      </c>
      <c r="N169" s="616">
        <v>29624.675261563891</v>
      </c>
    </row>
    <row r="170" spans="1:14" ht="14.4" customHeight="1" x14ac:dyDescent="0.3">
      <c r="A170" s="611" t="s">
        <v>550</v>
      </c>
      <c r="B170" s="612" t="s">
        <v>551</v>
      </c>
      <c r="C170" s="613" t="s">
        <v>563</v>
      </c>
      <c r="D170" s="614" t="s">
        <v>1184</v>
      </c>
      <c r="E170" s="613" t="s">
        <v>569</v>
      </c>
      <c r="F170" s="614" t="s">
        <v>1185</v>
      </c>
      <c r="G170" s="613" t="s">
        <v>570</v>
      </c>
      <c r="H170" s="613" t="s">
        <v>951</v>
      </c>
      <c r="I170" s="613" t="s">
        <v>952</v>
      </c>
      <c r="J170" s="613" t="s">
        <v>953</v>
      </c>
      <c r="K170" s="613" t="s">
        <v>954</v>
      </c>
      <c r="L170" s="615">
        <v>52.410000000000004</v>
      </c>
      <c r="M170" s="615">
        <v>1</v>
      </c>
      <c r="N170" s="616">
        <v>52.410000000000004</v>
      </c>
    </row>
    <row r="171" spans="1:14" ht="14.4" customHeight="1" x14ac:dyDescent="0.3">
      <c r="A171" s="611" t="s">
        <v>550</v>
      </c>
      <c r="B171" s="612" t="s">
        <v>551</v>
      </c>
      <c r="C171" s="613" t="s">
        <v>563</v>
      </c>
      <c r="D171" s="614" t="s">
        <v>1184</v>
      </c>
      <c r="E171" s="613" t="s">
        <v>569</v>
      </c>
      <c r="F171" s="614" t="s">
        <v>1185</v>
      </c>
      <c r="G171" s="613" t="s">
        <v>570</v>
      </c>
      <c r="H171" s="613" t="s">
        <v>955</v>
      </c>
      <c r="I171" s="613" t="s">
        <v>956</v>
      </c>
      <c r="J171" s="613" t="s">
        <v>957</v>
      </c>
      <c r="K171" s="613" t="s">
        <v>958</v>
      </c>
      <c r="L171" s="615">
        <v>59.667726198978357</v>
      </c>
      <c r="M171" s="615">
        <v>12</v>
      </c>
      <c r="N171" s="616">
        <v>716.01271438774029</v>
      </c>
    </row>
    <row r="172" spans="1:14" ht="14.4" customHeight="1" x14ac:dyDescent="0.3">
      <c r="A172" s="611" t="s">
        <v>550</v>
      </c>
      <c r="B172" s="612" t="s">
        <v>551</v>
      </c>
      <c r="C172" s="613" t="s">
        <v>563</v>
      </c>
      <c r="D172" s="614" t="s">
        <v>1184</v>
      </c>
      <c r="E172" s="613" t="s">
        <v>569</v>
      </c>
      <c r="F172" s="614" t="s">
        <v>1185</v>
      </c>
      <c r="G172" s="613" t="s">
        <v>570</v>
      </c>
      <c r="H172" s="613" t="s">
        <v>624</v>
      </c>
      <c r="I172" s="613" t="s">
        <v>624</v>
      </c>
      <c r="J172" s="613" t="s">
        <v>625</v>
      </c>
      <c r="K172" s="613" t="s">
        <v>626</v>
      </c>
      <c r="L172" s="615">
        <v>75.658383209318032</v>
      </c>
      <c r="M172" s="615">
        <v>12</v>
      </c>
      <c r="N172" s="616">
        <v>907.90059851181638</v>
      </c>
    </row>
    <row r="173" spans="1:14" ht="14.4" customHeight="1" x14ac:dyDescent="0.3">
      <c r="A173" s="611" t="s">
        <v>550</v>
      </c>
      <c r="B173" s="612" t="s">
        <v>551</v>
      </c>
      <c r="C173" s="613" t="s">
        <v>563</v>
      </c>
      <c r="D173" s="614" t="s">
        <v>1184</v>
      </c>
      <c r="E173" s="613" t="s">
        <v>569</v>
      </c>
      <c r="F173" s="614" t="s">
        <v>1185</v>
      </c>
      <c r="G173" s="613" t="s">
        <v>570</v>
      </c>
      <c r="H173" s="613" t="s">
        <v>627</v>
      </c>
      <c r="I173" s="613" t="s">
        <v>628</v>
      </c>
      <c r="J173" s="613" t="s">
        <v>629</v>
      </c>
      <c r="K173" s="613" t="s">
        <v>630</v>
      </c>
      <c r="L173" s="615">
        <v>64.516127072932662</v>
      </c>
      <c r="M173" s="615">
        <v>111</v>
      </c>
      <c r="N173" s="616">
        <v>7161.2901050955261</v>
      </c>
    </row>
    <row r="174" spans="1:14" ht="14.4" customHeight="1" x14ac:dyDescent="0.3">
      <c r="A174" s="611" t="s">
        <v>550</v>
      </c>
      <c r="B174" s="612" t="s">
        <v>551</v>
      </c>
      <c r="C174" s="613" t="s">
        <v>563</v>
      </c>
      <c r="D174" s="614" t="s">
        <v>1184</v>
      </c>
      <c r="E174" s="613" t="s">
        <v>569</v>
      </c>
      <c r="F174" s="614" t="s">
        <v>1185</v>
      </c>
      <c r="G174" s="613" t="s">
        <v>570</v>
      </c>
      <c r="H174" s="613" t="s">
        <v>631</v>
      </c>
      <c r="I174" s="613" t="s">
        <v>210</v>
      </c>
      <c r="J174" s="613" t="s">
        <v>632</v>
      </c>
      <c r="K174" s="613" t="s">
        <v>633</v>
      </c>
      <c r="L174" s="615">
        <v>23.700000000000003</v>
      </c>
      <c r="M174" s="615">
        <v>584</v>
      </c>
      <c r="N174" s="616">
        <v>13840.800000000001</v>
      </c>
    </row>
    <row r="175" spans="1:14" ht="14.4" customHeight="1" x14ac:dyDescent="0.3">
      <c r="A175" s="611" t="s">
        <v>550</v>
      </c>
      <c r="B175" s="612" t="s">
        <v>551</v>
      </c>
      <c r="C175" s="613" t="s">
        <v>563</v>
      </c>
      <c r="D175" s="614" t="s">
        <v>1184</v>
      </c>
      <c r="E175" s="613" t="s">
        <v>569</v>
      </c>
      <c r="F175" s="614" t="s">
        <v>1185</v>
      </c>
      <c r="G175" s="613" t="s">
        <v>570</v>
      </c>
      <c r="H175" s="613" t="s">
        <v>634</v>
      </c>
      <c r="I175" s="613" t="s">
        <v>210</v>
      </c>
      <c r="J175" s="613" t="s">
        <v>635</v>
      </c>
      <c r="K175" s="613" t="s">
        <v>633</v>
      </c>
      <c r="L175" s="615">
        <v>24.037194261613507</v>
      </c>
      <c r="M175" s="615">
        <v>54</v>
      </c>
      <c r="N175" s="616">
        <v>1298.0084901271293</v>
      </c>
    </row>
    <row r="176" spans="1:14" ht="14.4" customHeight="1" x14ac:dyDescent="0.3">
      <c r="A176" s="611" t="s">
        <v>550</v>
      </c>
      <c r="B176" s="612" t="s">
        <v>551</v>
      </c>
      <c r="C176" s="613" t="s">
        <v>563</v>
      </c>
      <c r="D176" s="614" t="s">
        <v>1184</v>
      </c>
      <c r="E176" s="613" t="s">
        <v>569</v>
      </c>
      <c r="F176" s="614" t="s">
        <v>1185</v>
      </c>
      <c r="G176" s="613" t="s">
        <v>570</v>
      </c>
      <c r="H176" s="613" t="s">
        <v>959</v>
      </c>
      <c r="I176" s="613" t="s">
        <v>960</v>
      </c>
      <c r="J176" s="613" t="s">
        <v>961</v>
      </c>
      <c r="K176" s="613" t="s">
        <v>962</v>
      </c>
      <c r="L176" s="615">
        <v>31.949999999999992</v>
      </c>
      <c r="M176" s="615">
        <v>1</v>
      </c>
      <c r="N176" s="616">
        <v>31.949999999999992</v>
      </c>
    </row>
    <row r="177" spans="1:14" ht="14.4" customHeight="1" x14ac:dyDescent="0.3">
      <c r="A177" s="611" t="s">
        <v>550</v>
      </c>
      <c r="B177" s="612" t="s">
        <v>551</v>
      </c>
      <c r="C177" s="613" t="s">
        <v>563</v>
      </c>
      <c r="D177" s="614" t="s">
        <v>1184</v>
      </c>
      <c r="E177" s="613" t="s">
        <v>569</v>
      </c>
      <c r="F177" s="614" t="s">
        <v>1185</v>
      </c>
      <c r="G177" s="613" t="s">
        <v>570</v>
      </c>
      <c r="H177" s="613" t="s">
        <v>963</v>
      </c>
      <c r="I177" s="613" t="s">
        <v>964</v>
      </c>
      <c r="J177" s="613" t="s">
        <v>965</v>
      </c>
      <c r="K177" s="613" t="s">
        <v>966</v>
      </c>
      <c r="L177" s="615">
        <v>22.130000000000003</v>
      </c>
      <c r="M177" s="615">
        <v>60</v>
      </c>
      <c r="N177" s="616">
        <v>1327.8000000000002</v>
      </c>
    </row>
    <row r="178" spans="1:14" ht="14.4" customHeight="1" x14ac:dyDescent="0.3">
      <c r="A178" s="611" t="s">
        <v>550</v>
      </c>
      <c r="B178" s="612" t="s">
        <v>551</v>
      </c>
      <c r="C178" s="613" t="s">
        <v>563</v>
      </c>
      <c r="D178" s="614" t="s">
        <v>1184</v>
      </c>
      <c r="E178" s="613" t="s">
        <v>569</v>
      </c>
      <c r="F178" s="614" t="s">
        <v>1185</v>
      </c>
      <c r="G178" s="613" t="s">
        <v>570</v>
      </c>
      <c r="H178" s="613" t="s">
        <v>967</v>
      </c>
      <c r="I178" s="613" t="s">
        <v>968</v>
      </c>
      <c r="J178" s="613" t="s">
        <v>969</v>
      </c>
      <c r="K178" s="613" t="s">
        <v>966</v>
      </c>
      <c r="L178" s="615">
        <v>38.939999999999991</v>
      </c>
      <c r="M178" s="615">
        <v>30</v>
      </c>
      <c r="N178" s="616">
        <v>1168.1999999999998</v>
      </c>
    </row>
    <row r="179" spans="1:14" ht="14.4" customHeight="1" x14ac:dyDescent="0.3">
      <c r="A179" s="611" t="s">
        <v>550</v>
      </c>
      <c r="B179" s="612" t="s">
        <v>551</v>
      </c>
      <c r="C179" s="613" t="s">
        <v>563</v>
      </c>
      <c r="D179" s="614" t="s">
        <v>1184</v>
      </c>
      <c r="E179" s="613" t="s">
        <v>569</v>
      </c>
      <c r="F179" s="614" t="s">
        <v>1185</v>
      </c>
      <c r="G179" s="613" t="s">
        <v>570</v>
      </c>
      <c r="H179" s="613" t="s">
        <v>780</v>
      </c>
      <c r="I179" s="613" t="s">
        <v>781</v>
      </c>
      <c r="J179" s="613" t="s">
        <v>782</v>
      </c>
      <c r="K179" s="613" t="s">
        <v>783</v>
      </c>
      <c r="L179" s="615">
        <v>34.451999999999998</v>
      </c>
      <c r="M179" s="615">
        <v>5</v>
      </c>
      <c r="N179" s="616">
        <v>172.26</v>
      </c>
    </row>
    <row r="180" spans="1:14" ht="14.4" customHeight="1" x14ac:dyDescent="0.3">
      <c r="A180" s="611" t="s">
        <v>550</v>
      </c>
      <c r="B180" s="612" t="s">
        <v>551</v>
      </c>
      <c r="C180" s="613" t="s">
        <v>563</v>
      </c>
      <c r="D180" s="614" t="s">
        <v>1184</v>
      </c>
      <c r="E180" s="613" t="s">
        <v>569</v>
      </c>
      <c r="F180" s="614" t="s">
        <v>1185</v>
      </c>
      <c r="G180" s="613" t="s">
        <v>570</v>
      </c>
      <c r="H180" s="613" t="s">
        <v>636</v>
      </c>
      <c r="I180" s="613" t="s">
        <v>210</v>
      </c>
      <c r="J180" s="613" t="s">
        <v>637</v>
      </c>
      <c r="K180" s="613" t="s">
        <v>638</v>
      </c>
      <c r="L180" s="615">
        <v>199.67000000000004</v>
      </c>
      <c r="M180" s="615">
        <v>3</v>
      </c>
      <c r="N180" s="616">
        <v>599.0100000000001</v>
      </c>
    </row>
    <row r="181" spans="1:14" ht="14.4" customHeight="1" x14ac:dyDescent="0.3">
      <c r="A181" s="611" t="s">
        <v>550</v>
      </c>
      <c r="B181" s="612" t="s">
        <v>551</v>
      </c>
      <c r="C181" s="613" t="s">
        <v>563</v>
      </c>
      <c r="D181" s="614" t="s">
        <v>1184</v>
      </c>
      <c r="E181" s="613" t="s">
        <v>569</v>
      </c>
      <c r="F181" s="614" t="s">
        <v>1185</v>
      </c>
      <c r="G181" s="613" t="s">
        <v>570</v>
      </c>
      <c r="H181" s="613" t="s">
        <v>784</v>
      </c>
      <c r="I181" s="613" t="s">
        <v>785</v>
      </c>
      <c r="J181" s="613" t="s">
        <v>786</v>
      </c>
      <c r="K181" s="613" t="s">
        <v>787</v>
      </c>
      <c r="L181" s="615">
        <v>74.120985392622615</v>
      </c>
      <c r="M181" s="615">
        <v>11</v>
      </c>
      <c r="N181" s="616">
        <v>815.33083931884869</v>
      </c>
    </row>
    <row r="182" spans="1:14" ht="14.4" customHeight="1" x14ac:dyDescent="0.3">
      <c r="A182" s="611" t="s">
        <v>550</v>
      </c>
      <c r="B182" s="612" t="s">
        <v>551</v>
      </c>
      <c r="C182" s="613" t="s">
        <v>563</v>
      </c>
      <c r="D182" s="614" t="s">
        <v>1184</v>
      </c>
      <c r="E182" s="613" t="s">
        <v>569</v>
      </c>
      <c r="F182" s="614" t="s">
        <v>1185</v>
      </c>
      <c r="G182" s="613" t="s">
        <v>570</v>
      </c>
      <c r="H182" s="613" t="s">
        <v>970</v>
      </c>
      <c r="I182" s="613" t="s">
        <v>971</v>
      </c>
      <c r="J182" s="613" t="s">
        <v>972</v>
      </c>
      <c r="K182" s="613" t="s">
        <v>973</v>
      </c>
      <c r="L182" s="615">
        <v>53.15</v>
      </c>
      <c r="M182" s="615">
        <v>1</v>
      </c>
      <c r="N182" s="616">
        <v>53.15</v>
      </c>
    </row>
    <row r="183" spans="1:14" ht="14.4" customHeight="1" x14ac:dyDescent="0.3">
      <c r="A183" s="611" t="s">
        <v>550</v>
      </c>
      <c r="B183" s="612" t="s">
        <v>551</v>
      </c>
      <c r="C183" s="613" t="s">
        <v>563</v>
      </c>
      <c r="D183" s="614" t="s">
        <v>1184</v>
      </c>
      <c r="E183" s="613" t="s">
        <v>569</v>
      </c>
      <c r="F183" s="614" t="s">
        <v>1185</v>
      </c>
      <c r="G183" s="613" t="s">
        <v>570</v>
      </c>
      <c r="H183" s="613" t="s">
        <v>788</v>
      </c>
      <c r="I183" s="613" t="s">
        <v>789</v>
      </c>
      <c r="J183" s="613" t="s">
        <v>661</v>
      </c>
      <c r="K183" s="613" t="s">
        <v>790</v>
      </c>
      <c r="L183" s="615">
        <v>162.40712390969287</v>
      </c>
      <c r="M183" s="615">
        <v>7</v>
      </c>
      <c r="N183" s="616">
        <v>1136.84986736785</v>
      </c>
    </row>
    <row r="184" spans="1:14" ht="14.4" customHeight="1" x14ac:dyDescent="0.3">
      <c r="A184" s="611" t="s">
        <v>550</v>
      </c>
      <c r="B184" s="612" t="s">
        <v>551</v>
      </c>
      <c r="C184" s="613" t="s">
        <v>563</v>
      </c>
      <c r="D184" s="614" t="s">
        <v>1184</v>
      </c>
      <c r="E184" s="613" t="s">
        <v>569</v>
      </c>
      <c r="F184" s="614" t="s">
        <v>1185</v>
      </c>
      <c r="G184" s="613" t="s">
        <v>570</v>
      </c>
      <c r="H184" s="613" t="s">
        <v>974</v>
      </c>
      <c r="I184" s="613" t="s">
        <v>975</v>
      </c>
      <c r="J184" s="613" t="s">
        <v>976</v>
      </c>
      <c r="K184" s="613" t="s">
        <v>815</v>
      </c>
      <c r="L184" s="615">
        <v>61.44</v>
      </c>
      <c r="M184" s="615">
        <v>1</v>
      </c>
      <c r="N184" s="616">
        <v>61.44</v>
      </c>
    </row>
    <row r="185" spans="1:14" ht="14.4" customHeight="1" x14ac:dyDescent="0.3">
      <c r="A185" s="611" t="s">
        <v>550</v>
      </c>
      <c r="B185" s="612" t="s">
        <v>551</v>
      </c>
      <c r="C185" s="613" t="s">
        <v>563</v>
      </c>
      <c r="D185" s="614" t="s">
        <v>1184</v>
      </c>
      <c r="E185" s="613" t="s">
        <v>569</v>
      </c>
      <c r="F185" s="614" t="s">
        <v>1185</v>
      </c>
      <c r="G185" s="613" t="s">
        <v>570</v>
      </c>
      <c r="H185" s="613" t="s">
        <v>791</v>
      </c>
      <c r="I185" s="613" t="s">
        <v>792</v>
      </c>
      <c r="J185" s="613" t="s">
        <v>793</v>
      </c>
      <c r="K185" s="613"/>
      <c r="L185" s="615">
        <v>337.51903427447644</v>
      </c>
      <c r="M185" s="615">
        <v>19</v>
      </c>
      <c r="N185" s="616">
        <v>6412.861651215052</v>
      </c>
    </row>
    <row r="186" spans="1:14" ht="14.4" customHeight="1" x14ac:dyDescent="0.3">
      <c r="A186" s="611" t="s">
        <v>550</v>
      </c>
      <c r="B186" s="612" t="s">
        <v>551</v>
      </c>
      <c r="C186" s="613" t="s">
        <v>563</v>
      </c>
      <c r="D186" s="614" t="s">
        <v>1184</v>
      </c>
      <c r="E186" s="613" t="s">
        <v>569</v>
      </c>
      <c r="F186" s="614" t="s">
        <v>1185</v>
      </c>
      <c r="G186" s="613" t="s">
        <v>570</v>
      </c>
      <c r="H186" s="613" t="s">
        <v>977</v>
      </c>
      <c r="I186" s="613" t="s">
        <v>210</v>
      </c>
      <c r="J186" s="613" t="s">
        <v>978</v>
      </c>
      <c r="K186" s="613"/>
      <c r="L186" s="615">
        <v>21.594444444444449</v>
      </c>
      <c r="M186" s="615">
        <v>9</v>
      </c>
      <c r="N186" s="616">
        <v>194.35000000000002</v>
      </c>
    </row>
    <row r="187" spans="1:14" ht="14.4" customHeight="1" x14ac:dyDescent="0.3">
      <c r="A187" s="611" t="s">
        <v>550</v>
      </c>
      <c r="B187" s="612" t="s">
        <v>551</v>
      </c>
      <c r="C187" s="613" t="s">
        <v>563</v>
      </c>
      <c r="D187" s="614" t="s">
        <v>1184</v>
      </c>
      <c r="E187" s="613" t="s">
        <v>569</v>
      </c>
      <c r="F187" s="614" t="s">
        <v>1185</v>
      </c>
      <c r="G187" s="613" t="s">
        <v>570</v>
      </c>
      <c r="H187" s="613" t="s">
        <v>794</v>
      </c>
      <c r="I187" s="613" t="s">
        <v>210</v>
      </c>
      <c r="J187" s="613" t="s">
        <v>795</v>
      </c>
      <c r="K187" s="613"/>
      <c r="L187" s="615">
        <v>210.95216793830772</v>
      </c>
      <c r="M187" s="615">
        <v>15</v>
      </c>
      <c r="N187" s="616">
        <v>3164.2825190746157</v>
      </c>
    </row>
    <row r="188" spans="1:14" ht="14.4" customHeight="1" x14ac:dyDescent="0.3">
      <c r="A188" s="611" t="s">
        <v>550</v>
      </c>
      <c r="B188" s="612" t="s">
        <v>551</v>
      </c>
      <c r="C188" s="613" t="s">
        <v>563</v>
      </c>
      <c r="D188" s="614" t="s">
        <v>1184</v>
      </c>
      <c r="E188" s="613" t="s">
        <v>569</v>
      </c>
      <c r="F188" s="614" t="s">
        <v>1185</v>
      </c>
      <c r="G188" s="613" t="s">
        <v>570</v>
      </c>
      <c r="H188" s="613" t="s">
        <v>979</v>
      </c>
      <c r="I188" s="613" t="s">
        <v>980</v>
      </c>
      <c r="J188" s="613" t="s">
        <v>981</v>
      </c>
      <c r="K188" s="613" t="s">
        <v>982</v>
      </c>
      <c r="L188" s="615">
        <v>109.22999999999999</v>
      </c>
      <c r="M188" s="615">
        <v>5</v>
      </c>
      <c r="N188" s="616">
        <v>546.15</v>
      </c>
    </row>
    <row r="189" spans="1:14" ht="14.4" customHeight="1" x14ac:dyDescent="0.3">
      <c r="A189" s="611" t="s">
        <v>550</v>
      </c>
      <c r="B189" s="612" t="s">
        <v>551</v>
      </c>
      <c r="C189" s="613" t="s">
        <v>563</v>
      </c>
      <c r="D189" s="614" t="s">
        <v>1184</v>
      </c>
      <c r="E189" s="613" t="s">
        <v>569</v>
      </c>
      <c r="F189" s="614" t="s">
        <v>1185</v>
      </c>
      <c r="G189" s="613" t="s">
        <v>570</v>
      </c>
      <c r="H189" s="613" t="s">
        <v>983</v>
      </c>
      <c r="I189" s="613" t="s">
        <v>984</v>
      </c>
      <c r="J189" s="613" t="s">
        <v>985</v>
      </c>
      <c r="K189" s="613" t="s">
        <v>986</v>
      </c>
      <c r="L189" s="615">
        <v>35.278571428571432</v>
      </c>
      <c r="M189" s="615">
        <v>140</v>
      </c>
      <c r="N189" s="616">
        <v>4939</v>
      </c>
    </row>
    <row r="190" spans="1:14" ht="14.4" customHeight="1" x14ac:dyDescent="0.3">
      <c r="A190" s="611" t="s">
        <v>550</v>
      </c>
      <c r="B190" s="612" t="s">
        <v>551</v>
      </c>
      <c r="C190" s="613" t="s">
        <v>563</v>
      </c>
      <c r="D190" s="614" t="s">
        <v>1184</v>
      </c>
      <c r="E190" s="613" t="s">
        <v>569</v>
      </c>
      <c r="F190" s="614" t="s">
        <v>1185</v>
      </c>
      <c r="G190" s="613" t="s">
        <v>570</v>
      </c>
      <c r="H190" s="613" t="s">
        <v>800</v>
      </c>
      <c r="I190" s="613" t="s">
        <v>801</v>
      </c>
      <c r="J190" s="613" t="s">
        <v>802</v>
      </c>
      <c r="K190" s="613" t="s">
        <v>803</v>
      </c>
      <c r="L190" s="615">
        <v>334.40812171051584</v>
      </c>
      <c r="M190" s="615">
        <v>4</v>
      </c>
      <c r="N190" s="616">
        <v>1337.6324868420634</v>
      </c>
    </row>
    <row r="191" spans="1:14" ht="14.4" customHeight="1" x14ac:dyDescent="0.3">
      <c r="A191" s="611" t="s">
        <v>550</v>
      </c>
      <c r="B191" s="612" t="s">
        <v>551</v>
      </c>
      <c r="C191" s="613" t="s">
        <v>563</v>
      </c>
      <c r="D191" s="614" t="s">
        <v>1184</v>
      </c>
      <c r="E191" s="613" t="s">
        <v>569</v>
      </c>
      <c r="F191" s="614" t="s">
        <v>1185</v>
      </c>
      <c r="G191" s="613" t="s">
        <v>570</v>
      </c>
      <c r="H191" s="613" t="s">
        <v>804</v>
      </c>
      <c r="I191" s="613" t="s">
        <v>210</v>
      </c>
      <c r="J191" s="613" t="s">
        <v>805</v>
      </c>
      <c r="K191" s="613"/>
      <c r="L191" s="615">
        <v>51.979696447055986</v>
      </c>
      <c r="M191" s="615">
        <v>1</v>
      </c>
      <c r="N191" s="616">
        <v>51.979696447055986</v>
      </c>
    </row>
    <row r="192" spans="1:14" ht="14.4" customHeight="1" x14ac:dyDescent="0.3">
      <c r="A192" s="611" t="s">
        <v>550</v>
      </c>
      <c r="B192" s="612" t="s">
        <v>551</v>
      </c>
      <c r="C192" s="613" t="s">
        <v>563</v>
      </c>
      <c r="D192" s="614" t="s">
        <v>1184</v>
      </c>
      <c r="E192" s="613" t="s">
        <v>569</v>
      </c>
      <c r="F192" s="614" t="s">
        <v>1185</v>
      </c>
      <c r="G192" s="613" t="s">
        <v>570</v>
      </c>
      <c r="H192" s="613" t="s">
        <v>987</v>
      </c>
      <c r="I192" s="613" t="s">
        <v>988</v>
      </c>
      <c r="J192" s="613" t="s">
        <v>989</v>
      </c>
      <c r="K192" s="613" t="s">
        <v>787</v>
      </c>
      <c r="L192" s="615">
        <v>31.049996663706054</v>
      </c>
      <c r="M192" s="615">
        <v>8</v>
      </c>
      <c r="N192" s="616">
        <v>248.39997330964843</v>
      </c>
    </row>
    <row r="193" spans="1:14" ht="14.4" customHeight="1" x14ac:dyDescent="0.3">
      <c r="A193" s="611" t="s">
        <v>550</v>
      </c>
      <c r="B193" s="612" t="s">
        <v>551</v>
      </c>
      <c r="C193" s="613" t="s">
        <v>563</v>
      </c>
      <c r="D193" s="614" t="s">
        <v>1184</v>
      </c>
      <c r="E193" s="613" t="s">
        <v>569</v>
      </c>
      <c r="F193" s="614" t="s">
        <v>1185</v>
      </c>
      <c r="G193" s="613" t="s">
        <v>570</v>
      </c>
      <c r="H193" s="613" t="s">
        <v>990</v>
      </c>
      <c r="I193" s="613" t="s">
        <v>991</v>
      </c>
      <c r="J193" s="613" t="s">
        <v>992</v>
      </c>
      <c r="K193" s="613" t="s">
        <v>993</v>
      </c>
      <c r="L193" s="615">
        <v>20.027647058823529</v>
      </c>
      <c r="M193" s="615">
        <v>289</v>
      </c>
      <c r="N193" s="616">
        <v>5787.99</v>
      </c>
    </row>
    <row r="194" spans="1:14" ht="14.4" customHeight="1" x14ac:dyDescent="0.3">
      <c r="A194" s="611" t="s">
        <v>550</v>
      </c>
      <c r="B194" s="612" t="s">
        <v>551</v>
      </c>
      <c r="C194" s="613" t="s">
        <v>563</v>
      </c>
      <c r="D194" s="614" t="s">
        <v>1184</v>
      </c>
      <c r="E194" s="613" t="s">
        <v>569</v>
      </c>
      <c r="F194" s="614" t="s">
        <v>1185</v>
      </c>
      <c r="G194" s="613" t="s">
        <v>570</v>
      </c>
      <c r="H194" s="613" t="s">
        <v>994</v>
      </c>
      <c r="I194" s="613" t="s">
        <v>994</v>
      </c>
      <c r="J194" s="613" t="s">
        <v>995</v>
      </c>
      <c r="K194" s="613" t="s">
        <v>996</v>
      </c>
      <c r="L194" s="615">
        <v>698.29000000000008</v>
      </c>
      <c r="M194" s="615">
        <v>4</v>
      </c>
      <c r="N194" s="616">
        <v>2793.1600000000003</v>
      </c>
    </row>
    <row r="195" spans="1:14" ht="14.4" customHeight="1" x14ac:dyDescent="0.3">
      <c r="A195" s="611" t="s">
        <v>550</v>
      </c>
      <c r="B195" s="612" t="s">
        <v>551</v>
      </c>
      <c r="C195" s="613" t="s">
        <v>563</v>
      </c>
      <c r="D195" s="614" t="s">
        <v>1184</v>
      </c>
      <c r="E195" s="613" t="s">
        <v>569</v>
      </c>
      <c r="F195" s="614" t="s">
        <v>1185</v>
      </c>
      <c r="G195" s="613" t="s">
        <v>570</v>
      </c>
      <c r="H195" s="613" t="s">
        <v>997</v>
      </c>
      <c r="I195" s="613" t="s">
        <v>210</v>
      </c>
      <c r="J195" s="613" t="s">
        <v>998</v>
      </c>
      <c r="K195" s="613" t="s">
        <v>999</v>
      </c>
      <c r="L195" s="615">
        <v>61.527777777777771</v>
      </c>
      <c r="M195" s="615">
        <v>1</v>
      </c>
      <c r="N195" s="616">
        <v>61.527777777777771</v>
      </c>
    </row>
    <row r="196" spans="1:14" ht="14.4" customHeight="1" x14ac:dyDescent="0.3">
      <c r="A196" s="611" t="s">
        <v>550</v>
      </c>
      <c r="B196" s="612" t="s">
        <v>551</v>
      </c>
      <c r="C196" s="613" t="s">
        <v>563</v>
      </c>
      <c r="D196" s="614" t="s">
        <v>1184</v>
      </c>
      <c r="E196" s="613" t="s">
        <v>569</v>
      </c>
      <c r="F196" s="614" t="s">
        <v>1185</v>
      </c>
      <c r="G196" s="613" t="s">
        <v>570</v>
      </c>
      <c r="H196" s="613" t="s">
        <v>647</v>
      </c>
      <c r="I196" s="613" t="s">
        <v>648</v>
      </c>
      <c r="J196" s="613" t="s">
        <v>649</v>
      </c>
      <c r="K196" s="613" t="s">
        <v>650</v>
      </c>
      <c r="L196" s="615">
        <v>50.947970118798416</v>
      </c>
      <c r="M196" s="615">
        <v>10</v>
      </c>
      <c r="N196" s="616">
        <v>509.47970118798418</v>
      </c>
    </row>
    <row r="197" spans="1:14" ht="14.4" customHeight="1" x14ac:dyDescent="0.3">
      <c r="A197" s="611" t="s">
        <v>550</v>
      </c>
      <c r="B197" s="612" t="s">
        <v>551</v>
      </c>
      <c r="C197" s="613" t="s">
        <v>563</v>
      </c>
      <c r="D197" s="614" t="s">
        <v>1184</v>
      </c>
      <c r="E197" s="613" t="s">
        <v>569</v>
      </c>
      <c r="F197" s="614" t="s">
        <v>1185</v>
      </c>
      <c r="G197" s="613" t="s">
        <v>570</v>
      </c>
      <c r="H197" s="613" t="s">
        <v>659</v>
      </c>
      <c r="I197" s="613" t="s">
        <v>660</v>
      </c>
      <c r="J197" s="613" t="s">
        <v>661</v>
      </c>
      <c r="K197" s="613" t="s">
        <v>662</v>
      </c>
      <c r="L197" s="615">
        <v>108.01000000000005</v>
      </c>
      <c r="M197" s="615">
        <v>1</v>
      </c>
      <c r="N197" s="616">
        <v>108.01000000000005</v>
      </c>
    </row>
    <row r="198" spans="1:14" ht="14.4" customHeight="1" x14ac:dyDescent="0.3">
      <c r="A198" s="611" t="s">
        <v>550</v>
      </c>
      <c r="B198" s="612" t="s">
        <v>551</v>
      </c>
      <c r="C198" s="613" t="s">
        <v>563</v>
      </c>
      <c r="D198" s="614" t="s">
        <v>1184</v>
      </c>
      <c r="E198" s="613" t="s">
        <v>569</v>
      </c>
      <c r="F198" s="614" t="s">
        <v>1185</v>
      </c>
      <c r="G198" s="613" t="s">
        <v>570</v>
      </c>
      <c r="H198" s="613" t="s">
        <v>806</v>
      </c>
      <c r="I198" s="613" t="s">
        <v>210</v>
      </c>
      <c r="J198" s="613" t="s">
        <v>807</v>
      </c>
      <c r="K198" s="613"/>
      <c r="L198" s="615">
        <v>51.27095698597887</v>
      </c>
      <c r="M198" s="615">
        <v>22</v>
      </c>
      <c r="N198" s="616">
        <v>1127.9610536915352</v>
      </c>
    </row>
    <row r="199" spans="1:14" ht="14.4" customHeight="1" x14ac:dyDescent="0.3">
      <c r="A199" s="611" t="s">
        <v>550</v>
      </c>
      <c r="B199" s="612" t="s">
        <v>551</v>
      </c>
      <c r="C199" s="613" t="s">
        <v>563</v>
      </c>
      <c r="D199" s="614" t="s">
        <v>1184</v>
      </c>
      <c r="E199" s="613" t="s">
        <v>569</v>
      </c>
      <c r="F199" s="614" t="s">
        <v>1185</v>
      </c>
      <c r="G199" s="613" t="s">
        <v>570</v>
      </c>
      <c r="H199" s="613" t="s">
        <v>665</v>
      </c>
      <c r="I199" s="613" t="s">
        <v>210</v>
      </c>
      <c r="J199" s="613" t="s">
        <v>666</v>
      </c>
      <c r="K199" s="613"/>
      <c r="L199" s="615">
        <v>59.015009790140361</v>
      </c>
      <c r="M199" s="615">
        <v>222</v>
      </c>
      <c r="N199" s="616">
        <v>13101.33217341116</v>
      </c>
    </row>
    <row r="200" spans="1:14" ht="14.4" customHeight="1" x14ac:dyDescent="0.3">
      <c r="A200" s="611" t="s">
        <v>550</v>
      </c>
      <c r="B200" s="612" t="s">
        <v>551</v>
      </c>
      <c r="C200" s="613" t="s">
        <v>563</v>
      </c>
      <c r="D200" s="614" t="s">
        <v>1184</v>
      </c>
      <c r="E200" s="613" t="s">
        <v>569</v>
      </c>
      <c r="F200" s="614" t="s">
        <v>1185</v>
      </c>
      <c r="G200" s="613" t="s">
        <v>570</v>
      </c>
      <c r="H200" s="613" t="s">
        <v>675</v>
      </c>
      <c r="I200" s="613" t="s">
        <v>210</v>
      </c>
      <c r="J200" s="613" t="s">
        <v>676</v>
      </c>
      <c r="K200" s="613"/>
      <c r="L200" s="615">
        <v>46.464363572841542</v>
      </c>
      <c r="M200" s="615">
        <v>3</v>
      </c>
      <c r="N200" s="616">
        <v>139.39309071852463</v>
      </c>
    </row>
    <row r="201" spans="1:14" ht="14.4" customHeight="1" x14ac:dyDescent="0.3">
      <c r="A201" s="611" t="s">
        <v>550</v>
      </c>
      <c r="B201" s="612" t="s">
        <v>551</v>
      </c>
      <c r="C201" s="613" t="s">
        <v>563</v>
      </c>
      <c r="D201" s="614" t="s">
        <v>1184</v>
      </c>
      <c r="E201" s="613" t="s">
        <v>569</v>
      </c>
      <c r="F201" s="614" t="s">
        <v>1185</v>
      </c>
      <c r="G201" s="613" t="s">
        <v>570</v>
      </c>
      <c r="H201" s="613" t="s">
        <v>679</v>
      </c>
      <c r="I201" s="613" t="s">
        <v>210</v>
      </c>
      <c r="J201" s="613" t="s">
        <v>680</v>
      </c>
      <c r="K201" s="613"/>
      <c r="L201" s="615">
        <v>104.26360474992173</v>
      </c>
      <c r="M201" s="615">
        <v>52</v>
      </c>
      <c r="N201" s="616">
        <v>5421.7074469959298</v>
      </c>
    </row>
    <row r="202" spans="1:14" ht="14.4" customHeight="1" x14ac:dyDescent="0.3">
      <c r="A202" s="611" t="s">
        <v>550</v>
      </c>
      <c r="B202" s="612" t="s">
        <v>551</v>
      </c>
      <c r="C202" s="613" t="s">
        <v>563</v>
      </c>
      <c r="D202" s="614" t="s">
        <v>1184</v>
      </c>
      <c r="E202" s="613" t="s">
        <v>569</v>
      </c>
      <c r="F202" s="614" t="s">
        <v>1185</v>
      </c>
      <c r="G202" s="613" t="s">
        <v>570</v>
      </c>
      <c r="H202" s="613" t="s">
        <v>808</v>
      </c>
      <c r="I202" s="613" t="s">
        <v>809</v>
      </c>
      <c r="J202" s="613" t="s">
        <v>810</v>
      </c>
      <c r="K202" s="613" t="s">
        <v>811</v>
      </c>
      <c r="L202" s="615">
        <v>81.621330649519905</v>
      </c>
      <c r="M202" s="615">
        <v>8</v>
      </c>
      <c r="N202" s="616">
        <v>652.97064519615924</v>
      </c>
    </row>
    <row r="203" spans="1:14" ht="14.4" customHeight="1" x14ac:dyDescent="0.3">
      <c r="A203" s="611" t="s">
        <v>550</v>
      </c>
      <c r="B203" s="612" t="s">
        <v>551</v>
      </c>
      <c r="C203" s="613" t="s">
        <v>563</v>
      </c>
      <c r="D203" s="614" t="s">
        <v>1184</v>
      </c>
      <c r="E203" s="613" t="s">
        <v>569</v>
      </c>
      <c r="F203" s="614" t="s">
        <v>1185</v>
      </c>
      <c r="G203" s="613" t="s">
        <v>570</v>
      </c>
      <c r="H203" s="613" t="s">
        <v>812</v>
      </c>
      <c r="I203" s="613" t="s">
        <v>813</v>
      </c>
      <c r="J203" s="613" t="s">
        <v>814</v>
      </c>
      <c r="K203" s="613" t="s">
        <v>815</v>
      </c>
      <c r="L203" s="615">
        <v>77.379999999999967</v>
      </c>
      <c r="M203" s="615">
        <v>4</v>
      </c>
      <c r="N203" s="616">
        <v>309.51999999999987</v>
      </c>
    </row>
    <row r="204" spans="1:14" ht="14.4" customHeight="1" x14ac:dyDescent="0.3">
      <c r="A204" s="611" t="s">
        <v>550</v>
      </c>
      <c r="B204" s="612" t="s">
        <v>551</v>
      </c>
      <c r="C204" s="613" t="s">
        <v>563</v>
      </c>
      <c r="D204" s="614" t="s">
        <v>1184</v>
      </c>
      <c r="E204" s="613" t="s">
        <v>569</v>
      </c>
      <c r="F204" s="614" t="s">
        <v>1185</v>
      </c>
      <c r="G204" s="613" t="s">
        <v>570</v>
      </c>
      <c r="H204" s="613" t="s">
        <v>816</v>
      </c>
      <c r="I204" s="613" t="s">
        <v>210</v>
      </c>
      <c r="J204" s="613" t="s">
        <v>817</v>
      </c>
      <c r="K204" s="613"/>
      <c r="L204" s="615">
        <v>365.52820982069778</v>
      </c>
      <c r="M204" s="615">
        <v>36</v>
      </c>
      <c r="N204" s="616">
        <v>13159.015553545119</v>
      </c>
    </row>
    <row r="205" spans="1:14" ht="14.4" customHeight="1" x14ac:dyDescent="0.3">
      <c r="A205" s="611" t="s">
        <v>550</v>
      </c>
      <c r="B205" s="612" t="s">
        <v>551</v>
      </c>
      <c r="C205" s="613" t="s">
        <v>563</v>
      </c>
      <c r="D205" s="614" t="s">
        <v>1184</v>
      </c>
      <c r="E205" s="613" t="s">
        <v>569</v>
      </c>
      <c r="F205" s="614" t="s">
        <v>1185</v>
      </c>
      <c r="G205" s="613" t="s">
        <v>570</v>
      </c>
      <c r="H205" s="613" t="s">
        <v>818</v>
      </c>
      <c r="I205" s="613" t="s">
        <v>210</v>
      </c>
      <c r="J205" s="613" t="s">
        <v>819</v>
      </c>
      <c r="K205" s="613"/>
      <c r="L205" s="615">
        <v>143.65581271348194</v>
      </c>
      <c r="M205" s="615">
        <v>67</v>
      </c>
      <c r="N205" s="616">
        <v>9624.9394518032896</v>
      </c>
    </row>
    <row r="206" spans="1:14" ht="14.4" customHeight="1" x14ac:dyDescent="0.3">
      <c r="A206" s="611" t="s">
        <v>550</v>
      </c>
      <c r="B206" s="612" t="s">
        <v>551</v>
      </c>
      <c r="C206" s="613" t="s">
        <v>563</v>
      </c>
      <c r="D206" s="614" t="s">
        <v>1184</v>
      </c>
      <c r="E206" s="613" t="s">
        <v>569</v>
      </c>
      <c r="F206" s="614" t="s">
        <v>1185</v>
      </c>
      <c r="G206" s="613" t="s">
        <v>570</v>
      </c>
      <c r="H206" s="613" t="s">
        <v>820</v>
      </c>
      <c r="I206" s="613" t="s">
        <v>210</v>
      </c>
      <c r="J206" s="613" t="s">
        <v>821</v>
      </c>
      <c r="K206" s="613"/>
      <c r="L206" s="615">
        <v>174.08433526363751</v>
      </c>
      <c r="M206" s="615">
        <v>25</v>
      </c>
      <c r="N206" s="616">
        <v>4352.1083815909378</v>
      </c>
    </row>
    <row r="207" spans="1:14" ht="14.4" customHeight="1" x14ac:dyDescent="0.3">
      <c r="A207" s="611" t="s">
        <v>550</v>
      </c>
      <c r="B207" s="612" t="s">
        <v>551</v>
      </c>
      <c r="C207" s="613" t="s">
        <v>563</v>
      </c>
      <c r="D207" s="614" t="s">
        <v>1184</v>
      </c>
      <c r="E207" s="613" t="s">
        <v>569</v>
      </c>
      <c r="F207" s="614" t="s">
        <v>1185</v>
      </c>
      <c r="G207" s="613" t="s">
        <v>570</v>
      </c>
      <c r="H207" s="613" t="s">
        <v>681</v>
      </c>
      <c r="I207" s="613" t="s">
        <v>210</v>
      </c>
      <c r="J207" s="613" t="s">
        <v>682</v>
      </c>
      <c r="K207" s="613"/>
      <c r="L207" s="615">
        <v>119.06705261592327</v>
      </c>
      <c r="M207" s="615">
        <v>43</v>
      </c>
      <c r="N207" s="616">
        <v>5119.8832624847009</v>
      </c>
    </row>
    <row r="208" spans="1:14" ht="14.4" customHeight="1" x14ac:dyDescent="0.3">
      <c r="A208" s="611" t="s">
        <v>550</v>
      </c>
      <c r="B208" s="612" t="s">
        <v>551</v>
      </c>
      <c r="C208" s="613" t="s">
        <v>563</v>
      </c>
      <c r="D208" s="614" t="s">
        <v>1184</v>
      </c>
      <c r="E208" s="613" t="s">
        <v>569</v>
      </c>
      <c r="F208" s="614" t="s">
        <v>1185</v>
      </c>
      <c r="G208" s="613" t="s">
        <v>570</v>
      </c>
      <c r="H208" s="613" t="s">
        <v>1000</v>
      </c>
      <c r="I208" s="613" t="s">
        <v>210</v>
      </c>
      <c r="J208" s="613" t="s">
        <v>1001</v>
      </c>
      <c r="K208" s="613"/>
      <c r="L208" s="615">
        <v>488.27435691736991</v>
      </c>
      <c r="M208" s="615">
        <v>5</v>
      </c>
      <c r="N208" s="616">
        <v>2441.3717845868496</v>
      </c>
    </row>
    <row r="209" spans="1:14" ht="14.4" customHeight="1" x14ac:dyDescent="0.3">
      <c r="A209" s="611" t="s">
        <v>550</v>
      </c>
      <c r="B209" s="612" t="s">
        <v>551</v>
      </c>
      <c r="C209" s="613" t="s">
        <v>563</v>
      </c>
      <c r="D209" s="614" t="s">
        <v>1184</v>
      </c>
      <c r="E209" s="613" t="s">
        <v>569</v>
      </c>
      <c r="F209" s="614" t="s">
        <v>1185</v>
      </c>
      <c r="G209" s="613" t="s">
        <v>570</v>
      </c>
      <c r="H209" s="613" t="s">
        <v>824</v>
      </c>
      <c r="I209" s="613" t="s">
        <v>210</v>
      </c>
      <c r="J209" s="613" t="s">
        <v>825</v>
      </c>
      <c r="K209" s="613" t="s">
        <v>826</v>
      </c>
      <c r="L209" s="615">
        <v>85.873632568194211</v>
      </c>
      <c r="M209" s="615">
        <v>1</v>
      </c>
      <c r="N209" s="616">
        <v>85.873632568194211</v>
      </c>
    </row>
    <row r="210" spans="1:14" ht="14.4" customHeight="1" x14ac:dyDescent="0.3">
      <c r="A210" s="611" t="s">
        <v>550</v>
      </c>
      <c r="B210" s="612" t="s">
        <v>551</v>
      </c>
      <c r="C210" s="613" t="s">
        <v>563</v>
      </c>
      <c r="D210" s="614" t="s">
        <v>1184</v>
      </c>
      <c r="E210" s="613" t="s">
        <v>569</v>
      </c>
      <c r="F210" s="614" t="s">
        <v>1185</v>
      </c>
      <c r="G210" s="613" t="s">
        <v>570</v>
      </c>
      <c r="H210" s="613" t="s">
        <v>1002</v>
      </c>
      <c r="I210" s="613" t="s">
        <v>210</v>
      </c>
      <c r="J210" s="613" t="s">
        <v>1003</v>
      </c>
      <c r="K210" s="613"/>
      <c r="L210" s="615">
        <v>12.753396130110154</v>
      </c>
      <c r="M210" s="615">
        <v>30</v>
      </c>
      <c r="N210" s="616">
        <v>382.60188390330461</v>
      </c>
    </row>
    <row r="211" spans="1:14" ht="14.4" customHeight="1" x14ac:dyDescent="0.3">
      <c r="A211" s="611" t="s">
        <v>550</v>
      </c>
      <c r="B211" s="612" t="s">
        <v>551</v>
      </c>
      <c r="C211" s="613" t="s">
        <v>563</v>
      </c>
      <c r="D211" s="614" t="s">
        <v>1184</v>
      </c>
      <c r="E211" s="613" t="s">
        <v>569</v>
      </c>
      <c r="F211" s="614" t="s">
        <v>1185</v>
      </c>
      <c r="G211" s="613" t="s">
        <v>570</v>
      </c>
      <c r="H211" s="613" t="s">
        <v>1004</v>
      </c>
      <c r="I211" s="613" t="s">
        <v>1004</v>
      </c>
      <c r="J211" s="613" t="s">
        <v>1005</v>
      </c>
      <c r="K211" s="613" t="s">
        <v>1006</v>
      </c>
      <c r="L211" s="615">
        <v>5325.08</v>
      </c>
      <c r="M211" s="615">
        <v>1</v>
      </c>
      <c r="N211" s="616">
        <v>5325.08</v>
      </c>
    </row>
    <row r="212" spans="1:14" ht="14.4" customHeight="1" x14ac:dyDescent="0.3">
      <c r="A212" s="611" t="s">
        <v>550</v>
      </c>
      <c r="B212" s="612" t="s">
        <v>551</v>
      </c>
      <c r="C212" s="613" t="s">
        <v>563</v>
      </c>
      <c r="D212" s="614" t="s">
        <v>1184</v>
      </c>
      <c r="E212" s="613" t="s">
        <v>569</v>
      </c>
      <c r="F212" s="614" t="s">
        <v>1185</v>
      </c>
      <c r="G212" s="613" t="s">
        <v>570</v>
      </c>
      <c r="H212" s="613" t="s">
        <v>1007</v>
      </c>
      <c r="I212" s="613" t="s">
        <v>1008</v>
      </c>
      <c r="J212" s="613" t="s">
        <v>1009</v>
      </c>
      <c r="K212" s="613" t="s">
        <v>1010</v>
      </c>
      <c r="L212" s="615">
        <v>429.56999999999988</v>
      </c>
      <c r="M212" s="615">
        <v>40</v>
      </c>
      <c r="N212" s="616">
        <v>17182.799999999996</v>
      </c>
    </row>
    <row r="213" spans="1:14" ht="14.4" customHeight="1" x14ac:dyDescent="0.3">
      <c r="A213" s="611" t="s">
        <v>550</v>
      </c>
      <c r="B213" s="612" t="s">
        <v>551</v>
      </c>
      <c r="C213" s="613" t="s">
        <v>563</v>
      </c>
      <c r="D213" s="614" t="s">
        <v>1184</v>
      </c>
      <c r="E213" s="613" t="s">
        <v>569</v>
      </c>
      <c r="F213" s="614" t="s">
        <v>1185</v>
      </c>
      <c r="G213" s="613" t="s">
        <v>570</v>
      </c>
      <c r="H213" s="613" t="s">
        <v>1011</v>
      </c>
      <c r="I213" s="613" t="s">
        <v>1012</v>
      </c>
      <c r="J213" s="613" t="s">
        <v>1013</v>
      </c>
      <c r="K213" s="613" t="s">
        <v>1014</v>
      </c>
      <c r="L213" s="615">
        <v>945.11487826050609</v>
      </c>
      <c r="M213" s="615">
        <v>22</v>
      </c>
      <c r="N213" s="616">
        <v>20792.527321731133</v>
      </c>
    </row>
    <row r="214" spans="1:14" ht="14.4" customHeight="1" x14ac:dyDescent="0.3">
      <c r="A214" s="611" t="s">
        <v>550</v>
      </c>
      <c r="B214" s="612" t="s">
        <v>551</v>
      </c>
      <c r="C214" s="613" t="s">
        <v>563</v>
      </c>
      <c r="D214" s="614" t="s">
        <v>1184</v>
      </c>
      <c r="E214" s="613" t="s">
        <v>569</v>
      </c>
      <c r="F214" s="614" t="s">
        <v>1185</v>
      </c>
      <c r="G214" s="613" t="s">
        <v>570</v>
      </c>
      <c r="H214" s="613" t="s">
        <v>1015</v>
      </c>
      <c r="I214" s="613" t="s">
        <v>1015</v>
      </c>
      <c r="J214" s="613" t="s">
        <v>1016</v>
      </c>
      <c r="K214" s="613" t="s">
        <v>1017</v>
      </c>
      <c r="L214" s="615">
        <v>7581.8698779288015</v>
      </c>
      <c r="M214" s="615">
        <v>21</v>
      </c>
      <c r="N214" s="616">
        <v>159219.26743650483</v>
      </c>
    </row>
    <row r="215" spans="1:14" ht="14.4" customHeight="1" x14ac:dyDescent="0.3">
      <c r="A215" s="611" t="s">
        <v>550</v>
      </c>
      <c r="B215" s="612" t="s">
        <v>551</v>
      </c>
      <c r="C215" s="613" t="s">
        <v>563</v>
      </c>
      <c r="D215" s="614" t="s">
        <v>1184</v>
      </c>
      <c r="E215" s="613" t="s">
        <v>569</v>
      </c>
      <c r="F215" s="614" t="s">
        <v>1185</v>
      </c>
      <c r="G215" s="613" t="s">
        <v>570</v>
      </c>
      <c r="H215" s="613" t="s">
        <v>1018</v>
      </c>
      <c r="I215" s="613" t="s">
        <v>1019</v>
      </c>
      <c r="J215" s="613" t="s">
        <v>992</v>
      </c>
      <c r="K215" s="613" t="s">
        <v>966</v>
      </c>
      <c r="L215" s="615">
        <v>19.052275841554312</v>
      </c>
      <c r="M215" s="615">
        <v>583</v>
      </c>
      <c r="N215" s="616">
        <v>11107.476815626163</v>
      </c>
    </row>
    <row r="216" spans="1:14" ht="14.4" customHeight="1" x14ac:dyDescent="0.3">
      <c r="A216" s="611" t="s">
        <v>550</v>
      </c>
      <c r="B216" s="612" t="s">
        <v>551</v>
      </c>
      <c r="C216" s="613" t="s">
        <v>563</v>
      </c>
      <c r="D216" s="614" t="s">
        <v>1184</v>
      </c>
      <c r="E216" s="613" t="s">
        <v>569</v>
      </c>
      <c r="F216" s="614" t="s">
        <v>1185</v>
      </c>
      <c r="G216" s="613" t="s">
        <v>570</v>
      </c>
      <c r="H216" s="613" t="s">
        <v>1020</v>
      </c>
      <c r="I216" s="613" t="s">
        <v>1021</v>
      </c>
      <c r="J216" s="613" t="s">
        <v>985</v>
      </c>
      <c r="K216" s="613" t="s">
        <v>1022</v>
      </c>
      <c r="L216" s="615">
        <v>33.284667101354785</v>
      </c>
      <c r="M216" s="615">
        <v>321</v>
      </c>
      <c r="N216" s="616">
        <v>10684.378139534885</v>
      </c>
    </row>
    <row r="217" spans="1:14" ht="14.4" customHeight="1" x14ac:dyDescent="0.3">
      <c r="A217" s="611" t="s">
        <v>550</v>
      </c>
      <c r="B217" s="612" t="s">
        <v>551</v>
      </c>
      <c r="C217" s="613" t="s">
        <v>563</v>
      </c>
      <c r="D217" s="614" t="s">
        <v>1184</v>
      </c>
      <c r="E217" s="613" t="s">
        <v>569</v>
      </c>
      <c r="F217" s="614" t="s">
        <v>1185</v>
      </c>
      <c r="G217" s="613" t="s">
        <v>570</v>
      </c>
      <c r="H217" s="613" t="s">
        <v>1023</v>
      </c>
      <c r="I217" s="613" t="s">
        <v>1024</v>
      </c>
      <c r="J217" s="613" t="s">
        <v>1025</v>
      </c>
      <c r="K217" s="613" t="s">
        <v>1026</v>
      </c>
      <c r="L217" s="615">
        <v>91.84</v>
      </c>
      <c r="M217" s="615">
        <v>5</v>
      </c>
      <c r="N217" s="616">
        <v>459.20000000000005</v>
      </c>
    </row>
    <row r="218" spans="1:14" ht="14.4" customHeight="1" x14ac:dyDescent="0.3">
      <c r="A218" s="611" t="s">
        <v>550</v>
      </c>
      <c r="B218" s="612" t="s">
        <v>551</v>
      </c>
      <c r="C218" s="613" t="s">
        <v>563</v>
      </c>
      <c r="D218" s="614" t="s">
        <v>1184</v>
      </c>
      <c r="E218" s="613" t="s">
        <v>569</v>
      </c>
      <c r="F218" s="614" t="s">
        <v>1185</v>
      </c>
      <c r="G218" s="613" t="s">
        <v>570</v>
      </c>
      <c r="H218" s="613" t="s">
        <v>1027</v>
      </c>
      <c r="I218" s="613" t="s">
        <v>1028</v>
      </c>
      <c r="J218" s="613" t="s">
        <v>1029</v>
      </c>
      <c r="K218" s="613" t="s">
        <v>1030</v>
      </c>
      <c r="L218" s="615">
        <v>18186.258739305653</v>
      </c>
      <c r="M218" s="615">
        <v>18</v>
      </c>
      <c r="N218" s="616">
        <v>327352.65730750177</v>
      </c>
    </row>
    <row r="219" spans="1:14" ht="14.4" customHeight="1" x14ac:dyDescent="0.3">
      <c r="A219" s="611" t="s">
        <v>550</v>
      </c>
      <c r="B219" s="612" t="s">
        <v>551</v>
      </c>
      <c r="C219" s="613" t="s">
        <v>563</v>
      </c>
      <c r="D219" s="614" t="s">
        <v>1184</v>
      </c>
      <c r="E219" s="613" t="s">
        <v>569</v>
      </c>
      <c r="F219" s="614" t="s">
        <v>1185</v>
      </c>
      <c r="G219" s="613" t="s">
        <v>570</v>
      </c>
      <c r="H219" s="613" t="s">
        <v>1031</v>
      </c>
      <c r="I219" s="613" t="s">
        <v>1032</v>
      </c>
      <c r="J219" s="613" t="s">
        <v>1033</v>
      </c>
      <c r="K219" s="613" t="s">
        <v>1034</v>
      </c>
      <c r="L219" s="615">
        <v>1559.07</v>
      </c>
      <c r="M219" s="615">
        <v>9</v>
      </c>
      <c r="N219" s="616">
        <v>14031.63</v>
      </c>
    </row>
    <row r="220" spans="1:14" ht="14.4" customHeight="1" x14ac:dyDescent="0.3">
      <c r="A220" s="611" t="s">
        <v>550</v>
      </c>
      <c r="B220" s="612" t="s">
        <v>551</v>
      </c>
      <c r="C220" s="613" t="s">
        <v>563</v>
      </c>
      <c r="D220" s="614" t="s">
        <v>1184</v>
      </c>
      <c r="E220" s="613" t="s">
        <v>569</v>
      </c>
      <c r="F220" s="614" t="s">
        <v>1185</v>
      </c>
      <c r="G220" s="613" t="s">
        <v>570</v>
      </c>
      <c r="H220" s="613" t="s">
        <v>1035</v>
      </c>
      <c r="I220" s="613" t="s">
        <v>1036</v>
      </c>
      <c r="J220" s="613" t="s">
        <v>1037</v>
      </c>
      <c r="K220" s="613" t="s">
        <v>1038</v>
      </c>
      <c r="L220" s="615">
        <v>286.90999999999997</v>
      </c>
      <c r="M220" s="615">
        <v>34</v>
      </c>
      <c r="N220" s="616">
        <v>9754.9399999999987</v>
      </c>
    </row>
    <row r="221" spans="1:14" ht="14.4" customHeight="1" x14ac:dyDescent="0.3">
      <c r="A221" s="611" t="s">
        <v>550</v>
      </c>
      <c r="B221" s="612" t="s">
        <v>551</v>
      </c>
      <c r="C221" s="613" t="s">
        <v>563</v>
      </c>
      <c r="D221" s="614" t="s">
        <v>1184</v>
      </c>
      <c r="E221" s="613" t="s">
        <v>569</v>
      </c>
      <c r="F221" s="614" t="s">
        <v>1185</v>
      </c>
      <c r="G221" s="613" t="s">
        <v>570</v>
      </c>
      <c r="H221" s="613" t="s">
        <v>1039</v>
      </c>
      <c r="I221" s="613" t="s">
        <v>210</v>
      </c>
      <c r="J221" s="613" t="s">
        <v>1040</v>
      </c>
      <c r="K221" s="613" t="s">
        <v>1041</v>
      </c>
      <c r="L221" s="615">
        <v>133.31677415354818</v>
      </c>
      <c r="M221" s="615">
        <v>2</v>
      </c>
      <c r="N221" s="616">
        <v>266.63354830709636</v>
      </c>
    </row>
    <row r="222" spans="1:14" ht="14.4" customHeight="1" x14ac:dyDescent="0.3">
      <c r="A222" s="611" t="s">
        <v>550</v>
      </c>
      <c r="B222" s="612" t="s">
        <v>551</v>
      </c>
      <c r="C222" s="613" t="s">
        <v>563</v>
      </c>
      <c r="D222" s="614" t="s">
        <v>1184</v>
      </c>
      <c r="E222" s="613" t="s">
        <v>569</v>
      </c>
      <c r="F222" s="614" t="s">
        <v>1185</v>
      </c>
      <c r="G222" s="613" t="s">
        <v>570</v>
      </c>
      <c r="H222" s="613" t="s">
        <v>1042</v>
      </c>
      <c r="I222" s="613" t="s">
        <v>1043</v>
      </c>
      <c r="J222" s="613" t="s">
        <v>1044</v>
      </c>
      <c r="K222" s="613" t="s">
        <v>1045</v>
      </c>
      <c r="L222" s="615">
        <v>2908.36</v>
      </c>
      <c r="M222" s="615">
        <v>11</v>
      </c>
      <c r="N222" s="616">
        <v>31991.960000000003</v>
      </c>
    </row>
    <row r="223" spans="1:14" ht="14.4" customHeight="1" x14ac:dyDescent="0.3">
      <c r="A223" s="611" t="s">
        <v>550</v>
      </c>
      <c r="B223" s="612" t="s">
        <v>551</v>
      </c>
      <c r="C223" s="613" t="s">
        <v>563</v>
      </c>
      <c r="D223" s="614" t="s">
        <v>1184</v>
      </c>
      <c r="E223" s="613" t="s">
        <v>569</v>
      </c>
      <c r="F223" s="614" t="s">
        <v>1185</v>
      </c>
      <c r="G223" s="613" t="s">
        <v>570</v>
      </c>
      <c r="H223" s="613" t="s">
        <v>1046</v>
      </c>
      <c r="I223" s="613" t="s">
        <v>210</v>
      </c>
      <c r="J223" s="613" t="s">
        <v>1047</v>
      </c>
      <c r="K223" s="613"/>
      <c r="L223" s="615">
        <v>357.72120348296556</v>
      </c>
      <c r="M223" s="615">
        <v>3</v>
      </c>
      <c r="N223" s="616">
        <v>1073.1636104488966</v>
      </c>
    </row>
    <row r="224" spans="1:14" ht="14.4" customHeight="1" x14ac:dyDescent="0.3">
      <c r="A224" s="611" t="s">
        <v>550</v>
      </c>
      <c r="B224" s="612" t="s">
        <v>551</v>
      </c>
      <c r="C224" s="613" t="s">
        <v>563</v>
      </c>
      <c r="D224" s="614" t="s">
        <v>1184</v>
      </c>
      <c r="E224" s="613" t="s">
        <v>569</v>
      </c>
      <c r="F224" s="614" t="s">
        <v>1185</v>
      </c>
      <c r="G224" s="613" t="s">
        <v>570</v>
      </c>
      <c r="H224" s="613" t="s">
        <v>1048</v>
      </c>
      <c r="I224" s="613" t="s">
        <v>210</v>
      </c>
      <c r="J224" s="613" t="s">
        <v>1049</v>
      </c>
      <c r="K224" s="613"/>
      <c r="L224" s="615">
        <v>158.4386533248468</v>
      </c>
      <c r="M224" s="615">
        <v>27</v>
      </c>
      <c r="N224" s="616">
        <v>4277.8436397708638</v>
      </c>
    </row>
    <row r="225" spans="1:14" ht="14.4" customHeight="1" x14ac:dyDescent="0.3">
      <c r="A225" s="611" t="s">
        <v>550</v>
      </c>
      <c r="B225" s="612" t="s">
        <v>551</v>
      </c>
      <c r="C225" s="613" t="s">
        <v>563</v>
      </c>
      <c r="D225" s="614" t="s">
        <v>1184</v>
      </c>
      <c r="E225" s="613" t="s">
        <v>569</v>
      </c>
      <c r="F225" s="614" t="s">
        <v>1185</v>
      </c>
      <c r="G225" s="613" t="s">
        <v>570</v>
      </c>
      <c r="H225" s="613" t="s">
        <v>1050</v>
      </c>
      <c r="I225" s="613" t="s">
        <v>210</v>
      </c>
      <c r="J225" s="613" t="s">
        <v>1051</v>
      </c>
      <c r="K225" s="613"/>
      <c r="L225" s="615">
        <v>269.64447688802198</v>
      </c>
      <c r="M225" s="615">
        <v>11</v>
      </c>
      <c r="N225" s="616">
        <v>2966.0892457682421</v>
      </c>
    </row>
    <row r="226" spans="1:14" ht="14.4" customHeight="1" x14ac:dyDescent="0.3">
      <c r="A226" s="611" t="s">
        <v>550</v>
      </c>
      <c r="B226" s="612" t="s">
        <v>551</v>
      </c>
      <c r="C226" s="613" t="s">
        <v>563</v>
      </c>
      <c r="D226" s="614" t="s">
        <v>1184</v>
      </c>
      <c r="E226" s="613" t="s">
        <v>569</v>
      </c>
      <c r="F226" s="614" t="s">
        <v>1185</v>
      </c>
      <c r="G226" s="613" t="s">
        <v>570</v>
      </c>
      <c r="H226" s="613" t="s">
        <v>1052</v>
      </c>
      <c r="I226" s="613" t="s">
        <v>210</v>
      </c>
      <c r="J226" s="613" t="s">
        <v>1053</v>
      </c>
      <c r="K226" s="613"/>
      <c r="L226" s="615">
        <v>468.92235485741077</v>
      </c>
      <c r="M226" s="615">
        <v>3</v>
      </c>
      <c r="N226" s="616">
        <v>1406.7670645722324</v>
      </c>
    </row>
    <row r="227" spans="1:14" ht="14.4" customHeight="1" x14ac:dyDescent="0.3">
      <c r="A227" s="611" t="s">
        <v>550</v>
      </c>
      <c r="B227" s="612" t="s">
        <v>551</v>
      </c>
      <c r="C227" s="613" t="s">
        <v>563</v>
      </c>
      <c r="D227" s="614" t="s">
        <v>1184</v>
      </c>
      <c r="E227" s="613" t="s">
        <v>569</v>
      </c>
      <c r="F227" s="614" t="s">
        <v>1185</v>
      </c>
      <c r="G227" s="613" t="s">
        <v>570</v>
      </c>
      <c r="H227" s="613" t="s">
        <v>1054</v>
      </c>
      <c r="I227" s="613" t="s">
        <v>210</v>
      </c>
      <c r="J227" s="613" t="s">
        <v>1055</v>
      </c>
      <c r="K227" s="613"/>
      <c r="L227" s="615">
        <v>516.41693375765465</v>
      </c>
      <c r="M227" s="615">
        <v>4</v>
      </c>
      <c r="N227" s="616">
        <v>2065.6677350306186</v>
      </c>
    </row>
    <row r="228" spans="1:14" ht="14.4" customHeight="1" x14ac:dyDescent="0.3">
      <c r="A228" s="611" t="s">
        <v>550</v>
      </c>
      <c r="B228" s="612" t="s">
        <v>551</v>
      </c>
      <c r="C228" s="613" t="s">
        <v>563</v>
      </c>
      <c r="D228" s="614" t="s">
        <v>1184</v>
      </c>
      <c r="E228" s="613" t="s">
        <v>569</v>
      </c>
      <c r="F228" s="614" t="s">
        <v>1185</v>
      </c>
      <c r="G228" s="613" t="s">
        <v>570</v>
      </c>
      <c r="H228" s="613" t="s">
        <v>1056</v>
      </c>
      <c r="I228" s="613" t="s">
        <v>210</v>
      </c>
      <c r="J228" s="613" t="s">
        <v>1057</v>
      </c>
      <c r="K228" s="613"/>
      <c r="L228" s="615">
        <v>185.69710066724008</v>
      </c>
      <c r="M228" s="615">
        <v>39</v>
      </c>
      <c r="N228" s="616">
        <v>7242.186926022363</v>
      </c>
    </row>
    <row r="229" spans="1:14" ht="14.4" customHeight="1" x14ac:dyDescent="0.3">
      <c r="A229" s="611" t="s">
        <v>550</v>
      </c>
      <c r="B229" s="612" t="s">
        <v>551</v>
      </c>
      <c r="C229" s="613" t="s">
        <v>563</v>
      </c>
      <c r="D229" s="614" t="s">
        <v>1184</v>
      </c>
      <c r="E229" s="613" t="s">
        <v>569</v>
      </c>
      <c r="F229" s="614" t="s">
        <v>1185</v>
      </c>
      <c r="G229" s="613" t="s">
        <v>570</v>
      </c>
      <c r="H229" s="613" t="s">
        <v>1058</v>
      </c>
      <c r="I229" s="613" t="s">
        <v>1059</v>
      </c>
      <c r="J229" s="613" t="s">
        <v>1060</v>
      </c>
      <c r="K229" s="613" t="s">
        <v>1061</v>
      </c>
      <c r="L229" s="615">
        <v>567.84</v>
      </c>
      <c r="M229" s="615">
        <v>3</v>
      </c>
      <c r="N229" s="616">
        <v>1703.52</v>
      </c>
    </row>
    <row r="230" spans="1:14" ht="14.4" customHeight="1" x14ac:dyDescent="0.3">
      <c r="A230" s="611" t="s">
        <v>550</v>
      </c>
      <c r="B230" s="612" t="s">
        <v>551</v>
      </c>
      <c r="C230" s="613" t="s">
        <v>563</v>
      </c>
      <c r="D230" s="614" t="s">
        <v>1184</v>
      </c>
      <c r="E230" s="613" t="s">
        <v>569</v>
      </c>
      <c r="F230" s="614" t="s">
        <v>1185</v>
      </c>
      <c r="G230" s="613" t="s">
        <v>570</v>
      </c>
      <c r="H230" s="613" t="s">
        <v>1062</v>
      </c>
      <c r="I230" s="613" t="s">
        <v>1062</v>
      </c>
      <c r="J230" s="613" t="s">
        <v>1063</v>
      </c>
      <c r="K230" s="613" t="s">
        <v>1064</v>
      </c>
      <c r="L230" s="615">
        <v>258.75</v>
      </c>
      <c r="M230" s="615">
        <v>4</v>
      </c>
      <c r="N230" s="616">
        <v>1035</v>
      </c>
    </row>
    <row r="231" spans="1:14" ht="14.4" customHeight="1" x14ac:dyDescent="0.3">
      <c r="A231" s="611" t="s">
        <v>550</v>
      </c>
      <c r="B231" s="612" t="s">
        <v>551</v>
      </c>
      <c r="C231" s="613" t="s">
        <v>563</v>
      </c>
      <c r="D231" s="614" t="s">
        <v>1184</v>
      </c>
      <c r="E231" s="613" t="s">
        <v>569</v>
      </c>
      <c r="F231" s="614" t="s">
        <v>1185</v>
      </c>
      <c r="G231" s="613" t="s">
        <v>570</v>
      </c>
      <c r="H231" s="613" t="s">
        <v>1065</v>
      </c>
      <c r="I231" s="613" t="s">
        <v>210</v>
      </c>
      <c r="J231" s="613" t="s">
        <v>1066</v>
      </c>
      <c r="K231" s="613"/>
      <c r="L231" s="615">
        <v>348.11142857142858</v>
      </c>
      <c r="M231" s="615">
        <v>7</v>
      </c>
      <c r="N231" s="616">
        <v>2436.7800000000002</v>
      </c>
    </row>
    <row r="232" spans="1:14" ht="14.4" customHeight="1" x14ac:dyDescent="0.3">
      <c r="A232" s="611" t="s">
        <v>550</v>
      </c>
      <c r="B232" s="612" t="s">
        <v>551</v>
      </c>
      <c r="C232" s="613" t="s">
        <v>563</v>
      </c>
      <c r="D232" s="614" t="s">
        <v>1184</v>
      </c>
      <c r="E232" s="613" t="s">
        <v>569</v>
      </c>
      <c r="F232" s="614" t="s">
        <v>1185</v>
      </c>
      <c r="G232" s="613" t="s">
        <v>570</v>
      </c>
      <c r="H232" s="613" t="s">
        <v>1067</v>
      </c>
      <c r="I232" s="613" t="s">
        <v>1067</v>
      </c>
      <c r="J232" s="613" t="s">
        <v>1068</v>
      </c>
      <c r="K232" s="613" t="s">
        <v>1069</v>
      </c>
      <c r="L232" s="615">
        <v>300.92271428571428</v>
      </c>
      <c r="M232" s="615">
        <v>7</v>
      </c>
      <c r="N232" s="616">
        <v>2106.4589999999998</v>
      </c>
    </row>
    <row r="233" spans="1:14" ht="14.4" customHeight="1" x14ac:dyDescent="0.3">
      <c r="A233" s="611" t="s">
        <v>550</v>
      </c>
      <c r="B233" s="612" t="s">
        <v>551</v>
      </c>
      <c r="C233" s="613" t="s">
        <v>563</v>
      </c>
      <c r="D233" s="614" t="s">
        <v>1184</v>
      </c>
      <c r="E233" s="613" t="s">
        <v>569</v>
      </c>
      <c r="F233" s="614" t="s">
        <v>1185</v>
      </c>
      <c r="G233" s="613" t="s">
        <v>570</v>
      </c>
      <c r="H233" s="613" t="s">
        <v>694</v>
      </c>
      <c r="I233" s="613" t="s">
        <v>210</v>
      </c>
      <c r="J233" s="613" t="s">
        <v>695</v>
      </c>
      <c r="K233" s="613"/>
      <c r="L233" s="615">
        <v>425.72099651003003</v>
      </c>
      <c r="M233" s="615">
        <v>15</v>
      </c>
      <c r="N233" s="616">
        <v>6385.8149476504504</v>
      </c>
    </row>
    <row r="234" spans="1:14" ht="14.4" customHeight="1" x14ac:dyDescent="0.3">
      <c r="A234" s="611" t="s">
        <v>550</v>
      </c>
      <c r="B234" s="612" t="s">
        <v>551</v>
      </c>
      <c r="C234" s="613" t="s">
        <v>563</v>
      </c>
      <c r="D234" s="614" t="s">
        <v>1184</v>
      </c>
      <c r="E234" s="613" t="s">
        <v>569</v>
      </c>
      <c r="F234" s="614" t="s">
        <v>1185</v>
      </c>
      <c r="G234" s="613" t="s">
        <v>570</v>
      </c>
      <c r="H234" s="613" t="s">
        <v>696</v>
      </c>
      <c r="I234" s="613" t="s">
        <v>696</v>
      </c>
      <c r="J234" s="613" t="s">
        <v>584</v>
      </c>
      <c r="K234" s="613" t="s">
        <v>697</v>
      </c>
      <c r="L234" s="615">
        <v>59.907495232983301</v>
      </c>
      <c r="M234" s="615">
        <v>72</v>
      </c>
      <c r="N234" s="616">
        <v>4313.3396567747977</v>
      </c>
    </row>
    <row r="235" spans="1:14" ht="14.4" customHeight="1" x14ac:dyDescent="0.3">
      <c r="A235" s="611" t="s">
        <v>550</v>
      </c>
      <c r="B235" s="612" t="s">
        <v>551</v>
      </c>
      <c r="C235" s="613" t="s">
        <v>563</v>
      </c>
      <c r="D235" s="614" t="s">
        <v>1184</v>
      </c>
      <c r="E235" s="613" t="s">
        <v>569</v>
      </c>
      <c r="F235" s="614" t="s">
        <v>1185</v>
      </c>
      <c r="G235" s="613" t="s">
        <v>570</v>
      </c>
      <c r="H235" s="613" t="s">
        <v>1070</v>
      </c>
      <c r="I235" s="613" t="s">
        <v>1071</v>
      </c>
      <c r="J235" s="613" t="s">
        <v>1072</v>
      </c>
      <c r="K235" s="613" t="s">
        <v>1073</v>
      </c>
      <c r="L235" s="615">
        <v>597.48649385937495</v>
      </c>
      <c r="M235" s="615">
        <v>10</v>
      </c>
      <c r="N235" s="616">
        <v>5974.8649385937497</v>
      </c>
    </row>
    <row r="236" spans="1:14" ht="14.4" customHeight="1" x14ac:dyDescent="0.3">
      <c r="A236" s="611" t="s">
        <v>550</v>
      </c>
      <c r="B236" s="612" t="s">
        <v>551</v>
      </c>
      <c r="C236" s="613" t="s">
        <v>563</v>
      </c>
      <c r="D236" s="614" t="s">
        <v>1184</v>
      </c>
      <c r="E236" s="613" t="s">
        <v>569</v>
      </c>
      <c r="F236" s="614" t="s">
        <v>1185</v>
      </c>
      <c r="G236" s="613" t="s">
        <v>570</v>
      </c>
      <c r="H236" s="613" t="s">
        <v>1074</v>
      </c>
      <c r="I236" s="613" t="s">
        <v>1074</v>
      </c>
      <c r="J236" s="613" t="s">
        <v>1075</v>
      </c>
      <c r="K236" s="613" t="s">
        <v>1076</v>
      </c>
      <c r="L236" s="615">
        <v>188.39180434350916</v>
      </c>
      <c r="M236" s="615">
        <v>1</v>
      </c>
      <c r="N236" s="616">
        <v>188.39180434350916</v>
      </c>
    </row>
    <row r="237" spans="1:14" ht="14.4" customHeight="1" x14ac:dyDescent="0.3">
      <c r="A237" s="611" t="s">
        <v>550</v>
      </c>
      <c r="B237" s="612" t="s">
        <v>551</v>
      </c>
      <c r="C237" s="613" t="s">
        <v>563</v>
      </c>
      <c r="D237" s="614" t="s">
        <v>1184</v>
      </c>
      <c r="E237" s="613" t="s">
        <v>569</v>
      </c>
      <c r="F237" s="614" t="s">
        <v>1185</v>
      </c>
      <c r="G237" s="613" t="s">
        <v>570</v>
      </c>
      <c r="H237" s="613" t="s">
        <v>1077</v>
      </c>
      <c r="I237" s="613" t="s">
        <v>1078</v>
      </c>
      <c r="J237" s="613" t="s">
        <v>1079</v>
      </c>
      <c r="K237" s="613" t="s">
        <v>1080</v>
      </c>
      <c r="L237" s="615">
        <v>65.22</v>
      </c>
      <c r="M237" s="615">
        <v>2</v>
      </c>
      <c r="N237" s="616">
        <v>130.44</v>
      </c>
    </row>
    <row r="238" spans="1:14" ht="14.4" customHeight="1" x14ac:dyDescent="0.3">
      <c r="A238" s="611" t="s">
        <v>550</v>
      </c>
      <c r="B238" s="612" t="s">
        <v>551</v>
      </c>
      <c r="C238" s="613" t="s">
        <v>563</v>
      </c>
      <c r="D238" s="614" t="s">
        <v>1184</v>
      </c>
      <c r="E238" s="613" t="s">
        <v>569</v>
      </c>
      <c r="F238" s="614" t="s">
        <v>1185</v>
      </c>
      <c r="G238" s="613" t="s">
        <v>845</v>
      </c>
      <c r="H238" s="613" t="s">
        <v>1081</v>
      </c>
      <c r="I238" s="613" t="s">
        <v>1082</v>
      </c>
      <c r="J238" s="613" t="s">
        <v>1083</v>
      </c>
      <c r="K238" s="613" t="s">
        <v>1084</v>
      </c>
      <c r="L238" s="615">
        <v>144.52999233035356</v>
      </c>
      <c r="M238" s="615">
        <v>40</v>
      </c>
      <c r="N238" s="616">
        <v>5781.1996932141428</v>
      </c>
    </row>
    <row r="239" spans="1:14" ht="14.4" customHeight="1" x14ac:dyDescent="0.3">
      <c r="A239" s="611" t="s">
        <v>550</v>
      </c>
      <c r="B239" s="612" t="s">
        <v>551</v>
      </c>
      <c r="C239" s="613" t="s">
        <v>563</v>
      </c>
      <c r="D239" s="614" t="s">
        <v>1184</v>
      </c>
      <c r="E239" s="613" t="s">
        <v>569</v>
      </c>
      <c r="F239" s="614" t="s">
        <v>1185</v>
      </c>
      <c r="G239" s="613" t="s">
        <v>845</v>
      </c>
      <c r="H239" s="613" t="s">
        <v>1085</v>
      </c>
      <c r="I239" s="613" t="s">
        <v>1086</v>
      </c>
      <c r="J239" s="613" t="s">
        <v>1087</v>
      </c>
      <c r="K239" s="613" t="s">
        <v>1088</v>
      </c>
      <c r="L239" s="615">
        <v>52.602781776445454</v>
      </c>
      <c r="M239" s="615">
        <v>8</v>
      </c>
      <c r="N239" s="616">
        <v>420.82225421156363</v>
      </c>
    </row>
    <row r="240" spans="1:14" ht="14.4" customHeight="1" x14ac:dyDescent="0.3">
      <c r="A240" s="611" t="s">
        <v>550</v>
      </c>
      <c r="B240" s="612" t="s">
        <v>551</v>
      </c>
      <c r="C240" s="613" t="s">
        <v>563</v>
      </c>
      <c r="D240" s="614" t="s">
        <v>1184</v>
      </c>
      <c r="E240" s="613" t="s">
        <v>569</v>
      </c>
      <c r="F240" s="614" t="s">
        <v>1185</v>
      </c>
      <c r="G240" s="613" t="s">
        <v>845</v>
      </c>
      <c r="H240" s="613" t="s">
        <v>1089</v>
      </c>
      <c r="I240" s="613" t="s">
        <v>1090</v>
      </c>
      <c r="J240" s="613" t="s">
        <v>1091</v>
      </c>
      <c r="K240" s="613" t="s">
        <v>1092</v>
      </c>
      <c r="L240" s="615">
        <v>83.879867767941491</v>
      </c>
      <c r="M240" s="615">
        <v>70</v>
      </c>
      <c r="N240" s="616">
        <v>5871.5907437559044</v>
      </c>
    </row>
    <row r="241" spans="1:14" ht="14.4" customHeight="1" x14ac:dyDescent="0.3">
      <c r="A241" s="611" t="s">
        <v>550</v>
      </c>
      <c r="B241" s="612" t="s">
        <v>551</v>
      </c>
      <c r="C241" s="613" t="s">
        <v>563</v>
      </c>
      <c r="D241" s="614" t="s">
        <v>1184</v>
      </c>
      <c r="E241" s="613" t="s">
        <v>569</v>
      </c>
      <c r="F241" s="614" t="s">
        <v>1185</v>
      </c>
      <c r="G241" s="613" t="s">
        <v>845</v>
      </c>
      <c r="H241" s="613" t="s">
        <v>1093</v>
      </c>
      <c r="I241" s="613" t="s">
        <v>1094</v>
      </c>
      <c r="J241" s="613" t="s">
        <v>1095</v>
      </c>
      <c r="K241" s="613" t="s">
        <v>1096</v>
      </c>
      <c r="L241" s="615">
        <v>183.255</v>
      </c>
      <c r="M241" s="615">
        <v>2</v>
      </c>
      <c r="N241" s="616">
        <v>366.51</v>
      </c>
    </row>
    <row r="242" spans="1:14" ht="14.4" customHeight="1" x14ac:dyDescent="0.3">
      <c r="A242" s="611" t="s">
        <v>550</v>
      </c>
      <c r="B242" s="612" t="s">
        <v>551</v>
      </c>
      <c r="C242" s="613" t="s">
        <v>563</v>
      </c>
      <c r="D242" s="614" t="s">
        <v>1184</v>
      </c>
      <c r="E242" s="613" t="s">
        <v>569</v>
      </c>
      <c r="F242" s="614" t="s">
        <v>1185</v>
      </c>
      <c r="G242" s="613" t="s">
        <v>845</v>
      </c>
      <c r="H242" s="613" t="s">
        <v>846</v>
      </c>
      <c r="I242" s="613" t="s">
        <v>847</v>
      </c>
      <c r="J242" s="613" t="s">
        <v>848</v>
      </c>
      <c r="K242" s="613" t="s">
        <v>849</v>
      </c>
      <c r="L242" s="615">
        <v>184.01507655767534</v>
      </c>
      <c r="M242" s="615">
        <v>8</v>
      </c>
      <c r="N242" s="616">
        <v>1472.1206124614027</v>
      </c>
    </row>
    <row r="243" spans="1:14" ht="14.4" customHeight="1" x14ac:dyDescent="0.3">
      <c r="A243" s="611" t="s">
        <v>550</v>
      </c>
      <c r="B243" s="612" t="s">
        <v>551</v>
      </c>
      <c r="C243" s="613" t="s">
        <v>563</v>
      </c>
      <c r="D243" s="614" t="s">
        <v>1184</v>
      </c>
      <c r="E243" s="613" t="s">
        <v>704</v>
      </c>
      <c r="F243" s="614" t="s">
        <v>1186</v>
      </c>
      <c r="G243" s="613"/>
      <c r="H243" s="613" t="s">
        <v>1097</v>
      </c>
      <c r="I243" s="613" t="s">
        <v>1098</v>
      </c>
      <c r="J243" s="613" t="s">
        <v>1099</v>
      </c>
      <c r="K243" s="613"/>
      <c r="L243" s="615">
        <v>188.55166666666665</v>
      </c>
      <c r="M243" s="615">
        <v>6</v>
      </c>
      <c r="N243" s="616">
        <v>1131.31</v>
      </c>
    </row>
    <row r="244" spans="1:14" ht="14.4" customHeight="1" x14ac:dyDescent="0.3">
      <c r="A244" s="611" t="s">
        <v>550</v>
      </c>
      <c r="B244" s="612" t="s">
        <v>551</v>
      </c>
      <c r="C244" s="613" t="s">
        <v>563</v>
      </c>
      <c r="D244" s="614" t="s">
        <v>1184</v>
      </c>
      <c r="E244" s="613" t="s">
        <v>704</v>
      </c>
      <c r="F244" s="614" t="s">
        <v>1186</v>
      </c>
      <c r="G244" s="613" t="s">
        <v>570</v>
      </c>
      <c r="H244" s="613" t="s">
        <v>853</v>
      </c>
      <c r="I244" s="613" t="s">
        <v>854</v>
      </c>
      <c r="J244" s="613" t="s">
        <v>855</v>
      </c>
      <c r="K244" s="613" t="s">
        <v>856</v>
      </c>
      <c r="L244" s="615">
        <v>1735.0700000000002</v>
      </c>
      <c r="M244" s="615">
        <v>19</v>
      </c>
      <c r="N244" s="616">
        <v>32966.33</v>
      </c>
    </row>
    <row r="245" spans="1:14" ht="14.4" customHeight="1" x14ac:dyDescent="0.3">
      <c r="A245" s="611" t="s">
        <v>550</v>
      </c>
      <c r="B245" s="612" t="s">
        <v>551</v>
      </c>
      <c r="C245" s="613" t="s">
        <v>563</v>
      </c>
      <c r="D245" s="614" t="s">
        <v>1184</v>
      </c>
      <c r="E245" s="613" t="s">
        <v>704</v>
      </c>
      <c r="F245" s="614" t="s">
        <v>1186</v>
      </c>
      <c r="G245" s="613" t="s">
        <v>570</v>
      </c>
      <c r="H245" s="613" t="s">
        <v>1100</v>
      </c>
      <c r="I245" s="613" t="s">
        <v>1101</v>
      </c>
      <c r="J245" s="613" t="s">
        <v>855</v>
      </c>
      <c r="K245" s="613" t="s">
        <v>1102</v>
      </c>
      <c r="L245" s="615">
        <v>2156.25</v>
      </c>
      <c r="M245" s="615">
        <v>4</v>
      </c>
      <c r="N245" s="616">
        <v>8625</v>
      </c>
    </row>
    <row r="246" spans="1:14" ht="14.4" customHeight="1" x14ac:dyDescent="0.3">
      <c r="A246" s="611" t="s">
        <v>550</v>
      </c>
      <c r="B246" s="612" t="s">
        <v>551</v>
      </c>
      <c r="C246" s="613" t="s">
        <v>563</v>
      </c>
      <c r="D246" s="614" t="s">
        <v>1184</v>
      </c>
      <c r="E246" s="613" t="s">
        <v>704</v>
      </c>
      <c r="F246" s="614" t="s">
        <v>1186</v>
      </c>
      <c r="G246" s="613" t="s">
        <v>570</v>
      </c>
      <c r="H246" s="613" t="s">
        <v>857</v>
      </c>
      <c r="I246" s="613" t="s">
        <v>210</v>
      </c>
      <c r="J246" s="613" t="s">
        <v>858</v>
      </c>
      <c r="K246" s="613"/>
      <c r="L246" s="615">
        <v>318.29642670413182</v>
      </c>
      <c r="M246" s="615">
        <v>42</v>
      </c>
      <c r="N246" s="616">
        <v>13368.449921573536</v>
      </c>
    </row>
    <row r="247" spans="1:14" ht="14.4" customHeight="1" x14ac:dyDescent="0.3">
      <c r="A247" s="611" t="s">
        <v>550</v>
      </c>
      <c r="B247" s="612" t="s">
        <v>551</v>
      </c>
      <c r="C247" s="613" t="s">
        <v>563</v>
      </c>
      <c r="D247" s="614" t="s">
        <v>1184</v>
      </c>
      <c r="E247" s="613" t="s">
        <v>704</v>
      </c>
      <c r="F247" s="614" t="s">
        <v>1186</v>
      </c>
      <c r="G247" s="613" t="s">
        <v>570</v>
      </c>
      <c r="H247" s="613" t="s">
        <v>1103</v>
      </c>
      <c r="I247" s="613" t="s">
        <v>210</v>
      </c>
      <c r="J247" s="613" t="s">
        <v>1104</v>
      </c>
      <c r="K247" s="613"/>
      <c r="L247" s="615">
        <v>228.56799960002363</v>
      </c>
      <c r="M247" s="615">
        <v>5</v>
      </c>
      <c r="N247" s="616">
        <v>1142.8399980001182</v>
      </c>
    </row>
    <row r="248" spans="1:14" ht="14.4" customHeight="1" x14ac:dyDescent="0.3">
      <c r="A248" s="611" t="s">
        <v>550</v>
      </c>
      <c r="B248" s="612" t="s">
        <v>551</v>
      </c>
      <c r="C248" s="613" t="s">
        <v>563</v>
      </c>
      <c r="D248" s="614" t="s">
        <v>1184</v>
      </c>
      <c r="E248" s="613" t="s">
        <v>704</v>
      </c>
      <c r="F248" s="614" t="s">
        <v>1186</v>
      </c>
      <c r="G248" s="613" t="s">
        <v>570</v>
      </c>
      <c r="H248" s="613" t="s">
        <v>1105</v>
      </c>
      <c r="I248" s="613" t="s">
        <v>210</v>
      </c>
      <c r="J248" s="613" t="s">
        <v>1106</v>
      </c>
      <c r="K248" s="613"/>
      <c r="L248" s="615">
        <v>775.62</v>
      </c>
      <c r="M248" s="615">
        <v>1</v>
      </c>
      <c r="N248" s="616">
        <v>775.62</v>
      </c>
    </row>
    <row r="249" spans="1:14" ht="14.4" customHeight="1" x14ac:dyDescent="0.3">
      <c r="A249" s="611" t="s">
        <v>550</v>
      </c>
      <c r="B249" s="612" t="s">
        <v>551</v>
      </c>
      <c r="C249" s="613" t="s">
        <v>563</v>
      </c>
      <c r="D249" s="614" t="s">
        <v>1184</v>
      </c>
      <c r="E249" s="613" t="s">
        <v>704</v>
      </c>
      <c r="F249" s="614" t="s">
        <v>1186</v>
      </c>
      <c r="G249" s="613" t="s">
        <v>570</v>
      </c>
      <c r="H249" s="613" t="s">
        <v>705</v>
      </c>
      <c r="I249" s="613" t="s">
        <v>210</v>
      </c>
      <c r="J249" s="613" t="s">
        <v>706</v>
      </c>
      <c r="K249" s="613"/>
      <c r="L249" s="615">
        <v>431.39009643765337</v>
      </c>
      <c r="M249" s="615">
        <v>27</v>
      </c>
      <c r="N249" s="616">
        <v>11647.53260381664</v>
      </c>
    </row>
    <row r="250" spans="1:14" ht="14.4" customHeight="1" x14ac:dyDescent="0.3">
      <c r="A250" s="611" t="s">
        <v>550</v>
      </c>
      <c r="B250" s="612" t="s">
        <v>551</v>
      </c>
      <c r="C250" s="613" t="s">
        <v>563</v>
      </c>
      <c r="D250" s="614" t="s">
        <v>1184</v>
      </c>
      <c r="E250" s="613" t="s">
        <v>704</v>
      </c>
      <c r="F250" s="614" t="s">
        <v>1186</v>
      </c>
      <c r="G250" s="613" t="s">
        <v>570</v>
      </c>
      <c r="H250" s="613" t="s">
        <v>1107</v>
      </c>
      <c r="I250" s="613" t="s">
        <v>210</v>
      </c>
      <c r="J250" s="613" t="s">
        <v>1108</v>
      </c>
      <c r="K250" s="613" t="s">
        <v>1109</v>
      </c>
      <c r="L250" s="615">
        <v>636.31857142857132</v>
      </c>
      <c r="M250" s="615">
        <v>7</v>
      </c>
      <c r="N250" s="616">
        <v>4454.2299999999996</v>
      </c>
    </row>
    <row r="251" spans="1:14" ht="14.4" customHeight="1" x14ac:dyDescent="0.3">
      <c r="A251" s="611" t="s">
        <v>550</v>
      </c>
      <c r="B251" s="612" t="s">
        <v>551</v>
      </c>
      <c r="C251" s="613" t="s">
        <v>563</v>
      </c>
      <c r="D251" s="614" t="s">
        <v>1184</v>
      </c>
      <c r="E251" s="613" t="s">
        <v>704</v>
      </c>
      <c r="F251" s="614" t="s">
        <v>1186</v>
      </c>
      <c r="G251" s="613" t="s">
        <v>570</v>
      </c>
      <c r="H251" s="613" t="s">
        <v>1110</v>
      </c>
      <c r="I251" s="613" t="s">
        <v>210</v>
      </c>
      <c r="J251" s="613" t="s">
        <v>1111</v>
      </c>
      <c r="K251" s="613" t="s">
        <v>1112</v>
      </c>
      <c r="L251" s="615">
        <v>441.88164681665734</v>
      </c>
      <c r="M251" s="615">
        <v>37</v>
      </c>
      <c r="N251" s="616">
        <v>16349.620932216321</v>
      </c>
    </row>
    <row r="252" spans="1:14" ht="14.4" customHeight="1" x14ac:dyDescent="0.3">
      <c r="A252" s="611" t="s">
        <v>550</v>
      </c>
      <c r="B252" s="612" t="s">
        <v>551</v>
      </c>
      <c r="C252" s="613" t="s">
        <v>563</v>
      </c>
      <c r="D252" s="614" t="s">
        <v>1184</v>
      </c>
      <c r="E252" s="613" t="s">
        <v>704</v>
      </c>
      <c r="F252" s="614" t="s">
        <v>1186</v>
      </c>
      <c r="G252" s="613" t="s">
        <v>570</v>
      </c>
      <c r="H252" s="613" t="s">
        <v>707</v>
      </c>
      <c r="I252" s="613" t="s">
        <v>210</v>
      </c>
      <c r="J252" s="613" t="s">
        <v>708</v>
      </c>
      <c r="K252" s="613"/>
      <c r="L252" s="615">
        <v>285.08997998657969</v>
      </c>
      <c r="M252" s="615">
        <v>98</v>
      </c>
      <c r="N252" s="616">
        <v>27938.818038684807</v>
      </c>
    </row>
    <row r="253" spans="1:14" ht="14.4" customHeight="1" x14ac:dyDescent="0.3">
      <c r="A253" s="611" t="s">
        <v>550</v>
      </c>
      <c r="B253" s="612" t="s">
        <v>551</v>
      </c>
      <c r="C253" s="613" t="s">
        <v>563</v>
      </c>
      <c r="D253" s="614" t="s">
        <v>1184</v>
      </c>
      <c r="E253" s="613" t="s">
        <v>704</v>
      </c>
      <c r="F253" s="614" t="s">
        <v>1186</v>
      </c>
      <c r="G253" s="613" t="s">
        <v>570</v>
      </c>
      <c r="H253" s="613" t="s">
        <v>859</v>
      </c>
      <c r="I253" s="613" t="s">
        <v>210</v>
      </c>
      <c r="J253" s="613" t="s">
        <v>860</v>
      </c>
      <c r="K253" s="613"/>
      <c r="L253" s="615">
        <v>502.60007975022137</v>
      </c>
      <c r="M253" s="615">
        <v>111</v>
      </c>
      <c r="N253" s="616">
        <v>55788.60885227457</v>
      </c>
    </row>
    <row r="254" spans="1:14" ht="14.4" customHeight="1" x14ac:dyDescent="0.3">
      <c r="A254" s="611" t="s">
        <v>550</v>
      </c>
      <c r="B254" s="612" t="s">
        <v>551</v>
      </c>
      <c r="C254" s="613" t="s">
        <v>563</v>
      </c>
      <c r="D254" s="614" t="s">
        <v>1184</v>
      </c>
      <c r="E254" s="613" t="s">
        <v>704</v>
      </c>
      <c r="F254" s="614" t="s">
        <v>1186</v>
      </c>
      <c r="G254" s="613" t="s">
        <v>570</v>
      </c>
      <c r="H254" s="613" t="s">
        <v>1113</v>
      </c>
      <c r="I254" s="613" t="s">
        <v>1114</v>
      </c>
      <c r="J254" s="613" t="s">
        <v>1044</v>
      </c>
      <c r="K254" s="613" t="s">
        <v>1115</v>
      </c>
      <c r="L254" s="615">
        <v>2864.4503303231882</v>
      </c>
      <c r="M254" s="615">
        <v>12</v>
      </c>
      <c r="N254" s="616">
        <v>34373.403963878256</v>
      </c>
    </row>
    <row r="255" spans="1:14" ht="14.4" customHeight="1" x14ac:dyDescent="0.3">
      <c r="A255" s="611" t="s">
        <v>550</v>
      </c>
      <c r="B255" s="612" t="s">
        <v>551</v>
      </c>
      <c r="C255" s="613" t="s">
        <v>563</v>
      </c>
      <c r="D255" s="614" t="s">
        <v>1184</v>
      </c>
      <c r="E255" s="613" t="s">
        <v>704</v>
      </c>
      <c r="F255" s="614" t="s">
        <v>1186</v>
      </c>
      <c r="G255" s="613" t="s">
        <v>570</v>
      </c>
      <c r="H255" s="613" t="s">
        <v>1116</v>
      </c>
      <c r="I255" s="613" t="s">
        <v>210</v>
      </c>
      <c r="J255" s="613" t="s">
        <v>1117</v>
      </c>
      <c r="K255" s="613"/>
      <c r="L255" s="615">
        <v>474.52500000000003</v>
      </c>
      <c r="M255" s="615">
        <v>3</v>
      </c>
      <c r="N255" s="616">
        <v>1423.575</v>
      </c>
    </row>
    <row r="256" spans="1:14" ht="14.4" customHeight="1" x14ac:dyDescent="0.3">
      <c r="A256" s="611" t="s">
        <v>550</v>
      </c>
      <c r="B256" s="612" t="s">
        <v>551</v>
      </c>
      <c r="C256" s="613" t="s">
        <v>563</v>
      </c>
      <c r="D256" s="614" t="s">
        <v>1184</v>
      </c>
      <c r="E256" s="613" t="s">
        <v>704</v>
      </c>
      <c r="F256" s="614" t="s">
        <v>1186</v>
      </c>
      <c r="G256" s="613" t="s">
        <v>845</v>
      </c>
      <c r="H256" s="613" t="s">
        <v>1118</v>
      </c>
      <c r="I256" s="613" t="s">
        <v>1118</v>
      </c>
      <c r="J256" s="613" t="s">
        <v>1119</v>
      </c>
      <c r="K256" s="613" t="s">
        <v>1120</v>
      </c>
      <c r="L256" s="615">
        <v>1361.3900698389875</v>
      </c>
      <c r="M256" s="615">
        <v>7</v>
      </c>
      <c r="N256" s="616">
        <v>9529.7304888729122</v>
      </c>
    </row>
    <row r="257" spans="1:14" ht="14.4" customHeight="1" x14ac:dyDescent="0.3">
      <c r="A257" s="611" t="s">
        <v>550</v>
      </c>
      <c r="B257" s="612" t="s">
        <v>551</v>
      </c>
      <c r="C257" s="613" t="s">
        <v>563</v>
      </c>
      <c r="D257" s="614" t="s">
        <v>1184</v>
      </c>
      <c r="E257" s="613" t="s">
        <v>709</v>
      </c>
      <c r="F257" s="614" t="s">
        <v>1187</v>
      </c>
      <c r="G257" s="613" t="s">
        <v>570</v>
      </c>
      <c r="H257" s="613" t="s">
        <v>1121</v>
      </c>
      <c r="I257" s="613" t="s">
        <v>1122</v>
      </c>
      <c r="J257" s="613" t="s">
        <v>1123</v>
      </c>
      <c r="K257" s="613" t="s">
        <v>1124</v>
      </c>
      <c r="L257" s="615">
        <v>34.927999999999997</v>
      </c>
      <c r="M257" s="615">
        <v>10</v>
      </c>
      <c r="N257" s="616">
        <v>349.28</v>
      </c>
    </row>
    <row r="258" spans="1:14" ht="14.4" customHeight="1" x14ac:dyDescent="0.3">
      <c r="A258" s="611" t="s">
        <v>550</v>
      </c>
      <c r="B258" s="612" t="s">
        <v>551</v>
      </c>
      <c r="C258" s="613" t="s">
        <v>563</v>
      </c>
      <c r="D258" s="614" t="s">
        <v>1184</v>
      </c>
      <c r="E258" s="613" t="s">
        <v>709</v>
      </c>
      <c r="F258" s="614" t="s">
        <v>1187</v>
      </c>
      <c r="G258" s="613" t="s">
        <v>570</v>
      </c>
      <c r="H258" s="613" t="s">
        <v>710</v>
      </c>
      <c r="I258" s="613" t="s">
        <v>711</v>
      </c>
      <c r="J258" s="613" t="s">
        <v>712</v>
      </c>
      <c r="K258" s="613" t="s">
        <v>713</v>
      </c>
      <c r="L258" s="615">
        <v>40.501303569340216</v>
      </c>
      <c r="M258" s="615">
        <v>8</v>
      </c>
      <c r="N258" s="616">
        <v>324.01042855472173</v>
      </c>
    </row>
    <row r="259" spans="1:14" ht="14.4" customHeight="1" x14ac:dyDescent="0.3">
      <c r="A259" s="611" t="s">
        <v>550</v>
      </c>
      <c r="B259" s="612" t="s">
        <v>551</v>
      </c>
      <c r="C259" s="613" t="s">
        <v>563</v>
      </c>
      <c r="D259" s="614" t="s">
        <v>1184</v>
      </c>
      <c r="E259" s="613" t="s">
        <v>709</v>
      </c>
      <c r="F259" s="614" t="s">
        <v>1187</v>
      </c>
      <c r="G259" s="613" t="s">
        <v>570</v>
      </c>
      <c r="H259" s="613" t="s">
        <v>1125</v>
      </c>
      <c r="I259" s="613" t="s">
        <v>1126</v>
      </c>
      <c r="J259" s="613" t="s">
        <v>1127</v>
      </c>
      <c r="K259" s="613" t="s">
        <v>758</v>
      </c>
      <c r="L259" s="615">
        <v>69.08</v>
      </c>
      <c r="M259" s="615">
        <v>1</v>
      </c>
      <c r="N259" s="616">
        <v>69.08</v>
      </c>
    </row>
    <row r="260" spans="1:14" ht="14.4" customHeight="1" x14ac:dyDescent="0.3">
      <c r="A260" s="611" t="s">
        <v>550</v>
      </c>
      <c r="B260" s="612" t="s">
        <v>551</v>
      </c>
      <c r="C260" s="613" t="s">
        <v>563</v>
      </c>
      <c r="D260" s="614" t="s">
        <v>1184</v>
      </c>
      <c r="E260" s="613" t="s">
        <v>709</v>
      </c>
      <c r="F260" s="614" t="s">
        <v>1187</v>
      </c>
      <c r="G260" s="613" t="s">
        <v>570</v>
      </c>
      <c r="H260" s="613" t="s">
        <v>1128</v>
      </c>
      <c r="I260" s="613" t="s">
        <v>1129</v>
      </c>
      <c r="J260" s="613" t="s">
        <v>1130</v>
      </c>
      <c r="K260" s="613" t="s">
        <v>1131</v>
      </c>
      <c r="L260" s="615">
        <v>33.409999999999982</v>
      </c>
      <c r="M260" s="615">
        <v>1</v>
      </c>
      <c r="N260" s="616">
        <v>33.409999999999982</v>
      </c>
    </row>
    <row r="261" spans="1:14" ht="14.4" customHeight="1" x14ac:dyDescent="0.3">
      <c r="A261" s="611" t="s">
        <v>550</v>
      </c>
      <c r="B261" s="612" t="s">
        <v>551</v>
      </c>
      <c r="C261" s="613" t="s">
        <v>563</v>
      </c>
      <c r="D261" s="614" t="s">
        <v>1184</v>
      </c>
      <c r="E261" s="613" t="s">
        <v>709</v>
      </c>
      <c r="F261" s="614" t="s">
        <v>1187</v>
      </c>
      <c r="G261" s="613" t="s">
        <v>570</v>
      </c>
      <c r="H261" s="613" t="s">
        <v>1132</v>
      </c>
      <c r="I261" s="613" t="s">
        <v>1133</v>
      </c>
      <c r="J261" s="613" t="s">
        <v>1134</v>
      </c>
      <c r="K261" s="613" t="s">
        <v>1135</v>
      </c>
      <c r="L261" s="615">
        <v>428.7312384173735</v>
      </c>
      <c r="M261" s="615">
        <v>2</v>
      </c>
      <c r="N261" s="616">
        <v>857.46247683474701</v>
      </c>
    </row>
    <row r="262" spans="1:14" ht="14.4" customHeight="1" x14ac:dyDescent="0.3">
      <c r="A262" s="611" t="s">
        <v>550</v>
      </c>
      <c r="B262" s="612" t="s">
        <v>551</v>
      </c>
      <c r="C262" s="613" t="s">
        <v>563</v>
      </c>
      <c r="D262" s="614" t="s">
        <v>1184</v>
      </c>
      <c r="E262" s="613" t="s">
        <v>709</v>
      </c>
      <c r="F262" s="614" t="s">
        <v>1187</v>
      </c>
      <c r="G262" s="613" t="s">
        <v>570</v>
      </c>
      <c r="H262" s="613" t="s">
        <v>714</v>
      </c>
      <c r="I262" s="613" t="s">
        <v>715</v>
      </c>
      <c r="J262" s="613" t="s">
        <v>716</v>
      </c>
      <c r="K262" s="613" t="s">
        <v>717</v>
      </c>
      <c r="L262" s="615">
        <v>86.740109413980804</v>
      </c>
      <c r="M262" s="615">
        <v>4</v>
      </c>
      <c r="N262" s="616">
        <v>346.96043765592322</v>
      </c>
    </row>
    <row r="263" spans="1:14" ht="14.4" customHeight="1" x14ac:dyDescent="0.3">
      <c r="A263" s="611" t="s">
        <v>550</v>
      </c>
      <c r="B263" s="612" t="s">
        <v>551</v>
      </c>
      <c r="C263" s="613" t="s">
        <v>563</v>
      </c>
      <c r="D263" s="614" t="s">
        <v>1184</v>
      </c>
      <c r="E263" s="613" t="s">
        <v>709</v>
      </c>
      <c r="F263" s="614" t="s">
        <v>1187</v>
      </c>
      <c r="G263" s="613" t="s">
        <v>570</v>
      </c>
      <c r="H263" s="613" t="s">
        <v>1136</v>
      </c>
      <c r="I263" s="613" t="s">
        <v>1137</v>
      </c>
      <c r="J263" s="613" t="s">
        <v>1138</v>
      </c>
      <c r="K263" s="613" t="s">
        <v>1139</v>
      </c>
      <c r="L263" s="615">
        <v>49.45</v>
      </c>
      <c r="M263" s="615">
        <v>20</v>
      </c>
      <c r="N263" s="616">
        <v>989</v>
      </c>
    </row>
    <row r="264" spans="1:14" ht="14.4" customHeight="1" x14ac:dyDescent="0.3">
      <c r="A264" s="611" t="s">
        <v>550</v>
      </c>
      <c r="B264" s="612" t="s">
        <v>551</v>
      </c>
      <c r="C264" s="613" t="s">
        <v>563</v>
      </c>
      <c r="D264" s="614" t="s">
        <v>1184</v>
      </c>
      <c r="E264" s="613" t="s">
        <v>709</v>
      </c>
      <c r="F264" s="614" t="s">
        <v>1187</v>
      </c>
      <c r="G264" s="613" t="s">
        <v>570</v>
      </c>
      <c r="H264" s="613" t="s">
        <v>1140</v>
      </c>
      <c r="I264" s="613" t="s">
        <v>1140</v>
      </c>
      <c r="J264" s="613" t="s">
        <v>1141</v>
      </c>
      <c r="K264" s="613" t="s">
        <v>1142</v>
      </c>
      <c r="L264" s="615">
        <v>1599.689669070169</v>
      </c>
      <c r="M264" s="615">
        <v>12</v>
      </c>
      <c r="N264" s="616">
        <v>19196.276028842029</v>
      </c>
    </row>
    <row r="265" spans="1:14" ht="14.4" customHeight="1" x14ac:dyDescent="0.3">
      <c r="A265" s="611" t="s">
        <v>550</v>
      </c>
      <c r="B265" s="612" t="s">
        <v>551</v>
      </c>
      <c r="C265" s="613" t="s">
        <v>563</v>
      </c>
      <c r="D265" s="614" t="s">
        <v>1184</v>
      </c>
      <c r="E265" s="613" t="s">
        <v>709</v>
      </c>
      <c r="F265" s="614" t="s">
        <v>1187</v>
      </c>
      <c r="G265" s="613" t="s">
        <v>570</v>
      </c>
      <c r="H265" s="613" t="s">
        <v>1143</v>
      </c>
      <c r="I265" s="613" t="s">
        <v>1144</v>
      </c>
      <c r="J265" s="613" t="s">
        <v>1145</v>
      </c>
      <c r="K265" s="613" t="s">
        <v>934</v>
      </c>
      <c r="L265" s="615">
        <v>246.00999999999988</v>
      </c>
      <c r="M265" s="615">
        <v>1</v>
      </c>
      <c r="N265" s="616">
        <v>246.00999999999988</v>
      </c>
    </row>
    <row r="266" spans="1:14" ht="14.4" customHeight="1" x14ac:dyDescent="0.3">
      <c r="A266" s="611" t="s">
        <v>550</v>
      </c>
      <c r="B266" s="612" t="s">
        <v>551</v>
      </c>
      <c r="C266" s="613" t="s">
        <v>563</v>
      </c>
      <c r="D266" s="614" t="s">
        <v>1184</v>
      </c>
      <c r="E266" s="613" t="s">
        <v>709</v>
      </c>
      <c r="F266" s="614" t="s">
        <v>1187</v>
      </c>
      <c r="G266" s="613" t="s">
        <v>570</v>
      </c>
      <c r="H266" s="613" t="s">
        <v>718</v>
      </c>
      <c r="I266" s="613" t="s">
        <v>718</v>
      </c>
      <c r="J266" s="613" t="s">
        <v>719</v>
      </c>
      <c r="K266" s="613" t="s">
        <v>720</v>
      </c>
      <c r="L266" s="615">
        <v>46.00002121893484</v>
      </c>
      <c r="M266" s="615">
        <v>16</v>
      </c>
      <c r="N266" s="616">
        <v>736.00033950295744</v>
      </c>
    </row>
    <row r="267" spans="1:14" ht="14.4" customHeight="1" x14ac:dyDescent="0.3">
      <c r="A267" s="611" t="s">
        <v>550</v>
      </c>
      <c r="B267" s="612" t="s">
        <v>551</v>
      </c>
      <c r="C267" s="613" t="s">
        <v>563</v>
      </c>
      <c r="D267" s="614" t="s">
        <v>1184</v>
      </c>
      <c r="E267" s="613" t="s">
        <v>709</v>
      </c>
      <c r="F267" s="614" t="s">
        <v>1187</v>
      </c>
      <c r="G267" s="613" t="s">
        <v>570</v>
      </c>
      <c r="H267" s="613" t="s">
        <v>721</v>
      </c>
      <c r="I267" s="613" t="s">
        <v>722</v>
      </c>
      <c r="J267" s="613" t="s">
        <v>723</v>
      </c>
      <c r="K267" s="613" t="s">
        <v>724</v>
      </c>
      <c r="L267" s="615">
        <v>142.9109517058217</v>
      </c>
      <c r="M267" s="615">
        <v>53</v>
      </c>
      <c r="N267" s="616">
        <v>7574.2804404085509</v>
      </c>
    </row>
    <row r="268" spans="1:14" ht="14.4" customHeight="1" x14ac:dyDescent="0.3">
      <c r="A268" s="611" t="s">
        <v>550</v>
      </c>
      <c r="B268" s="612" t="s">
        <v>551</v>
      </c>
      <c r="C268" s="613" t="s">
        <v>563</v>
      </c>
      <c r="D268" s="614" t="s">
        <v>1184</v>
      </c>
      <c r="E268" s="613" t="s">
        <v>709</v>
      </c>
      <c r="F268" s="614" t="s">
        <v>1187</v>
      </c>
      <c r="G268" s="613" t="s">
        <v>570</v>
      </c>
      <c r="H268" s="613" t="s">
        <v>725</v>
      </c>
      <c r="I268" s="613" t="s">
        <v>726</v>
      </c>
      <c r="J268" s="613" t="s">
        <v>727</v>
      </c>
      <c r="K268" s="613" t="s">
        <v>728</v>
      </c>
      <c r="L268" s="615">
        <v>63.83998638273949</v>
      </c>
      <c r="M268" s="615">
        <v>36</v>
      </c>
      <c r="N268" s="616">
        <v>2298.2395097786216</v>
      </c>
    </row>
    <row r="269" spans="1:14" ht="14.4" customHeight="1" x14ac:dyDescent="0.3">
      <c r="A269" s="611" t="s">
        <v>550</v>
      </c>
      <c r="B269" s="612" t="s">
        <v>551</v>
      </c>
      <c r="C269" s="613" t="s">
        <v>563</v>
      </c>
      <c r="D269" s="614" t="s">
        <v>1184</v>
      </c>
      <c r="E269" s="613" t="s">
        <v>709</v>
      </c>
      <c r="F269" s="614" t="s">
        <v>1187</v>
      </c>
      <c r="G269" s="613" t="s">
        <v>570</v>
      </c>
      <c r="H269" s="613" t="s">
        <v>729</v>
      </c>
      <c r="I269" s="613" t="s">
        <v>730</v>
      </c>
      <c r="J269" s="613" t="s">
        <v>731</v>
      </c>
      <c r="K269" s="613" t="s">
        <v>732</v>
      </c>
      <c r="L269" s="615">
        <v>76.225271795777132</v>
      </c>
      <c r="M269" s="615">
        <v>2</v>
      </c>
      <c r="N269" s="616">
        <v>152.45054359155426</v>
      </c>
    </row>
    <row r="270" spans="1:14" ht="14.4" customHeight="1" x14ac:dyDescent="0.3">
      <c r="A270" s="611" t="s">
        <v>550</v>
      </c>
      <c r="B270" s="612" t="s">
        <v>551</v>
      </c>
      <c r="C270" s="613" t="s">
        <v>563</v>
      </c>
      <c r="D270" s="614" t="s">
        <v>1184</v>
      </c>
      <c r="E270" s="613" t="s">
        <v>709</v>
      </c>
      <c r="F270" s="614" t="s">
        <v>1187</v>
      </c>
      <c r="G270" s="613" t="s">
        <v>570</v>
      </c>
      <c r="H270" s="613" t="s">
        <v>737</v>
      </c>
      <c r="I270" s="613" t="s">
        <v>738</v>
      </c>
      <c r="J270" s="613" t="s">
        <v>739</v>
      </c>
      <c r="K270" s="613" t="s">
        <v>740</v>
      </c>
      <c r="L270" s="615">
        <v>51.418477728809926</v>
      </c>
      <c r="M270" s="615">
        <v>33</v>
      </c>
      <c r="N270" s="616">
        <v>1696.8097650507275</v>
      </c>
    </row>
    <row r="271" spans="1:14" ht="14.4" customHeight="1" x14ac:dyDescent="0.3">
      <c r="A271" s="611" t="s">
        <v>550</v>
      </c>
      <c r="B271" s="612" t="s">
        <v>551</v>
      </c>
      <c r="C271" s="613" t="s">
        <v>563</v>
      </c>
      <c r="D271" s="614" t="s">
        <v>1184</v>
      </c>
      <c r="E271" s="613" t="s">
        <v>709</v>
      </c>
      <c r="F271" s="614" t="s">
        <v>1187</v>
      </c>
      <c r="G271" s="613" t="s">
        <v>570</v>
      </c>
      <c r="H271" s="613" t="s">
        <v>1146</v>
      </c>
      <c r="I271" s="613" t="s">
        <v>1147</v>
      </c>
      <c r="J271" s="613" t="s">
        <v>1148</v>
      </c>
      <c r="K271" s="613" t="s">
        <v>1149</v>
      </c>
      <c r="L271" s="615">
        <v>832.14</v>
      </c>
      <c r="M271" s="615">
        <v>2</v>
      </c>
      <c r="N271" s="616">
        <v>1664.28</v>
      </c>
    </row>
    <row r="272" spans="1:14" ht="14.4" customHeight="1" x14ac:dyDescent="0.3">
      <c r="A272" s="611" t="s">
        <v>550</v>
      </c>
      <c r="B272" s="612" t="s">
        <v>551</v>
      </c>
      <c r="C272" s="613" t="s">
        <v>563</v>
      </c>
      <c r="D272" s="614" t="s">
        <v>1184</v>
      </c>
      <c r="E272" s="613" t="s">
        <v>709</v>
      </c>
      <c r="F272" s="614" t="s">
        <v>1187</v>
      </c>
      <c r="G272" s="613" t="s">
        <v>570</v>
      </c>
      <c r="H272" s="613" t="s">
        <v>1150</v>
      </c>
      <c r="I272" s="613" t="s">
        <v>1150</v>
      </c>
      <c r="J272" s="613" t="s">
        <v>1151</v>
      </c>
      <c r="K272" s="613" t="s">
        <v>1152</v>
      </c>
      <c r="L272" s="615">
        <v>920.00000000000011</v>
      </c>
      <c r="M272" s="615">
        <v>2.2000000000000002</v>
      </c>
      <c r="N272" s="616">
        <v>2024.0000000000005</v>
      </c>
    </row>
    <row r="273" spans="1:14" ht="14.4" customHeight="1" x14ac:dyDescent="0.3">
      <c r="A273" s="611" t="s">
        <v>550</v>
      </c>
      <c r="B273" s="612" t="s">
        <v>551</v>
      </c>
      <c r="C273" s="613" t="s">
        <v>563</v>
      </c>
      <c r="D273" s="614" t="s">
        <v>1184</v>
      </c>
      <c r="E273" s="613" t="s">
        <v>709</v>
      </c>
      <c r="F273" s="614" t="s">
        <v>1187</v>
      </c>
      <c r="G273" s="613" t="s">
        <v>570</v>
      </c>
      <c r="H273" s="613" t="s">
        <v>1153</v>
      </c>
      <c r="I273" s="613" t="s">
        <v>1153</v>
      </c>
      <c r="J273" s="613" t="s">
        <v>1123</v>
      </c>
      <c r="K273" s="613" t="s">
        <v>1124</v>
      </c>
      <c r="L273" s="615">
        <v>35.260130118198688</v>
      </c>
      <c r="M273" s="615">
        <v>10</v>
      </c>
      <c r="N273" s="616">
        <v>352.60130118198686</v>
      </c>
    </row>
    <row r="274" spans="1:14" ht="14.4" customHeight="1" x14ac:dyDescent="0.3">
      <c r="A274" s="611" t="s">
        <v>550</v>
      </c>
      <c r="B274" s="612" t="s">
        <v>551</v>
      </c>
      <c r="C274" s="613" t="s">
        <v>563</v>
      </c>
      <c r="D274" s="614" t="s">
        <v>1184</v>
      </c>
      <c r="E274" s="613" t="s">
        <v>709</v>
      </c>
      <c r="F274" s="614" t="s">
        <v>1187</v>
      </c>
      <c r="G274" s="613" t="s">
        <v>845</v>
      </c>
      <c r="H274" s="613" t="s">
        <v>1154</v>
      </c>
      <c r="I274" s="613" t="s">
        <v>1155</v>
      </c>
      <c r="J274" s="613" t="s">
        <v>1156</v>
      </c>
      <c r="K274" s="613" t="s">
        <v>1157</v>
      </c>
      <c r="L274" s="615">
        <v>45.850000000000009</v>
      </c>
      <c r="M274" s="615">
        <v>10</v>
      </c>
      <c r="N274" s="616">
        <v>458.50000000000011</v>
      </c>
    </row>
    <row r="275" spans="1:14" ht="14.4" customHeight="1" x14ac:dyDescent="0.3">
      <c r="A275" s="611" t="s">
        <v>550</v>
      </c>
      <c r="B275" s="612" t="s">
        <v>551</v>
      </c>
      <c r="C275" s="613" t="s">
        <v>563</v>
      </c>
      <c r="D275" s="614" t="s">
        <v>1184</v>
      </c>
      <c r="E275" s="613" t="s">
        <v>709</v>
      </c>
      <c r="F275" s="614" t="s">
        <v>1187</v>
      </c>
      <c r="G275" s="613" t="s">
        <v>845</v>
      </c>
      <c r="H275" s="613" t="s">
        <v>1158</v>
      </c>
      <c r="I275" s="613" t="s">
        <v>1159</v>
      </c>
      <c r="J275" s="613" t="s">
        <v>1160</v>
      </c>
      <c r="K275" s="613" t="s">
        <v>1161</v>
      </c>
      <c r="L275" s="615">
        <v>261.05</v>
      </c>
      <c r="M275" s="615">
        <v>10</v>
      </c>
      <c r="N275" s="616">
        <v>2610.5</v>
      </c>
    </row>
    <row r="276" spans="1:14" ht="14.4" customHeight="1" x14ac:dyDescent="0.3">
      <c r="A276" s="611" t="s">
        <v>550</v>
      </c>
      <c r="B276" s="612" t="s">
        <v>551</v>
      </c>
      <c r="C276" s="613" t="s">
        <v>563</v>
      </c>
      <c r="D276" s="614" t="s">
        <v>1184</v>
      </c>
      <c r="E276" s="613" t="s">
        <v>709</v>
      </c>
      <c r="F276" s="614" t="s">
        <v>1187</v>
      </c>
      <c r="G276" s="613" t="s">
        <v>845</v>
      </c>
      <c r="H276" s="613" t="s">
        <v>1162</v>
      </c>
      <c r="I276" s="613" t="s">
        <v>1163</v>
      </c>
      <c r="J276" s="613" t="s">
        <v>1164</v>
      </c>
      <c r="K276" s="613" t="s">
        <v>1165</v>
      </c>
      <c r="L276" s="615">
        <v>46.20632696697794</v>
      </c>
      <c r="M276" s="615">
        <v>25</v>
      </c>
      <c r="N276" s="616">
        <v>1155.1581741744485</v>
      </c>
    </row>
    <row r="277" spans="1:14" ht="14.4" customHeight="1" x14ac:dyDescent="0.3">
      <c r="A277" s="611" t="s">
        <v>550</v>
      </c>
      <c r="B277" s="612" t="s">
        <v>551</v>
      </c>
      <c r="C277" s="613" t="s">
        <v>563</v>
      </c>
      <c r="D277" s="614" t="s">
        <v>1184</v>
      </c>
      <c r="E277" s="613" t="s">
        <v>709</v>
      </c>
      <c r="F277" s="614" t="s">
        <v>1187</v>
      </c>
      <c r="G277" s="613" t="s">
        <v>845</v>
      </c>
      <c r="H277" s="613" t="s">
        <v>865</v>
      </c>
      <c r="I277" s="613" t="s">
        <v>866</v>
      </c>
      <c r="J277" s="613" t="s">
        <v>867</v>
      </c>
      <c r="K277" s="613" t="s">
        <v>868</v>
      </c>
      <c r="L277" s="615">
        <v>449.02209489789914</v>
      </c>
      <c r="M277" s="615">
        <v>110</v>
      </c>
      <c r="N277" s="616">
        <v>49392.430438768904</v>
      </c>
    </row>
    <row r="278" spans="1:14" ht="14.4" customHeight="1" x14ac:dyDescent="0.3">
      <c r="A278" s="611" t="s">
        <v>550</v>
      </c>
      <c r="B278" s="612" t="s">
        <v>551</v>
      </c>
      <c r="C278" s="613" t="s">
        <v>563</v>
      </c>
      <c r="D278" s="614" t="s">
        <v>1184</v>
      </c>
      <c r="E278" s="613" t="s">
        <v>709</v>
      </c>
      <c r="F278" s="614" t="s">
        <v>1187</v>
      </c>
      <c r="G278" s="613" t="s">
        <v>845</v>
      </c>
      <c r="H278" s="613" t="s">
        <v>869</v>
      </c>
      <c r="I278" s="613" t="s">
        <v>870</v>
      </c>
      <c r="J278" s="613" t="s">
        <v>871</v>
      </c>
      <c r="K278" s="613" t="s">
        <v>872</v>
      </c>
      <c r="L278" s="615">
        <v>106.77</v>
      </c>
      <c r="M278" s="615">
        <v>1</v>
      </c>
      <c r="N278" s="616">
        <v>106.77</v>
      </c>
    </row>
    <row r="279" spans="1:14" ht="14.4" customHeight="1" x14ac:dyDescent="0.3">
      <c r="A279" s="611" t="s">
        <v>550</v>
      </c>
      <c r="B279" s="612" t="s">
        <v>551</v>
      </c>
      <c r="C279" s="613" t="s">
        <v>563</v>
      </c>
      <c r="D279" s="614" t="s">
        <v>1184</v>
      </c>
      <c r="E279" s="613" t="s">
        <v>741</v>
      </c>
      <c r="F279" s="614" t="s">
        <v>1188</v>
      </c>
      <c r="G279" s="613" t="s">
        <v>570</v>
      </c>
      <c r="H279" s="613" t="s">
        <v>1166</v>
      </c>
      <c r="I279" s="613" t="s">
        <v>1167</v>
      </c>
      <c r="J279" s="613" t="s">
        <v>1168</v>
      </c>
      <c r="K279" s="613" t="s">
        <v>1169</v>
      </c>
      <c r="L279" s="615">
        <v>90.046305621364397</v>
      </c>
      <c r="M279" s="615">
        <v>8</v>
      </c>
      <c r="N279" s="616">
        <v>720.37044497091517</v>
      </c>
    </row>
    <row r="280" spans="1:14" ht="14.4" customHeight="1" x14ac:dyDescent="0.3">
      <c r="A280" s="611" t="s">
        <v>550</v>
      </c>
      <c r="B280" s="612" t="s">
        <v>551</v>
      </c>
      <c r="C280" s="613" t="s">
        <v>563</v>
      </c>
      <c r="D280" s="614" t="s">
        <v>1184</v>
      </c>
      <c r="E280" s="613" t="s">
        <v>741</v>
      </c>
      <c r="F280" s="614" t="s">
        <v>1188</v>
      </c>
      <c r="G280" s="613" t="s">
        <v>570</v>
      </c>
      <c r="H280" s="613" t="s">
        <v>746</v>
      </c>
      <c r="I280" s="613" t="s">
        <v>747</v>
      </c>
      <c r="J280" s="613" t="s">
        <v>748</v>
      </c>
      <c r="K280" s="613" t="s">
        <v>749</v>
      </c>
      <c r="L280" s="615">
        <v>92.309902678298997</v>
      </c>
      <c r="M280" s="615">
        <v>14</v>
      </c>
      <c r="N280" s="616">
        <v>1292.338637496186</v>
      </c>
    </row>
    <row r="281" spans="1:14" ht="14.4" customHeight="1" x14ac:dyDescent="0.3">
      <c r="A281" s="611" t="s">
        <v>550</v>
      </c>
      <c r="B281" s="612" t="s">
        <v>551</v>
      </c>
      <c r="C281" s="613" t="s">
        <v>563</v>
      </c>
      <c r="D281" s="614" t="s">
        <v>1184</v>
      </c>
      <c r="E281" s="613" t="s">
        <v>741</v>
      </c>
      <c r="F281" s="614" t="s">
        <v>1188</v>
      </c>
      <c r="G281" s="613" t="s">
        <v>845</v>
      </c>
      <c r="H281" s="613" t="s">
        <v>1170</v>
      </c>
      <c r="I281" s="613" t="s">
        <v>1171</v>
      </c>
      <c r="J281" s="613" t="s">
        <v>1172</v>
      </c>
      <c r="K281" s="613"/>
      <c r="L281" s="615">
        <v>31.589999999999996</v>
      </c>
      <c r="M281" s="615">
        <v>30</v>
      </c>
      <c r="N281" s="616">
        <v>947.69999999999993</v>
      </c>
    </row>
    <row r="282" spans="1:14" ht="14.4" customHeight="1" x14ac:dyDescent="0.3">
      <c r="A282" s="611" t="s">
        <v>550</v>
      </c>
      <c r="B282" s="612" t="s">
        <v>551</v>
      </c>
      <c r="C282" s="613" t="s">
        <v>563</v>
      </c>
      <c r="D282" s="614" t="s">
        <v>1184</v>
      </c>
      <c r="E282" s="613" t="s">
        <v>1173</v>
      </c>
      <c r="F282" s="614" t="s">
        <v>1189</v>
      </c>
      <c r="G282" s="613"/>
      <c r="H282" s="613"/>
      <c r="I282" s="613" t="s">
        <v>1174</v>
      </c>
      <c r="J282" s="613" t="s">
        <v>1175</v>
      </c>
      <c r="K282" s="613"/>
      <c r="L282" s="615">
        <v>2907</v>
      </c>
      <c r="M282" s="615">
        <v>2</v>
      </c>
      <c r="N282" s="616">
        <v>5814</v>
      </c>
    </row>
    <row r="283" spans="1:14" ht="14.4" customHeight="1" x14ac:dyDescent="0.3">
      <c r="A283" s="611" t="s">
        <v>550</v>
      </c>
      <c r="B283" s="612" t="s">
        <v>551</v>
      </c>
      <c r="C283" s="613" t="s">
        <v>563</v>
      </c>
      <c r="D283" s="614" t="s">
        <v>1184</v>
      </c>
      <c r="E283" s="613" t="s">
        <v>1173</v>
      </c>
      <c r="F283" s="614" t="s">
        <v>1189</v>
      </c>
      <c r="G283" s="613"/>
      <c r="H283" s="613"/>
      <c r="I283" s="613" t="s">
        <v>1176</v>
      </c>
      <c r="J283" s="613" t="s">
        <v>1177</v>
      </c>
      <c r="K283" s="613"/>
      <c r="L283" s="615">
        <v>2187.3000000000002</v>
      </c>
      <c r="M283" s="615">
        <v>3</v>
      </c>
      <c r="N283" s="616">
        <v>6561.9000000000005</v>
      </c>
    </row>
    <row r="284" spans="1:14" ht="14.4" customHeight="1" x14ac:dyDescent="0.3">
      <c r="A284" s="611" t="s">
        <v>550</v>
      </c>
      <c r="B284" s="612" t="s">
        <v>551</v>
      </c>
      <c r="C284" s="613" t="s">
        <v>563</v>
      </c>
      <c r="D284" s="614" t="s">
        <v>1184</v>
      </c>
      <c r="E284" s="613" t="s">
        <v>1173</v>
      </c>
      <c r="F284" s="614" t="s">
        <v>1189</v>
      </c>
      <c r="G284" s="613"/>
      <c r="H284" s="613"/>
      <c r="I284" s="613" t="s">
        <v>1178</v>
      </c>
      <c r="J284" s="613" t="s">
        <v>1179</v>
      </c>
      <c r="K284" s="613"/>
      <c r="L284" s="615">
        <v>1242</v>
      </c>
      <c r="M284" s="615">
        <v>2</v>
      </c>
      <c r="N284" s="616">
        <v>2484</v>
      </c>
    </row>
    <row r="285" spans="1:14" ht="14.4" customHeight="1" thickBot="1" x14ac:dyDescent="0.35">
      <c r="A285" s="617" t="s">
        <v>550</v>
      </c>
      <c r="B285" s="618" t="s">
        <v>551</v>
      </c>
      <c r="C285" s="619" t="s">
        <v>563</v>
      </c>
      <c r="D285" s="620" t="s">
        <v>1184</v>
      </c>
      <c r="E285" s="619" t="s">
        <v>1173</v>
      </c>
      <c r="F285" s="620" t="s">
        <v>1189</v>
      </c>
      <c r="G285" s="619"/>
      <c r="H285" s="619"/>
      <c r="I285" s="619" t="s">
        <v>1180</v>
      </c>
      <c r="J285" s="619" t="s">
        <v>1181</v>
      </c>
      <c r="K285" s="619"/>
      <c r="L285" s="621">
        <v>143.63999999999999</v>
      </c>
      <c r="M285" s="621">
        <v>42</v>
      </c>
      <c r="N285" s="622">
        <v>6032.8799999999992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8"/>
  </cols>
  <sheetData>
    <row r="1" spans="1:6" ht="37.200000000000003" customHeight="1" thickBot="1" x14ac:dyDescent="0.4">
      <c r="A1" s="489" t="s">
        <v>182</v>
      </c>
      <c r="B1" s="490"/>
      <c r="C1" s="490"/>
      <c r="D1" s="490"/>
      <c r="E1" s="490"/>
      <c r="F1" s="490"/>
    </row>
    <row r="2" spans="1:6" ht="14.4" customHeight="1" thickBot="1" x14ac:dyDescent="0.35">
      <c r="A2" s="361" t="s">
        <v>305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1" t="s">
        <v>144</v>
      </c>
      <c r="C3" s="492"/>
      <c r="D3" s="493" t="s">
        <v>143</v>
      </c>
      <c r="E3" s="492"/>
      <c r="F3" s="96" t="s">
        <v>3</v>
      </c>
    </row>
    <row r="4" spans="1:6" ht="14.4" customHeight="1" thickBot="1" x14ac:dyDescent="0.35">
      <c r="A4" s="623" t="s">
        <v>166</v>
      </c>
      <c r="B4" s="624" t="s">
        <v>14</v>
      </c>
      <c r="C4" s="625" t="s">
        <v>2</v>
      </c>
      <c r="D4" s="624" t="s">
        <v>14</v>
      </c>
      <c r="E4" s="625" t="s">
        <v>2</v>
      </c>
      <c r="F4" s="626" t="s">
        <v>14</v>
      </c>
    </row>
    <row r="5" spans="1:6" ht="14.4" customHeight="1" x14ac:dyDescent="0.3">
      <c r="A5" s="637" t="s">
        <v>1190</v>
      </c>
      <c r="B5" s="609">
        <v>12223.600488872913</v>
      </c>
      <c r="C5" s="627">
        <v>0.12723615319149481</v>
      </c>
      <c r="D5" s="609">
        <v>83846.582256089299</v>
      </c>
      <c r="E5" s="627">
        <v>0.87276384680850527</v>
      </c>
      <c r="F5" s="610">
        <v>96070.182744962207</v>
      </c>
    </row>
    <row r="6" spans="1:6" ht="14.4" customHeight="1" x14ac:dyDescent="0.3">
      <c r="A6" s="638" t="s">
        <v>1191</v>
      </c>
      <c r="B6" s="615">
        <v>49.800000000000018</v>
      </c>
      <c r="C6" s="628">
        <v>1.1208561030437037E-2</v>
      </c>
      <c r="D6" s="615">
        <v>4393.2324164508964</v>
      </c>
      <c r="E6" s="628">
        <v>0.9887914389695629</v>
      </c>
      <c r="F6" s="616">
        <v>4443.0324164508966</v>
      </c>
    </row>
    <row r="7" spans="1:6" ht="14.4" customHeight="1" thickBot="1" x14ac:dyDescent="0.35">
      <c r="A7" s="639" t="s">
        <v>1192</v>
      </c>
      <c r="B7" s="630"/>
      <c r="C7" s="631">
        <v>0</v>
      </c>
      <c r="D7" s="630">
        <v>138</v>
      </c>
      <c r="E7" s="631">
        <v>1</v>
      </c>
      <c r="F7" s="632">
        <v>138</v>
      </c>
    </row>
    <row r="8" spans="1:6" ht="14.4" customHeight="1" thickBot="1" x14ac:dyDescent="0.35">
      <c r="A8" s="633" t="s">
        <v>3</v>
      </c>
      <c r="B8" s="634">
        <v>12273.400488872912</v>
      </c>
      <c r="C8" s="635">
        <v>0.12193991368301131</v>
      </c>
      <c r="D8" s="634">
        <v>88377.814672540189</v>
      </c>
      <c r="E8" s="635">
        <v>0.87806008631698873</v>
      </c>
      <c r="F8" s="636">
        <v>100651.2151614131</v>
      </c>
    </row>
    <row r="9" spans="1:6" ht="14.4" customHeight="1" thickBot="1" x14ac:dyDescent="0.35"/>
    <row r="10" spans="1:6" ht="14.4" customHeight="1" x14ac:dyDescent="0.3">
      <c r="A10" s="637" t="s">
        <v>1193</v>
      </c>
      <c r="B10" s="609">
        <v>10661.040488872912</v>
      </c>
      <c r="C10" s="627">
        <v>0.92483945774200071</v>
      </c>
      <c r="D10" s="609">
        <v>866.40938323990372</v>
      </c>
      <c r="E10" s="627">
        <v>7.5160542257999285E-2</v>
      </c>
      <c r="F10" s="610">
        <v>11527.449872112815</v>
      </c>
    </row>
    <row r="11" spans="1:6" ht="14.4" customHeight="1" x14ac:dyDescent="0.3">
      <c r="A11" s="638" t="s">
        <v>1194</v>
      </c>
      <c r="B11" s="615">
        <v>1213.2800000000002</v>
      </c>
      <c r="C11" s="628">
        <v>1</v>
      </c>
      <c r="D11" s="615"/>
      <c r="E11" s="628">
        <v>0</v>
      </c>
      <c r="F11" s="616">
        <v>1213.2800000000002</v>
      </c>
    </row>
    <row r="12" spans="1:6" ht="14.4" customHeight="1" x14ac:dyDescent="0.3">
      <c r="A12" s="638" t="s">
        <v>1195</v>
      </c>
      <c r="B12" s="615">
        <v>349.28</v>
      </c>
      <c r="C12" s="628">
        <v>1</v>
      </c>
      <c r="D12" s="615"/>
      <c r="E12" s="628">
        <v>0</v>
      </c>
      <c r="F12" s="616">
        <v>349.28</v>
      </c>
    </row>
    <row r="13" spans="1:6" ht="14.4" customHeight="1" x14ac:dyDescent="0.3">
      <c r="A13" s="638" t="s">
        <v>1196</v>
      </c>
      <c r="B13" s="615">
        <v>49.800000000000018</v>
      </c>
      <c r="C13" s="628">
        <v>1</v>
      </c>
      <c r="D13" s="615"/>
      <c r="E13" s="628">
        <v>0</v>
      </c>
      <c r="F13" s="616">
        <v>49.800000000000018</v>
      </c>
    </row>
    <row r="14" spans="1:6" ht="14.4" customHeight="1" x14ac:dyDescent="0.3">
      <c r="A14" s="638" t="s">
        <v>1197</v>
      </c>
      <c r="B14" s="615"/>
      <c r="C14" s="628">
        <v>0</v>
      </c>
      <c r="D14" s="615">
        <v>5871.5907437559054</v>
      </c>
      <c r="E14" s="628">
        <v>1</v>
      </c>
      <c r="F14" s="616">
        <v>5871.5907437559054</v>
      </c>
    </row>
    <row r="15" spans="1:6" ht="14.4" customHeight="1" x14ac:dyDescent="0.3">
      <c r="A15" s="638" t="s">
        <v>1198</v>
      </c>
      <c r="B15" s="615"/>
      <c r="C15" s="628">
        <v>0</v>
      </c>
      <c r="D15" s="615">
        <v>947.69999999999993</v>
      </c>
      <c r="E15" s="628">
        <v>1</v>
      </c>
      <c r="F15" s="616">
        <v>947.69999999999993</v>
      </c>
    </row>
    <row r="16" spans="1:6" ht="14.4" customHeight="1" x14ac:dyDescent="0.3">
      <c r="A16" s="638" t="s">
        <v>1199</v>
      </c>
      <c r="B16" s="615"/>
      <c r="C16" s="628">
        <v>0</v>
      </c>
      <c r="D16" s="615">
        <v>420.82225421156369</v>
      </c>
      <c r="E16" s="628">
        <v>1</v>
      </c>
      <c r="F16" s="616">
        <v>420.82225421156369</v>
      </c>
    </row>
    <row r="17" spans="1:6" ht="14.4" customHeight="1" x14ac:dyDescent="0.3">
      <c r="A17" s="638" t="s">
        <v>1200</v>
      </c>
      <c r="B17" s="615"/>
      <c r="C17" s="628">
        <v>0</v>
      </c>
      <c r="D17" s="615">
        <v>782.00033950295744</v>
      </c>
      <c r="E17" s="628">
        <v>1</v>
      </c>
      <c r="F17" s="616">
        <v>782.00033950295744</v>
      </c>
    </row>
    <row r="18" spans="1:6" ht="14.4" customHeight="1" x14ac:dyDescent="0.3">
      <c r="A18" s="638" t="s">
        <v>1201</v>
      </c>
      <c r="B18" s="615"/>
      <c r="C18" s="628">
        <v>0</v>
      </c>
      <c r="D18" s="615">
        <v>366.51</v>
      </c>
      <c r="E18" s="628">
        <v>1</v>
      </c>
      <c r="F18" s="616">
        <v>366.51</v>
      </c>
    </row>
    <row r="19" spans="1:6" ht="14.4" customHeight="1" x14ac:dyDescent="0.3">
      <c r="A19" s="638" t="s">
        <v>1202</v>
      </c>
      <c r="B19" s="615"/>
      <c r="C19" s="628">
        <v>0</v>
      </c>
      <c r="D19" s="615">
        <v>14711.279999999999</v>
      </c>
      <c r="E19" s="628">
        <v>1</v>
      </c>
      <c r="F19" s="616">
        <v>14711.279999999999</v>
      </c>
    </row>
    <row r="20" spans="1:6" ht="14.4" customHeight="1" x14ac:dyDescent="0.3">
      <c r="A20" s="638" t="s">
        <v>1203</v>
      </c>
      <c r="B20" s="615"/>
      <c r="C20" s="628">
        <v>0</v>
      </c>
      <c r="D20" s="615">
        <v>5781.1996932141419</v>
      </c>
      <c r="E20" s="628">
        <v>1</v>
      </c>
      <c r="F20" s="616">
        <v>5781.1996932141419</v>
      </c>
    </row>
    <row r="21" spans="1:6" ht="14.4" customHeight="1" x14ac:dyDescent="0.3">
      <c r="A21" s="638" t="s">
        <v>1204</v>
      </c>
      <c r="B21" s="615"/>
      <c r="C21" s="628">
        <v>0</v>
      </c>
      <c r="D21" s="615">
        <v>1656.2706124614028</v>
      </c>
      <c r="E21" s="628">
        <v>1</v>
      </c>
      <c r="F21" s="616">
        <v>1656.2706124614028</v>
      </c>
    </row>
    <row r="22" spans="1:6" ht="14.4" customHeight="1" x14ac:dyDescent="0.3">
      <c r="A22" s="638" t="s">
        <v>1205</v>
      </c>
      <c r="B22" s="615"/>
      <c r="C22" s="628">
        <v>0</v>
      </c>
      <c r="D22" s="615">
        <v>1368.8981741744485</v>
      </c>
      <c r="E22" s="628">
        <v>1</v>
      </c>
      <c r="F22" s="616">
        <v>1368.8981741744485</v>
      </c>
    </row>
    <row r="23" spans="1:6" ht="14.4" customHeight="1" x14ac:dyDescent="0.3">
      <c r="A23" s="638" t="s">
        <v>1206</v>
      </c>
      <c r="B23" s="615"/>
      <c r="C23" s="628">
        <v>0</v>
      </c>
      <c r="D23" s="615">
        <v>458.50000000000011</v>
      </c>
      <c r="E23" s="628">
        <v>1</v>
      </c>
      <c r="F23" s="616">
        <v>458.50000000000011</v>
      </c>
    </row>
    <row r="24" spans="1:6" ht="14.4" customHeight="1" x14ac:dyDescent="0.3">
      <c r="A24" s="638" t="s">
        <v>1207</v>
      </c>
      <c r="B24" s="615"/>
      <c r="C24" s="628">
        <v>0</v>
      </c>
      <c r="D24" s="615">
        <v>52536.133471979905</v>
      </c>
      <c r="E24" s="628">
        <v>1</v>
      </c>
      <c r="F24" s="616">
        <v>52536.133471979905</v>
      </c>
    </row>
    <row r="25" spans="1:6" ht="14.4" customHeight="1" thickBot="1" x14ac:dyDescent="0.35">
      <c r="A25" s="639" t="s">
        <v>1208</v>
      </c>
      <c r="B25" s="630"/>
      <c r="C25" s="631">
        <v>0</v>
      </c>
      <c r="D25" s="630">
        <v>2610.5</v>
      </c>
      <c r="E25" s="631">
        <v>1</v>
      </c>
      <c r="F25" s="632">
        <v>2610.5</v>
      </c>
    </row>
    <row r="26" spans="1:6" ht="14.4" customHeight="1" thickBot="1" x14ac:dyDescent="0.35">
      <c r="A26" s="633" t="s">
        <v>3</v>
      </c>
      <c r="B26" s="634">
        <v>12273.400488872912</v>
      </c>
      <c r="C26" s="635">
        <v>0.12193991368301126</v>
      </c>
      <c r="D26" s="634">
        <v>88377.814672540248</v>
      </c>
      <c r="E26" s="635">
        <v>0.87806008631698895</v>
      </c>
      <c r="F26" s="636">
        <v>100651.21516141314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2014-10-22T11:41:18Z</dcterms:modified>
</cp:coreProperties>
</file>